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 activeTab="4"/>
  </bookViews>
  <sheets>
    <sheet name="Alltan na Bradhan" sheetId="1" r:id="rId1"/>
    <sheet name="Kinlochbervie" sheetId="2" r:id="rId2"/>
    <sheet name="Caolas Cumhann" sheetId="3" r:id="rId3"/>
    <sheet name="merged" sheetId="5" r:id="rId4"/>
    <sheet name="3D datatable" sheetId="4" r:id="rId5"/>
  </sheets>
  <calcPr calcId="145621"/>
</workbook>
</file>

<file path=xl/calcChain.xml><?xml version="1.0" encoding="utf-8"?>
<calcChain xmlns="http://schemas.openxmlformats.org/spreadsheetml/2006/main">
  <c r="C20" i="3"/>
  <c r="AG30" i="1"/>
  <c r="AG29"/>
  <c r="AG28"/>
  <c r="AI23" s="1"/>
  <c r="AI25"/>
  <c r="AI24"/>
  <c r="BD20" i="2"/>
  <c r="D24" i="3"/>
  <c r="AJ17"/>
  <c r="P20"/>
  <c r="AJ22" i="2"/>
  <c r="P21"/>
  <c r="X24" i="3" l="1"/>
  <c r="X23"/>
  <c r="X22"/>
  <c r="D23"/>
  <c r="D22"/>
  <c r="AR26" i="2"/>
  <c r="AR25"/>
  <c r="AR24"/>
  <c r="X26"/>
  <c r="X25"/>
  <c r="X24"/>
  <c r="D25"/>
  <c r="D24"/>
  <c r="D23"/>
  <c r="Q21" i="1"/>
  <c r="O28"/>
  <c r="Q23" s="1"/>
  <c r="O27"/>
  <c r="Q22" s="1"/>
  <c r="O26"/>
  <c r="AJ20" l="1"/>
  <c r="AI4"/>
  <c r="AI5"/>
  <c r="AI6"/>
  <c r="AI7"/>
  <c r="AI8"/>
  <c r="AI9"/>
  <c r="AI10"/>
  <c r="AI11"/>
  <c r="AI12"/>
  <c r="AI13"/>
  <c r="AI14"/>
  <c r="AI15"/>
  <c r="AI16"/>
  <c r="AI17"/>
  <c r="AI18"/>
  <c r="AI19"/>
  <c r="AI3"/>
  <c r="AF4"/>
  <c r="AF5"/>
  <c r="AF6"/>
  <c r="AF7"/>
  <c r="AF8"/>
  <c r="AF9"/>
  <c r="AF10"/>
  <c r="AF11"/>
  <c r="AF12"/>
  <c r="AF13"/>
  <c r="AF14"/>
  <c r="AF15"/>
  <c r="AF16"/>
  <c r="AF17"/>
  <c r="AF18"/>
  <c r="AF19"/>
  <c r="AF3"/>
  <c r="P17"/>
  <c r="O4"/>
  <c r="O5"/>
  <c r="O6"/>
  <c r="O7"/>
  <c r="O8"/>
  <c r="O9"/>
  <c r="O10"/>
  <c r="O11"/>
  <c r="O12"/>
  <c r="O13"/>
  <c r="O14"/>
  <c r="O15"/>
  <c r="O16"/>
  <c r="O3"/>
  <c r="L4"/>
  <c r="L5"/>
  <c r="L6"/>
  <c r="L7"/>
  <c r="L8"/>
  <c r="L9"/>
  <c r="L10"/>
  <c r="L11"/>
  <c r="L12"/>
  <c r="L13"/>
  <c r="L14"/>
  <c r="L15"/>
  <c r="L16"/>
  <c r="L3"/>
  <c r="Y4" i="3"/>
  <c r="Y5"/>
  <c r="Y6"/>
  <c r="Y7"/>
  <c r="Y8"/>
  <c r="Y9"/>
  <c r="Y10"/>
  <c r="Y11"/>
  <c r="Y12"/>
  <c r="Y13"/>
  <c r="Y14"/>
  <c r="Y15"/>
  <c r="Y16"/>
  <c r="Y3"/>
  <c r="V4"/>
  <c r="V5"/>
  <c r="V6"/>
  <c r="V7"/>
  <c r="V8"/>
  <c r="V9"/>
  <c r="V10"/>
  <c r="V11"/>
  <c r="V12"/>
  <c r="V13"/>
  <c r="V14"/>
  <c r="V15"/>
  <c r="V16"/>
  <c r="V3"/>
  <c r="E3"/>
  <c r="E4"/>
  <c r="E5"/>
  <c r="E6"/>
  <c r="E7"/>
  <c r="E8"/>
  <c r="E9"/>
  <c r="E10"/>
  <c r="E11"/>
  <c r="E12"/>
  <c r="E13"/>
  <c r="E14"/>
  <c r="E15"/>
  <c r="E16"/>
  <c r="E17"/>
  <c r="E18"/>
  <c r="E19"/>
  <c r="B3"/>
  <c r="B4"/>
  <c r="B5"/>
  <c r="B6"/>
  <c r="B7"/>
  <c r="B8"/>
  <c r="B9"/>
  <c r="B10"/>
  <c r="B11"/>
  <c r="B12"/>
  <c r="B13"/>
  <c r="B14"/>
  <c r="B15"/>
  <c r="B16"/>
  <c r="B17"/>
  <c r="B18"/>
  <c r="B19"/>
  <c r="BC4" i="2"/>
  <c r="BC5"/>
  <c r="BC6"/>
  <c r="BC7"/>
  <c r="BC8"/>
  <c r="BC9"/>
  <c r="BC10"/>
  <c r="BC11"/>
  <c r="BC12"/>
  <c r="BC13"/>
  <c r="BC14"/>
  <c r="BC15"/>
  <c r="BC16"/>
  <c r="BC17"/>
  <c r="BC18"/>
  <c r="BC19"/>
  <c r="BC3"/>
  <c r="AX4"/>
  <c r="AX5"/>
  <c r="AX6"/>
  <c r="AX7"/>
  <c r="AX8"/>
  <c r="AX9"/>
  <c r="AX10"/>
  <c r="AX11"/>
  <c r="AX12"/>
  <c r="AX13"/>
  <c r="AX14"/>
  <c r="AX15"/>
  <c r="AX16"/>
  <c r="AX17"/>
  <c r="AX18"/>
  <c r="AX19"/>
  <c r="AX3"/>
  <c r="AS4"/>
  <c r="AS5"/>
  <c r="AS6"/>
  <c r="AS7"/>
  <c r="AS8"/>
  <c r="AS9"/>
  <c r="AS10"/>
  <c r="AS11"/>
  <c r="AS12"/>
  <c r="AS13"/>
  <c r="AS14"/>
  <c r="AS15"/>
  <c r="AS16"/>
  <c r="AS17"/>
  <c r="AS18"/>
  <c r="AS19"/>
  <c r="AS3"/>
  <c r="AP4"/>
  <c r="AP5"/>
  <c r="AP6"/>
  <c r="AP7"/>
  <c r="AP8"/>
  <c r="AP9"/>
  <c r="AP10"/>
  <c r="AP11"/>
  <c r="AP12"/>
  <c r="AP13"/>
  <c r="AP14"/>
  <c r="AP15"/>
  <c r="AP16"/>
  <c r="AP17"/>
  <c r="AP18"/>
  <c r="AP19"/>
  <c r="AP3"/>
  <c r="AD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3"/>
  <c r="Y4"/>
  <c r="Y5"/>
  <c r="Y6"/>
  <c r="Y7"/>
  <c r="Y8"/>
  <c r="Y9"/>
  <c r="Y10"/>
  <c r="Y11"/>
  <c r="Y12"/>
  <c r="Y13"/>
  <c r="Y14"/>
  <c r="Y15"/>
  <c r="Y16"/>
  <c r="Y17"/>
  <c r="Y18"/>
  <c r="Y19"/>
  <c r="Y20"/>
  <c r="Y21"/>
  <c r="Y3"/>
  <c r="V4"/>
  <c r="V5"/>
  <c r="V6"/>
  <c r="V7"/>
  <c r="V8"/>
  <c r="V9"/>
  <c r="V10"/>
  <c r="V11"/>
  <c r="V12"/>
  <c r="V13"/>
  <c r="V14"/>
  <c r="V15"/>
  <c r="V16"/>
  <c r="V17"/>
  <c r="V18"/>
  <c r="V19"/>
  <c r="V20"/>
  <c r="V21"/>
  <c r="V3"/>
  <c r="E4"/>
  <c r="E5"/>
  <c r="E6"/>
  <c r="E7"/>
  <c r="E8"/>
  <c r="E9"/>
  <c r="E10"/>
  <c r="E11"/>
  <c r="E12"/>
  <c r="E13"/>
  <c r="E14"/>
  <c r="E15"/>
  <c r="E16"/>
  <c r="E17"/>
  <c r="E18"/>
  <c r="E19"/>
  <c r="E20"/>
  <c r="E3"/>
  <c r="B3"/>
  <c r="B4"/>
  <c r="B5"/>
  <c r="B6"/>
  <c r="B7"/>
  <c r="B8"/>
  <c r="B9"/>
  <c r="B10"/>
  <c r="B11"/>
  <c r="B12"/>
  <c r="B13"/>
  <c r="B14"/>
  <c r="B15"/>
  <c r="B16"/>
  <c r="B17"/>
  <c r="B18"/>
  <c r="B19"/>
  <c r="B20"/>
  <c r="Y3" i="1"/>
  <c r="Y4"/>
  <c r="Y5"/>
  <c r="Y6"/>
  <c r="Y7"/>
  <c r="Y8"/>
  <c r="Y9"/>
  <c r="Y10"/>
  <c r="Y11"/>
  <c r="Y12"/>
  <c r="Y13"/>
  <c r="Y14"/>
  <c r="Y15"/>
  <c r="Y16"/>
  <c r="Y17"/>
  <c r="Y18"/>
  <c r="Y19"/>
  <c r="E3"/>
  <c r="AI3" i="3" l="1"/>
  <c r="AI4"/>
  <c r="AI5"/>
  <c r="AI6"/>
  <c r="AI7"/>
  <c r="AI8"/>
  <c r="AI9"/>
  <c r="AI10"/>
  <c r="AI11"/>
  <c r="AI12"/>
  <c r="AI13"/>
  <c r="AI14"/>
  <c r="AI15"/>
  <c r="AI16"/>
  <c r="AD3"/>
  <c r="AD4"/>
  <c r="AD5"/>
  <c r="AD6"/>
  <c r="AD7"/>
  <c r="AD8"/>
  <c r="AD9"/>
  <c r="AD10"/>
  <c r="AD11"/>
  <c r="AD12"/>
  <c r="AD13"/>
  <c r="AD14"/>
  <c r="AD15"/>
  <c r="AD16"/>
  <c r="J3"/>
  <c r="J4"/>
  <c r="J5"/>
  <c r="J6"/>
  <c r="J7"/>
  <c r="J8"/>
  <c r="J9"/>
  <c r="J10"/>
  <c r="J11"/>
  <c r="J12"/>
  <c r="J13"/>
  <c r="J14"/>
  <c r="J15"/>
  <c r="J16"/>
  <c r="J17"/>
  <c r="J18"/>
  <c r="J19"/>
  <c r="O3"/>
  <c r="O4"/>
  <c r="O5"/>
  <c r="O6"/>
  <c r="O7"/>
  <c r="O8"/>
  <c r="O9"/>
  <c r="O10"/>
  <c r="O11"/>
  <c r="O12"/>
  <c r="O13"/>
  <c r="O14"/>
  <c r="O15"/>
  <c r="O16"/>
  <c r="O17"/>
  <c r="O18"/>
  <c r="O19"/>
  <c r="J4" i="1"/>
  <c r="J5"/>
  <c r="J6"/>
  <c r="J7"/>
  <c r="J8"/>
  <c r="J9"/>
  <c r="J10"/>
  <c r="J11"/>
  <c r="J12"/>
  <c r="J13"/>
  <c r="J14"/>
  <c r="J15"/>
  <c r="J16"/>
  <c r="J3"/>
  <c r="E4"/>
  <c r="E5"/>
  <c r="E6"/>
  <c r="E7"/>
  <c r="E8"/>
  <c r="E9"/>
  <c r="E10"/>
  <c r="E11"/>
  <c r="E12"/>
  <c r="E13"/>
  <c r="E14"/>
  <c r="E15"/>
  <c r="E16"/>
  <c r="AD4"/>
  <c r="AD5"/>
  <c r="AD6"/>
  <c r="AD7"/>
  <c r="AD8"/>
  <c r="AD9"/>
  <c r="AD10"/>
  <c r="AD11"/>
  <c r="AD12"/>
  <c r="AD13"/>
  <c r="AD14"/>
  <c r="AD15"/>
  <c r="AD16"/>
  <c r="AD17"/>
  <c r="AD18"/>
  <c r="AD19"/>
  <c r="AD3"/>
  <c r="O3" i="2" l="1"/>
  <c r="O4"/>
  <c r="O5"/>
  <c r="O6"/>
  <c r="O7"/>
  <c r="O8"/>
  <c r="O9"/>
  <c r="O10"/>
  <c r="O11"/>
  <c r="O12"/>
  <c r="O13"/>
  <c r="O14"/>
  <c r="O15"/>
  <c r="O16"/>
  <c r="O17"/>
  <c r="O18"/>
  <c r="O19"/>
  <c r="O20"/>
  <c r="J3"/>
  <c r="J4"/>
  <c r="J5"/>
  <c r="J6"/>
  <c r="J7"/>
  <c r="J8"/>
  <c r="J9"/>
  <c r="J10"/>
  <c r="J11"/>
  <c r="J12"/>
  <c r="J13"/>
  <c r="J14"/>
  <c r="J15"/>
  <c r="J16"/>
  <c r="J17"/>
  <c r="J18"/>
  <c r="J19"/>
  <c r="J20"/>
  <c r="AF4" l="1"/>
  <c r="AA3" i="3" l="1"/>
  <c r="AA4"/>
  <c r="AA5"/>
  <c r="AA6"/>
  <c r="AA7"/>
  <c r="AA8"/>
  <c r="AA9"/>
  <c r="AA10"/>
  <c r="AA11"/>
  <c r="AA12"/>
  <c r="AA13"/>
  <c r="AA14"/>
  <c r="AA15"/>
  <c r="AA16"/>
  <c r="AF16"/>
  <c r="AF15"/>
  <c r="AF14"/>
  <c r="AF13"/>
  <c r="AF12"/>
  <c r="AF11"/>
  <c r="AF10"/>
  <c r="AF9"/>
  <c r="AF8"/>
  <c r="AF7"/>
  <c r="AF6"/>
  <c r="AF5"/>
  <c r="AF4"/>
  <c r="AF3"/>
  <c r="L19"/>
  <c r="L18"/>
  <c r="L17"/>
  <c r="L16"/>
  <c r="L15"/>
  <c r="L14"/>
  <c r="L13"/>
  <c r="L12"/>
  <c r="L11"/>
  <c r="L10"/>
  <c r="L9"/>
  <c r="L8"/>
  <c r="L7"/>
  <c r="L6"/>
  <c r="L5"/>
  <c r="L4"/>
  <c r="L3"/>
  <c r="AZ19" i="2"/>
  <c r="AZ18"/>
  <c r="AZ17"/>
  <c r="AZ16"/>
  <c r="AZ15"/>
  <c r="AZ14"/>
  <c r="AZ13"/>
  <c r="AZ12"/>
  <c r="AZ11"/>
  <c r="AZ10"/>
  <c r="AZ9"/>
  <c r="AZ8"/>
  <c r="AZ7"/>
  <c r="AZ6"/>
  <c r="AZ5"/>
  <c r="AZ4"/>
  <c r="AZ3"/>
  <c r="AU19"/>
  <c r="AU18"/>
  <c r="AU17"/>
  <c r="AU16"/>
  <c r="AU15"/>
  <c r="AU14"/>
  <c r="AU13"/>
  <c r="AU12"/>
  <c r="AU11"/>
  <c r="AU10"/>
  <c r="AU9"/>
  <c r="AU8"/>
  <c r="AU7"/>
  <c r="AU6"/>
  <c r="AU5"/>
  <c r="AU4"/>
  <c r="AU3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3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A3"/>
  <c r="L20"/>
  <c r="L19"/>
  <c r="L18"/>
  <c r="L17"/>
  <c r="L16"/>
  <c r="L15"/>
  <c r="L14"/>
  <c r="L13"/>
  <c r="L12"/>
  <c r="L11"/>
  <c r="L10"/>
  <c r="L9"/>
  <c r="L8"/>
  <c r="L7"/>
  <c r="L6"/>
  <c r="L5"/>
  <c r="L4"/>
  <c r="L3"/>
  <c r="G20"/>
  <c r="G19"/>
  <c r="G18"/>
  <c r="G17"/>
  <c r="G16"/>
  <c r="G15"/>
  <c r="G14"/>
  <c r="G13"/>
  <c r="G12"/>
  <c r="G11"/>
  <c r="G10"/>
  <c r="G9"/>
  <c r="G8"/>
  <c r="G7"/>
  <c r="G6"/>
  <c r="G5"/>
  <c r="G4"/>
  <c r="G3"/>
  <c r="V19" i="1" l="1"/>
  <c r="V18"/>
  <c r="V17"/>
  <c r="V16"/>
  <c r="V15"/>
  <c r="V14"/>
  <c r="V13"/>
  <c r="V12"/>
  <c r="V11"/>
  <c r="V10"/>
  <c r="V9"/>
  <c r="V8"/>
  <c r="V7"/>
  <c r="V6"/>
  <c r="V5"/>
  <c r="V4"/>
  <c r="V3"/>
</calcChain>
</file>

<file path=xl/sharedStrings.xml><?xml version="1.0" encoding="utf-8"?>
<sst xmlns="http://schemas.openxmlformats.org/spreadsheetml/2006/main" count="238" uniqueCount="54">
  <si>
    <t>SLICE</t>
  </si>
  <si>
    <t>Distance (m)</t>
  </si>
  <si>
    <t>Box count</t>
  </si>
  <si>
    <t>CSZ - W to E - low res</t>
  </si>
  <si>
    <t>CSZ - W to E - high res</t>
  </si>
  <si>
    <t>CSZ - S to N - low res</t>
  </si>
  <si>
    <t>CSZ - S to N - high res</t>
  </si>
  <si>
    <t>KLB - front cliff - low res</t>
  </si>
  <si>
    <t>Box Count</t>
  </si>
  <si>
    <t>KLB - front cliff - high res</t>
  </si>
  <si>
    <t>KLB - main cliff - low res</t>
  </si>
  <si>
    <t>KLB - main cliff - high res</t>
  </si>
  <si>
    <t>KLB - back cliff - low res</t>
  </si>
  <si>
    <t>KLB - back cliff - high res</t>
  </si>
  <si>
    <t>KYL - long section - low res</t>
  </si>
  <si>
    <t>KYL - long section - high res</t>
  </si>
  <si>
    <t>KYL -short section - low res</t>
  </si>
  <si>
    <t>KYL -short section - high res</t>
  </si>
  <si>
    <t>Fractal Dimension</t>
  </si>
  <si>
    <t>Fractal dimension</t>
  </si>
  <si>
    <t>Outcrop #</t>
  </si>
  <si>
    <t>No of Fractures</t>
  </si>
  <si>
    <t>KLB - main cliff - very low res</t>
  </si>
  <si>
    <t>KLB - front cliff - very low res</t>
  </si>
  <si>
    <t>KYL - long section - very low res</t>
  </si>
  <si>
    <t>KYL - short section - very low res</t>
  </si>
  <si>
    <t>CSZ - W to E -  very low res</t>
  </si>
  <si>
    <t xml:space="preserve"> </t>
  </si>
  <si>
    <t>mean</t>
  </si>
  <si>
    <t>CSZ - S to N - very low res</t>
  </si>
  <si>
    <t>vlow</t>
  </si>
  <si>
    <t>low</t>
  </si>
  <si>
    <t>high</t>
  </si>
  <si>
    <t>outcrop</t>
  </si>
  <si>
    <t>fractures</t>
  </si>
  <si>
    <t>fractal dimension</t>
  </si>
  <si>
    <t>box count</t>
  </si>
  <si>
    <t>number of cells</t>
  </si>
  <si>
    <t>cell size</t>
  </si>
  <si>
    <t>v low</t>
  </si>
  <si>
    <t>fracture</t>
  </si>
  <si>
    <t>3D fractal dimension</t>
  </si>
  <si>
    <t>Alltan na Bradhan</t>
  </si>
  <si>
    <t>Location</t>
  </si>
  <si>
    <t>Model</t>
  </si>
  <si>
    <t>perpendicular to foliation</t>
  </si>
  <si>
    <t>parallel to foliation</t>
  </si>
  <si>
    <t>Kinlochbervie</t>
  </si>
  <si>
    <t>front cliff</t>
  </si>
  <si>
    <t>main cliff</t>
  </si>
  <si>
    <t>back cliff</t>
  </si>
  <si>
    <t>Caolas Cumhann</t>
  </si>
  <si>
    <t>long road section</t>
  </si>
  <si>
    <t>short road section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</si>
</sst>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3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7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/>
    <xf numFmtId="0" fontId="0" fillId="5" borderId="4" xfId="0" applyFill="1" applyBorder="1"/>
    <xf numFmtId="0" fontId="0" fillId="5" borderId="0" xfId="0" applyFill="1" applyBorder="1"/>
    <xf numFmtId="164" fontId="0" fillId="5" borderId="0" xfId="0" applyNumberFormat="1" applyFill="1" applyBorder="1"/>
    <xf numFmtId="0" fontId="0" fillId="5" borderId="6" xfId="0" applyFill="1" applyBorder="1"/>
    <xf numFmtId="0" fontId="0" fillId="5" borderId="7" xfId="0" applyFill="1" applyBorder="1"/>
    <xf numFmtId="164" fontId="0" fillId="5" borderId="7" xfId="0" applyNumberFormat="1" applyFill="1" applyBorder="1"/>
    <xf numFmtId="0" fontId="1" fillId="6" borderId="1" xfId="0" applyFont="1" applyFill="1" applyBorder="1"/>
    <xf numFmtId="0" fontId="0" fillId="6" borderId="1" xfId="0" applyFill="1" applyBorder="1"/>
    <xf numFmtId="0" fontId="2" fillId="6" borderId="1" xfId="0" applyFont="1" applyFill="1" applyBorder="1"/>
    <xf numFmtId="0" fontId="0" fillId="6" borderId="0" xfId="0" applyFill="1" applyBorder="1"/>
    <xf numFmtId="164" fontId="0" fillId="6" borderId="0" xfId="0" applyNumberFormat="1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164" fontId="0" fillId="6" borderId="7" xfId="0" applyNumberFormat="1" applyFill="1" applyBorder="1"/>
    <xf numFmtId="0" fontId="1" fillId="7" borderId="1" xfId="0" applyFont="1" applyFill="1" applyBorder="1"/>
    <xf numFmtId="0" fontId="0" fillId="7" borderId="1" xfId="0" applyFill="1" applyBorder="1"/>
    <xf numFmtId="0" fontId="2" fillId="7" borderId="1" xfId="0" applyFont="1" applyFill="1" applyBorder="1"/>
    <xf numFmtId="0" fontId="0" fillId="7" borderId="4" xfId="0" applyFill="1" applyBorder="1"/>
    <xf numFmtId="0" fontId="0" fillId="7" borderId="0" xfId="0" applyFill="1" applyBorder="1"/>
    <xf numFmtId="0" fontId="0" fillId="7" borderId="6" xfId="0" applyFill="1" applyBorder="1"/>
    <xf numFmtId="0" fontId="0" fillId="7" borderId="7" xfId="0" applyFill="1" applyBorder="1"/>
    <xf numFmtId="0" fontId="1" fillId="8" borderId="1" xfId="0" applyFont="1" applyFill="1" applyBorder="1"/>
    <xf numFmtId="0" fontId="0" fillId="8" borderId="1" xfId="0" applyFill="1" applyBorder="1"/>
    <xf numFmtId="0" fontId="2" fillId="8" borderId="1" xfId="0" applyFont="1" applyFill="1" applyBorder="1"/>
    <xf numFmtId="0" fontId="0" fillId="8" borderId="4" xfId="0" applyFill="1" applyBorder="1"/>
    <xf numFmtId="0" fontId="0" fillId="8" borderId="0" xfId="0" applyFill="1" applyBorder="1"/>
    <xf numFmtId="164" fontId="0" fillId="8" borderId="0" xfId="0" applyNumberFormat="1" applyFill="1" applyBorder="1"/>
    <xf numFmtId="0" fontId="0" fillId="8" borderId="6" xfId="0" applyFill="1" applyBorder="1"/>
    <xf numFmtId="0" fontId="0" fillId="8" borderId="7" xfId="0" applyFill="1" applyBorder="1"/>
    <xf numFmtId="164" fontId="0" fillId="8" borderId="7" xfId="0" applyNumberFormat="1" applyFill="1" applyBorder="1"/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0" fillId="3" borderId="2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ont="1" applyFill="1" applyBorder="1"/>
    <xf numFmtId="0" fontId="0" fillId="4" borderId="9" xfId="0" applyFill="1" applyBorder="1"/>
    <xf numFmtId="0" fontId="3" fillId="6" borderId="0" xfId="0" applyFont="1" applyFill="1" applyBorder="1"/>
    <xf numFmtId="2" fontId="0" fillId="4" borderId="5" xfId="0" applyNumberFormat="1" applyFill="1" applyBorder="1"/>
    <xf numFmtId="2" fontId="0" fillId="4" borderId="8" xfId="0" applyNumberFormat="1" applyFill="1" applyBorder="1"/>
    <xf numFmtId="0" fontId="0" fillId="4" borderId="10" xfId="0" applyFill="1" applyBorder="1"/>
    <xf numFmtId="0" fontId="0" fillId="0" borderId="0" xfId="0" applyFill="1"/>
    <xf numFmtId="2" fontId="0" fillId="3" borderId="5" xfId="0" applyNumberFormat="1" applyFill="1" applyBorder="1"/>
    <xf numFmtId="2" fontId="0" fillId="3" borderId="0" xfId="0" applyNumberFormat="1" applyFill="1" applyBorder="1"/>
    <xf numFmtId="2" fontId="0" fillId="3" borderId="7" xfId="0" applyNumberFormat="1" applyFill="1" applyBorder="1"/>
    <xf numFmtId="2" fontId="0" fillId="3" borderId="8" xfId="0" applyNumberFormat="1" applyFill="1" applyBorder="1"/>
    <xf numFmtId="2" fontId="0" fillId="2" borderId="5" xfId="0" applyNumberFormat="1" applyFill="1" applyBorder="1"/>
    <xf numFmtId="2" fontId="0" fillId="2" borderId="0" xfId="0" applyNumberFormat="1" applyFill="1" applyBorder="1"/>
    <xf numFmtId="2" fontId="0" fillId="2" borderId="7" xfId="0" applyNumberFormat="1" applyFill="1" applyBorder="1"/>
    <xf numFmtId="2" fontId="0" fillId="7" borderId="5" xfId="0" applyNumberFormat="1" applyFill="1" applyBorder="1"/>
    <xf numFmtId="2" fontId="0" fillId="7" borderId="8" xfId="0" applyNumberFormat="1" applyFill="1" applyBorder="1"/>
    <xf numFmtId="2" fontId="0" fillId="8" borderId="5" xfId="0" applyNumberFormat="1" applyFill="1" applyBorder="1"/>
    <xf numFmtId="2" fontId="0" fillId="8" borderId="8" xfId="0" applyNumberFormat="1" applyFill="1" applyBorder="1"/>
    <xf numFmtId="2" fontId="0" fillId="2" borderId="8" xfId="0" applyNumberFormat="1" applyFill="1" applyBorder="1"/>
    <xf numFmtId="0" fontId="0" fillId="5" borderId="2" xfId="0" applyFill="1" applyBorder="1"/>
    <xf numFmtId="0" fontId="0" fillId="5" borderId="3" xfId="0" applyFill="1" applyBorder="1"/>
    <xf numFmtId="0" fontId="0" fillId="6" borderId="2" xfId="0" applyFill="1" applyBorder="1"/>
    <xf numFmtId="0" fontId="0" fillId="6" borderId="3" xfId="0" applyFill="1" applyBorder="1"/>
    <xf numFmtId="0" fontId="0" fillId="5" borderId="0" xfId="0" applyFill="1"/>
    <xf numFmtId="2" fontId="0" fillId="5" borderId="5" xfId="0" applyNumberFormat="1" applyFill="1" applyBorder="1"/>
    <xf numFmtId="2" fontId="0" fillId="5" borderId="8" xfId="0" applyNumberFormat="1" applyFill="1" applyBorder="1"/>
    <xf numFmtId="164" fontId="0" fillId="5" borderId="13" xfId="0" applyNumberFormat="1" applyFill="1" applyBorder="1"/>
    <xf numFmtId="164" fontId="0" fillId="5" borderId="9" xfId="0" applyNumberFormat="1" applyFill="1" applyBorder="1"/>
    <xf numFmtId="164" fontId="0" fillId="5" borderId="10" xfId="0" applyNumberFormat="1" applyFill="1" applyBorder="1"/>
    <xf numFmtId="0" fontId="2" fillId="6" borderId="13" xfId="0" applyFont="1" applyFill="1" applyBorder="1"/>
    <xf numFmtId="0" fontId="0" fillId="6" borderId="9" xfId="0" applyFill="1" applyBorder="1"/>
    <xf numFmtId="2" fontId="0" fillId="6" borderId="5" xfId="0" applyNumberFormat="1" applyFill="1" applyBorder="1"/>
    <xf numFmtId="2" fontId="0" fillId="6" borderId="13" xfId="0" applyNumberFormat="1" applyFill="1" applyBorder="1"/>
    <xf numFmtId="2" fontId="0" fillId="6" borderId="9" xfId="0" applyNumberFormat="1" applyFill="1" applyBorder="1"/>
    <xf numFmtId="2" fontId="0" fillId="6" borderId="10" xfId="0" applyNumberFormat="1" applyFill="1" applyBorder="1"/>
    <xf numFmtId="2" fontId="0" fillId="6" borderId="8" xfId="0" applyNumberFormat="1" applyFill="1" applyBorder="1"/>
    <xf numFmtId="164" fontId="0" fillId="6" borderId="13" xfId="0" applyNumberFormat="1" applyFill="1" applyBorder="1"/>
    <xf numFmtId="164" fontId="0" fillId="6" borderId="9" xfId="0" applyNumberFormat="1" applyFill="1" applyBorder="1"/>
    <xf numFmtId="164" fontId="0" fillId="6" borderId="10" xfId="0" applyNumberFormat="1" applyFill="1" applyBorder="1"/>
    <xf numFmtId="164" fontId="0" fillId="7" borderId="13" xfId="0" applyNumberFormat="1" applyFill="1" applyBorder="1"/>
    <xf numFmtId="164" fontId="0" fillId="7" borderId="9" xfId="0" applyNumberFormat="1" applyFill="1" applyBorder="1"/>
    <xf numFmtId="164" fontId="0" fillId="7" borderId="10" xfId="0" applyNumberFormat="1" applyFill="1" applyBorder="1"/>
    <xf numFmtId="0" fontId="0" fillId="8" borderId="2" xfId="0" applyFill="1" applyBorder="1"/>
    <xf numFmtId="0" fontId="0" fillId="8" borderId="3" xfId="0" applyFill="1" applyBorder="1"/>
    <xf numFmtId="2" fontId="0" fillId="8" borderId="11" xfId="0" applyNumberFormat="1" applyFill="1" applyBorder="1"/>
    <xf numFmtId="0" fontId="0" fillId="8" borderId="13" xfId="0" applyFill="1" applyBorder="1"/>
    <xf numFmtId="0" fontId="0" fillId="8" borderId="9" xfId="0" applyFill="1" applyBorder="1"/>
    <xf numFmtId="0" fontId="0" fillId="8" borderId="10" xfId="0" applyFill="1" applyBorder="1"/>
    <xf numFmtId="0" fontId="0" fillId="3" borderId="13" xfId="0" applyFill="1" applyBorder="1"/>
    <xf numFmtId="2" fontId="0" fillId="3" borderId="11" xfId="0" applyNumberFormat="1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3" xfId="0" applyFill="1" applyBorder="1"/>
    <xf numFmtId="0" fontId="0" fillId="0" borderId="10" xfId="0" applyFill="1" applyBorder="1"/>
    <xf numFmtId="0" fontId="0" fillId="0" borderId="9" xfId="0" applyFill="1" applyBorder="1"/>
    <xf numFmtId="2" fontId="0" fillId="0" borderId="1" xfId="0" applyNumberFormat="1" applyBorder="1"/>
    <xf numFmtId="2" fontId="0" fillId="0" borderId="12" xfId="0" applyNumberFormat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1" xfId="0" applyFont="1" applyBorder="1"/>
    <xf numFmtId="0" fontId="1" fillId="9" borderId="1" xfId="0" applyFont="1" applyFill="1" applyBorder="1"/>
    <xf numFmtId="0" fontId="0" fillId="0" borderId="13" xfId="0" applyBorder="1"/>
    <xf numFmtId="0" fontId="0" fillId="0" borderId="10" xfId="0" applyBorder="1"/>
    <xf numFmtId="0" fontId="0" fillId="0" borderId="9" xfId="0" applyBorder="1"/>
    <xf numFmtId="2" fontId="0" fillId="0" borderId="12" xfId="0" applyNumberFormat="1" applyFill="1" applyBorder="1"/>
    <xf numFmtId="0" fontId="1" fillId="0" borderId="13" xfId="0" applyFont="1" applyBorder="1"/>
    <xf numFmtId="0" fontId="0" fillId="0" borderId="0" xfId="0" applyBorder="1"/>
    <xf numFmtId="0" fontId="0" fillId="0" borderId="11" xfId="0" applyBorder="1"/>
    <xf numFmtId="0" fontId="0" fillId="0" borderId="5" xfId="0" applyBorder="1"/>
    <xf numFmtId="0" fontId="0" fillId="0" borderId="8" xfId="0" applyBorder="1"/>
    <xf numFmtId="0" fontId="1" fillId="0" borderId="11" xfId="0" applyFont="1" applyBorder="1"/>
    <xf numFmtId="0" fontId="0" fillId="0" borderId="3" xfId="0" applyBorder="1"/>
    <xf numFmtId="0" fontId="0" fillId="0" borderId="7" xfId="0" applyBorder="1"/>
    <xf numFmtId="0" fontId="1" fillId="0" borderId="9" xfId="0" applyFont="1" applyBorder="1"/>
    <xf numFmtId="0" fontId="1" fillId="0" borderId="10" xfId="0" applyFont="1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'Alltan na Bradhan'!$G$3:$G$16</c:f>
              <c:numCache>
                <c:formatCode>General</c:formatCode>
                <c:ptCount val="14"/>
                <c:pt idx="0">
                  <c:v>9.1379999999999999</c:v>
                </c:pt>
                <c:pt idx="1">
                  <c:v>15.229999999999999</c:v>
                </c:pt>
                <c:pt idx="2">
                  <c:v>24.367999999999999</c:v>
                </c:pt>
                <c:pt idx="3">
                  <c:v>30.459999999999997</c:v>
                </c:pt>
                <c:pt idx="4">
                  <c:v>39.597999999999999</c:v>
                </c:pt>
                <c:pt idx="5">
                  <c:v>48.735999999999997</c:v>
                </c:pt>
                <c:pt idx="6">
                  <c:v>54.827999999999996</c:v>
                </c:pt>
                <c:pt idx="7">
                  <c:v>63.965999999999994</c:v>
                </c:pt>
                <c:pt idx="8">
                  <c:v>70.057999999999993</c:v>
                </c:pt>
                <c:pt idx="9">
                  <c:v>79.195999999999998</c:v>
                </c:pt>
                <c:pt idx="10">
                  <c:v>88.333999999999989</c:v>
                </c:pt>
                <c:pt idx="11">
                  <c:v>94.425999999999988</c:v>
                </c:pt>
                <c:pt idx="12">
                  <c:v>103.56399999999999</c:v>
                </c:pt>
                <c:pt idx="13">
                  <c:v>112.702</c:v>
                </c:pt>
              </c:numCache>
            </c:numRef>
          </c:xVal>
          <c:yVal>
            <c:numRef>
              <c:f>'Alltan na Bradhan'!$P$3:$P$16</c:f>
              <c:numCache>
                <c:formatCode>General</c:formatCode>
                <c:ptCount val="14"/>
                <c:pt idx="0">
                  <c:v>1.2310000000000001</c:v>
                </c:pt>
                <c:pt idx="1">
                  <c:v>1.2</c:v>
                </c:pt>
                <c:pt idx="2">
                  <c:v>1.92</c:v>
                </c:pt>
                <c:pt idx="3">
                  <c:v>1.397</c:v>
                </c:pt>
                <c:pt idx="4">
                  <c:v>1.383</c:v>
                </c:pt>
                <c:pt idx="5">
                  <c:v>1.62</c:v>
                </c:pt>
                <c:pt idx="6">
                  <c:v>1.591</c:v>
                </c:pt>
                <c:pt idx="7">
                  <c:v>1.7410000000000001</c:v>
                </c:pt>
                <c:pt idx="8">
                  <c:v>1.655</c:v>
                </c:pt>
                <c:pt idx="9">
                  <c:v>1.208</c:v>
                </c:pt>
                <c:pt idx="10">
                  <c:v>1.625</c:v>
                </c:pt>
                <c:pt idx="11">
                  <c:v>1.52</c:v>
                </c:pt>
                <c:pt idx="12">
                  <c:v>1.242</c:v>
                </c:pt>
                <c:pt idx="13">
                  <c:v>1.34</c:v>
                </c:pt>
              </c:numCache>
            </c:numRef>
          </c:yVal>
        </c:ser>
        <c:dLbls/>
        <c:axId val="81010048"/>
        <c:axId val="81016320"/>
      </c:scatterChart>
      <c:valAx>
        <c:axId val="81010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016320"/>
        <c:crosses val="autoZero"/>
        <c:crossBetween val="midCat"/>
      </c:valAx>
      <c:valAx>
        <c:axId val="81016320"/>
        <c:scaling>
          <c:orientation val="minMax"/>
          <c:max val="2.2000000000000002"/>
          <c:min val="1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Fractal dimension (D)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010048"/>
        <c:crosses val="autoZero"/>
        <c:crossBetween val="midCat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2.7213035870516225E-2"/>
                  <c:y val="-0.25565434529017206"/>
                </c:manualLayout>
              </c:layout>
              <c:numFmt formatCode="General" sourceLinked="0"/>
            </c:trendlineLbl>
          </c:trendline>
          <c:xVal>
            <c:numRef>
              <c:f>Kinlochbervie!$C$28:$C$30</c:f>
              <c:numCache>
                <c:formatCode>General</c:formatCode>
                <c:ptCount val="3"/>
                <c:pt idx="0">
                  <c:v>7.08</c:v>
                </c:pt>
                <c:pt idx="1">
                  <c:v>2.83</c:v>
                </c:pt>
                <c:pt idx="2">
                  <c:v>0.47</c:v>
                </c:pt>
              </c:numCache>
            </c:numRef>
          </c:xVal>
          <c:yVal>
            <c:numRef>
              <c:f>Kinlochbervie!$D$23:$D$25</c:f>
              <c:numCache>
                <c:formatCode>0.00</c:formatCode>
                <c:ptCount val="3"/>
                <c:pt idx="0">
                  <c:v>5316.8927250308261</c:v>
                </c:pt>
                <c:pt idx="1">
                  <c:v>76351.476871632927</c:v>
                </c:pt>
                <c:pt idx="2">
                  <c:v>1871676.1476385763</c:v>
                </c:pt>
              </c:numCache>
            </c:numRef>
          </c:yVal>
        </c:ser>
        <c:dLbls/>
        <c:axId val="128885120"/>
        <c:axId val="128887040"/>
      </c:scatterChart>
      <c:valAx>
        <c:axId val="12888512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s0ze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28887040"/>
        <c:crosses val="autoZero"/>
        <c:crossBetween val="midCat"/>
      </c:valAx>
      <c:valAx>
        <c:axId val="128887040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28885120"/>
        <c:crossesAt val="1.0000000000000005E-2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4.215748031496068E-2"/>
                  <c:y val="-0.2208559346748323"/>
                </c:manualLayout>
              </c:layout>
              <c:numFmt formatCode="General" sourceLinked="0"/>
            </c:trendlineLbl>
          </c:trendline>
          <c:xVal>
            <c:numRef>
              <c:f>Kinlochbervie!$W$29:$W$31</c:f>
              <c:numCache>
                <c:formatCode>General</c:formatCode>
                <c:ptCount val="3"/>
                <c:pt idx="0">
                  <c:v>9.06</c:v>
                </c:pt>
                <c:pt idx="1">
                  <c:v>3.63</c:v>
                </c:pt>
                <c:pt idx="2">
                  <c:v>1.21</c:v>
                </c:pt>
              </c:numCache>
            </c:numRef>
          </c:xVal>
          <c:yVal>
            <c:numRef>
              <c:f>Kinlochbervie!$X$24:$X$26</c:f>
              <c:numCache>
                <c:formatCode>0.00</c:formatCode>
                <c:ptCount val="3"/>
                <c:pt idx="0">
                  <c:v>5073.746312684365</c:v>
                </c:pt>
                <c:pt idx="1">
                  <c:v>58255.813953488374</c:v>
                </c:pt>
                <c:pt idx="2">
                  <c:v>1197183.9147062232</c:v>
                </c:pt>
              </c:numCache>
            </c:numRef>
          </c:yVal>
        </c:ser>
        <c:dLbls/>
        <c:axId val="128916096"/>
        <c:axId val="128930560"/>
      </c:scatterChart>
      <c:valAx>
        <c:axId val="128916096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128930560"/>
        <c:crosses val="autoZero"/>
        <c:crossBetween val="midCat"/>
      </c:valAx>
      <c:valAx>
        <c:axId val="128930560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128916096"/>
        <c:crossesAt val="1.0000000000000005E-2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2.6110236220472441E-2"/>
                  <c:y val="-0.20738517060367442"/>
                </c:manualLayout>
              </c:layout>
              <c:numFmt formatCode="General" sourceLinked="0"/>
            </c:trendlineLbl>
          </c:trendline>
          <c:xVal>
            <c:numRef>
              <c:f>Kinlochbervie!$AQ$29:$AQ$31</c:f>
              <c:numCache>
                <c:formatCode>General</c:formatCode>
                <c:ptCount val="3"/>
                <c:pt idx="0">
                  <c:v>9.08</c:v>
                </c:pt>
                <c:pt idx="1">
                  <c:v>3.63</c:v>
                </c:pt>
                <c:pt idx="2">
                  <c:v>0.61</c:v>
                </c:pt>
              </c:numCache>
            </c:numRef>
          </c:xVal>
          <c:yVal>
            <c:numRef>
              <c:f>Kinlochbervie!$AR$24:$AR$26</c:f>
              <c:numCache>
                <c:formatCode>0.00</c:formatCode>
                <c:ptCount val="3"/>
                <c:pt idx="0">
                  <c:v>2693.3867735470944</c:v>
                </c:pt>
                <c:pt idx="1">
                  <c:v>38362.512873326465</c:v>
                </c:pt>
                <c:pt idx="2">
                  <c:v>827108.55735686433</c:v>
                </c:pt>
              </c:numCache>
            </c:numRef>
          </c:yVal>
        </c:ser>
        <c:dLbls/>
        <c:axId val="128947328"/>
        <c:axId val="128949248"/>
      </c:scatterChart>
      <c:valAx>
        <c:axId val="128947328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128949248"/>
        <c:crosses val="autoZero"/>
        <c:crossBetween val="midCat"/>
      </c:valAx>
      <c:valAx>
        <c:axId val="128949248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128947328"/>
        <c:crossesAt val="1.0000000000000005E-2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Kinlochbervie!$AZ$3:$AZ$19</c:f>
              <c:numCache>
                <c:formatCode>0.000</c:formatCode>
                <c:ptCount val="17"/>
                <c:pt idx="0">
                  <c:v>10.993380000000002</c:v>
                </c:pt>
                <c:pt idx="1">
                  <c:v>18.322300000000002</c:v>
                </c:pt>
                <c:pt idx="2">
                  <c:v>29.315680000000004</c:v>
                </c:pt>
                <c:pt idx="3">
                  <c:v>40.309060000000002</c:v>
                </c:pt>
                <c:pt idx="4">
                  <c:v>47.637980000000006</c:v>
                </c:pt>
                <c:pt idx="5">
                  <c:v>58.631360000000008</c:v>
                </c:pt>
                <c:pt idx="6">
                  <c:v>69.624740000000003</c:v>
                </c:pt>
                <c:pt idx="7">
                  <c:v>76.953660000000013</c:v>
                </c:pt>
                <c:pt idx="8">
                  <c:v>87.947040000000015</c:v>
                </c:pt>
                <c:pt idx="9">
                  <c:v>95.275960000000012</c:v>
                </c:pt>
                <c:pt idx="10">
                  <c:v>106.26934000000001</c:v>
                </c:pt>
                <c:pt idx="11">
                  <c:v>117.26272000000002</c:v>
                </c:pt>
                <c:pt idx="12">
                  <c:v>124.59164000000001</c:v>
                </c:pt>
                <c:pt idx="13">
                  <c:v>135.58502000000001</c:v>
                </c:pt>
                <c:pt idx="14">
                  <c:v>142.91394000000003</c:v>
                </c:pt>
                <c:pt idx="15">
                  <c:v>153.90732000000003</c:v>
                </c:pt>
                <c:pt idx="16">
                  <c:v>157.57178000000002</c:v>
                </c:pt>
              </c:numCache>
            </c:numRef>
          </c:xVal>
          <c:yVal>
            <c:numRef>
              <c:f>(Kinlochbervie!$BD$3:$BD$7,Kinlochbervie!$BD$10,Kinlochbervie!$BD$11,Kinlochbervie!$BD$12,Kinlochbervie!$BD$14,Kinlochbervie!$BD$15,Kinlochbervie!$BD$16,Kinlochbervie!$BD$18,Kinlochbervie!$BD$19)</c:f>
              <c:numCache>
                <c:formatCode>0.000</c:formatCode>
                <c:ptCount val="13"/>
                <c:pt idx="0">
                  <c:v>1.0680000000000001</c:v>
                </c:pt>
                <c:pt idx="1">
                  <c:v>0.85</c:v>
                </c:pt>
                <c:pt idx="2">
                  <c:v>1.0229999999999999</c:v>
                </c:pt>
                <c:pt idx="3">
                  <c:v>1.077</c:v>
                </c:pt>
                <c:pt idx="4">
                  <c:v>1.125</c:v>
                </c:pt>
                <c:pt idx="5">
                  <c:v>1.264</c:v>
                </c:pt>
                <c:pt idx="6">
                  <c:v>1.107</c:v>
                </c:pt>
                <c:pt idx="7">
                  <c:v>0.92800000000000005</c:v>
                </c:pt>
                <c:pt idx="8">
                  <c:v>1.141</c:v>
                </c:pt>
                <c:pt idx="9">
                  <c:v>1.306</c:v>
                </c:pt>
                <c:pt idx="10">
                  <c:v>0.85199999999999998</c:v>
                </c:pt>
                <c:pt idx="11">
                  <c:v>0.92800000000000005</c:v>
                </c:pt>
                <c:pt idx="12">
                  <c:v>0.20499999999999999</c:v>
                </c:pt>
              </c:numCache>
            </c:numRef>
          </c:yVal>
        </c:ser>
        <c:dLbls/>
        <c:axId val="128977920"/>
        <c:axId val="128988288"/>
      </c:scatterChart>
      <c:valAx>
        <c:axId val="128977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</c:title>
        <c:numFmt formatCode="0.000" sourceLinked="1"/>
        <c:majorTickMark val="none"/>
        <c:tickLblPos val="nextTo"/>
        <c:crossAx val="128988288"/>
        <c:crosses val="autoZero"/>
        <c:crossBetween val="midCat"/>
      </c:valAx>
      <c:valAx>
        <c:axId val="128988288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fractal dimension</a:t>
                </a:r>
              </a:p>
            </c:rich>
          </c:tx>
        </c:title>
        <c:numFmt formatCode="0.000" sourceLinked="1"/>
        <c:majorTickMark val="none"/>
        <c:tickLblPos val="nextTo"/>
        <c:crossAx val="128977920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Kinlochbervie!$AF$3:$AF$21</c:f>
              <c:numCache>
                <c:formatCode>0.000</c:formatCode>
                <c:ptCount val="19"/>
                <c:pt idx="0">
                  <c:v>11.74356</c:v>
                </c:pt>
                <c:pt idx="1">
                  <c:v>22.182279999999999</c:v>
                </c:pt>
                <c:pt idx="2">
                  <c:v>30.011320000000001</c:v>
                </c:pt>
                <c:pt idx="3">
                  <c:v>41.75488</c:v>
                </c:pt>
                <c:pt idx="4">
                  <c:v>53.498440000000002</c:v>
                </c:pt>
                <c:pt idx="5">
                  <c:v>65.242000000000004</c:v>
                </c:pt>
                <c:pt idx="6">
                  <c:v>73.071039999999996</c:v>
                </c:pt>
                <c:pt idx="7">
                  <c:v>83.50976</c:v>
                </c:pt>
                <c:pt idx="8">
                  <c:v>95.253320000000002</c:v>
                </c:pt>
                <c:pt idx="9">
                  <c:v>103.08235999999999</c:v>
                </c:pt>
                <c:pt idx="10">
                  <c:v>106.99688</c:v>
                </c:pt>
                <c:pt idx="11">
                  <c:v>114.82592</c:v>
                </c:pt>
                <c:pt idx="12">
                  <c:v>133.09368000000001</c:v>
                </c:pt>
                <c:pt idx="13">
                  <c:v>144.83724000000001</c:v>
                </c:pt>
                <c:pt idx="14">
                  <c:v>156.58080000000001</c:v>
                </c:pt>
                <c:pt idx="15">
                  <c:v>167.01952</c:v>
                </c:pt>
                <c:pt idx="16">
                  <c:v>174.84855999999999</c:v>
                </c:pt>
                <c:pt idx="17">
                  <c:v>186.59211999999999</c:v>
                </c:pt>
                <c:pt idx="18">
                  <c:v>194.42115999999999</c:v>
                </c:pt>
              </c:numCache>
            </c:numRef>
          </c:xVal>
          <c:yVal>
            <c:numRef>
              <c:f>(Kinlochbervie!$AJ$3:$AJ$19,Kinlochbervie!$AJ$21)</c:f>
              <c:numCache>
                <c:formatCode>0.000</c:formatCode>
                <c:ptCount val="18"/>
                <c:pt idx="0">
                  <c:v>1.3240000000000001</c:v>
                </c:pt>
                <c:pt idx="1">
                  <c:v>1.375</c:v>
                </c:pt>
                <c:pt idx="2">
                  <c:v>1.72</c:v>
                </c:pt>
                <c:pt idx="3">
                  <c:v>1.714</c:v>
                </c:pt>
                <c:pt idx="4">
                  <c:v>1.5660000000000001</c:v>
                </c:pt>
                <c:pt idx="5">
                  <c:v>1.5660000000000001</c:v>
                </c:pt>
                <c:pt idx="6">
                  <c:v>1.599</c:v>
                </c:pt>
                <c:pt idx="7">
                  <c:v>1.5289999999999999</c:v>
                </c:pt>
                <c:pt idx="8">
                  <c:v>1.8120000000000001</c:v>
                </c:pt>
                <c:pt idx="9">
                  <c:v>1.51</c:v>
                </c:pt>
                <c:pt idx="10">
                  <c:v>1.8240000000000001</c:v>
                </c:pt>
                <c:pt idx="11">
                  <c:v>1.6930000000000001</c:v>
                </c:pt>
                <c:pt idx="12">
                  <c:v>1.351</c:v>
                </c:pt>
                <c:pt idx="13">
                  <c:v>1.2430000000000001</c:v>
                </c:pt>
                <c:pt idx="14">
                  <c:v>1.7150000000000001</c:v>
                </c:pt>
                <c:pt idx="15">
                  <c:v>2.0819999999999999</c:v>
                </c:pt>
                <c:pt idx="16">
                  <c:v>1.706</c:v>
                </c:pt>
                <c:pt idx="17">
                  <c:v>1.64</c:v>
                </c:pt>
              </c:numCache>
            </c:numRef>
          </c:yVal>
        </c:ser>
        <c:dLbls/>
        <c:axId val="129028480"/>
        <c:axId val="129030400"/>
      </c:scatterChart>
      <c:valAx>
        <c:axId val="129028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</c:title>
        <c:numFmt formatCode="0.000" sourceLinked="1"/>
        <c:majorTickMark val="none"/>
        <c:tickLblPos val="nextTo"/>
        <c:crossAx val="129030400"/>
        <c:crosses val="autoZero"/>
        <c:crossBetween val="midCat"/>
      </c:valAx>
      <c:valAx>
        <c:axId val="129030400"/>
        <c:scaling>
          <c:orientation val="minMax"/>
          <c:min val="1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fractal dimension</a:t>
                </a:r>
              </a:p>
            </c:rich>
          </c:tx>
        </c:title>
        <c:numFmt formatCode="0.000" sourceLinked="1"/>
        <c:majorTickMark val="none"/>
        <c:tickLblPos val="nextTo"/>
        <c:crossAx val="129028480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trendline>
            <c:trendlineType val="linear"/>
          </c:trendline>
          <c:xVal>
            <c:numRef>
              <c:f>Kinlochbervie!$L$3:$L$20</c:f>
              <c:numCache>
                <c:formatCode>General</c:formatCode>
                <c:ptCount val="18"/>
                <c:pt idx="0">
                  <c:v>13.068000000000001</c:v>
                </c:pt>
                <c:pt idx="1">
                  <c:v>18.612000000000002</c:v>
                </c:pt>
                <c:pt idx="2">
                  <c:v>25.740000000000002</c:v>
                </c:pt>
                <c:pt idx="3">
                  <c:v>30.096</c:v>
                </c:pt>
                <c:pt idx="4">
                  <c:v>37.224000000000004</c:v>
                </c:pt>
                <c:pt idx="5">
                  <c:v>44.352000000000004</c:v>
                </c:pt>
                <c:pt idx="6">
                  <c:v>48.708000000000006</c:v>
                </c:pt>
                <c:pt idx="7">
                  <c:v>55.836000000000006</c:v>
                </c:pt>
                <c:pt idx="8">
                  <c:v>60.588000000000001</c:v>
                </c:pt>
                <c:pt idx="9">
                  <c:v>67.716000000000008</c:v>
                </c:pt>
                <c:pt idx="10">
                  <c:v>74.448000000000008</c:v>
                </c:pt>
                <c:pt idx="11">
                  <c:v>79.2</c:v>
                </c:pt>
                <c:pt idx="12">
                  <c:v>86.328000000000003</c:v>
                </c:pt>
                <c:pt idx="13">
                  <c:v>93.06</c:v>
                </c:pt>
                <c:pt idx="14">
                  <c:v>97.811999999999998</c:v>
                </c:pt>
                <c:pt idx="15">
                  <c:v>104.94000000000001</c:v>
                </c:pt>
                <c:pt idx="16">
                  <c:v>114.444</c:v>
                </c:pt>
                <c:pt idx="17">
                  <c:v>116.42400000000001</c:v>
                </c:pt>
              </c:numCache>
            </c:numRef>
          </c:xVal>
          <c:yVal>
            <c:numRef>
              <c:f>Kinlochbervie!$P$3:$P$20</c:f>
              <c:numCache>
                <c:formatCode>General</c:formatCode>
                <c:ptCount val="18"/>
                <c:pt idx="0">
                  <c:v>1.524</c:v>
                </c:pt>
                <c:pt idx="1">
                  <c:v>1.3029999999999999</c:v>
                </c:pt>
                <c:pt idx="2">
                  <c:v>1.92</c:v>
                </c:pt>
                <c:pt idx="3">
                  <c:v>1.667</c:v>
                </c:pt>
                <c:pt idx="4">
                  <c:v>1.5820000000000001</c:v>
                </c:pt>
                <c:pt idx="5">
                  <c:v>2.0960000000000001</c:v>
                </c:pt>
                <c:pt idx="6">
                  <c:v>1.4339999999999999</c:v>
                </c:pt>
                <c:pt idx="7">
                  <c:v>1.397</c:v>
                </c:pt>
                <c:pt idx="8">
                  <c:v>1.9870000000000001</c:v>
                </c:pt>
                <c:pt idx="9">
                  <c:v>1.7190000000000001</c:v>
                </c:pt>
                <c:pt idx="10">
                  <c:v>1.377</c:v>
                </c:pt>
                <c:pt idx="11">
                  <c:v>1.4590000000000001</c:v>
                </c:pt>
                <c:pt idx="12">
                  <c:v>1.8109999999999999</c:v>
                </c:pt>
                <c:pt idx="13">
                  <c:v>1.1000000000000001</c:v>
                </c:pt>
                <c:pt idx="14">
                  <c:v>1.266</c:v>
                </c:pt>
                <c:pt idx="15">
                  <c:v>0.73899999999999999</c:v>
                </c:pt>
                <c:pt idx="16">
                  <c:v>1.1419999999999999</c:v>
                </c:pt>
                <c:pt idx="17">
                  <c:v>1.2849999999999999</c:v>
                </c:pt>
              </c:numCache>
            </c:numRef>
          </c:yVal>
        </c:ser>
        <c:dLbls/>
        <c:axId val="129362560"/>
        <c:axId val="129368832"/>
      </c:scatterChart>
      <c:valAx>
        <c:axId val="129362560"/>
        <c:scaling>
          <c:orientation val="minMax"/>
          <c:min val="-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29368832"/>
        <c:crosses val="autoZero"/>
        <c:crossBetween val="midCat"/>
        <c:majorUnit val="20"/>
      </c:valAx>
      <c:valAx>
        <c:axId val="129368832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fractal dimension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29362560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Cumhann'!$E$4,'Caolas Cumhann'!$J$4,'Caolas Cumhann'!$O$4)</c:f>
              <c:numCache>
                <c:formatCode>0.00</c:formatCode>
                <c:ptCount val="3"/>
                <c:pt idx="0">
                  <c:v>329.41176470588232</c:v>
                </c:pt>
                <c:pt idx="1">
                  <c:v>1018.5185185185185</c:v>
                </c:pt>
                <c:pt idx="2">
                  <c:v>2625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Cumhann'!$E$5,'Caolas Cumhann'!$J$5,'Caolas Cumhann'!$O$5)</c:f>
              <c:numCache>
                <c:formatCode>0.00</c:formatCode>
                <c:ptCount val="3"/>
                <c:pt idx="0">
                  <c:v>285.71428571428572</c:v>
                </c:pt>
                <c:pt idx="1">
                  <c:v>1484.375</c:v>
                </c:pt>
                <c:pt idx="2">
                  <c:v>3962.2641509433961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Cumhann'!$E$6,'Caolas Cumhann'!$J$6,'Caolas Cumhann'!$O$6)</c:f>
              <c:numCache>
                <c:formatCode>0.00</c:formatCode>
                <c:ptCount val="3"/>
                <c:pt idx="0">
                  <c:v>307.69230769230774</c:v>
                </c:pt>
                <c:pt idx="1">
                  <c:v>2129.6296296296296</c:v>
                </c:pt>
                <c:pt idx="2">
                  <c:v>7000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Cumhann'!$E$7,'Caolas Cumhann'!$J$7,'Caolas Cumhann'!$O$7)</c:f>
              <c:numCache>
                <c:formatCode>0.00</c:formatCode>
                <c:ptCount val="3"/>
                <c:pt idx="0">
                  <c:v>366.66666666666663</c:v>
                </c:pt>
                <c:pt idx="1">
                  <c:v>2065.217391304348</c:v>
                </c:pt>
                <c:pt idx="2">
                  <c:v>11886.79245283019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Cumhann'!$E$8,'Caolas Cumhann'!$J$8,'Caolas Cumhann'!$O$8)</c:f>
              <c:numCache>
                <c:formatCode>0.00</c:formatCode>
                <c:ptCount val="3"/>
                <c:pt idx="0">
                  <c:v>400</c:v>
                </c:pt>
                <c:pt idx="1">
                  <c:v>1648.9361702127658</c:v>
                </c:pt>
                <c:pt idx="2">
                  <c:v>8181.8181818181811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Cumhann'!$E$9,'Caolas Cumhann'!$J$9,'Caolas Cumhann'!$O$9)</c:f>
              <c:numCache>
                <c:formatCode>0.00</c:formatCode>
                <c:ptCount val="3"/>
                <c:pt idx="0">
                  <c:v>363.63636363636363</c:v>
                </c:pt>
                <c:pt idx="1">
                  <c:v>1890.2439024390244</c:v>
                </c:pt>
                <c:pt idx="2">
                  <c:v>5454.545454545455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Cumhann'!$E$10,'Caolas Cumhann'!$J$10,'Caolas Cumhann'!$O$10)</c:f>
              <c:numCache>
                <c:formatCode>0.00</c:formatCode>
                <c:ptCount val="3"/>
                <c:pt idx="0">
                  <c:v>400</c:v>
                </c:pt>
                <c:pt idx="1">
                  <c:v>1363.6363636363635</c:v>
                </c:pt>
                <c:pt idx="2">
                  <c:v>6262.1359223300969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Cumhann'!$E$11,'Caolas Cumhann'!$J$11,'Caolas Cumhann'!$O$11)</c:f>
              <c:numCache>
                <c:formatCode>0.00</c:formatCode>
                <c:ptCount val="3"/>
                <c:pt idx="0">
                  <c:v>416</c:v>
                </c:pt>
                <c:pt idx="1">
                  <c:v>921.05263157894728</c:v>
                </c:pt>
                <c:pt idx="2">
                  <c:v>6375</c:v>
                </c:pt>
              </c:numCache>
            </c:numRef>
          </c:yVal>
        </c:ser>
        <c:ser>
          <c:idx val="8"/>
          <c:order val="8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Cumhann'!$E$12,'Caolas Cumhann'!$J$12,'Caolas Cumhann'!$O$12)</c:f>
              <c:numCache>
                <c:formatCode>0.00</c:formatCode>
                <c:ptCount val="3"/>
                <c:pt idx="0">
                  <c:v>215.38461538461539</c:v>
                </c:pt>
                <c:pt idx="1">
                  <c:v>1111.1111111111111</c:v>
                </c:pt>
                <c:pt idx="2">
                  <c:v>7500</c:v>
                </c:pt>
              </c:numCache>
            </c:numRef>
          </c:yVal>
        </c:ser>
        <c:ser>
          <c:idx val="9"/>
          <c:order val="9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Cumhann'!$E$13,'Caolas Cumhann'!$J$13,'Caolas Cumhann'!$O$13)</c:f>
              <c:numCache>
                <c:formatCode>0.00</c:formatCode>
                <c:ptCount val="3"/>
                <c:pt idx="0">
                  <c:v>320</c:v>
                </c:pt>
                <c:pt idx="1">
                  <c:v>1964.2857142857142</c:v>
                </c:pt>
                <c:pt idx="2">
                  <c:v>3088.2352941176468</c:v>
                </c:pt>
              </c:numCache>
            </c:numRef>
          </c:yVal>
        </c:ser>
        <c:ser>
          <c:idx val="10"/>
          <c:order val="10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Cumhann'!$E$14,'Caolas Cumhann'!$J$14,'Caolas Cumhann'!$O$14)</c:f>
              <c:numCache>
                <c:formatCode>0.00</c:formatCode>
                <c:ptCount val="3"/>
                <c:pt idx="0">
                  <c:v>342.85714285714283</c:v>
                </c:pt>
                <c:pt idx="1">
                  <c:v>1742.4242424242425</c:v>
                </c:pt>
                <c:pt idx="2">
                  <c:v>2142.8571428571427</c:v>
                </c:pt>
              </c:numCache>
            </c:numRef>
          </c:yVal>
        </c:ser>
        <c:ser>
          <c:idx val="11"/>
          <c:order val="11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Cumhann'!$E$15,'Caolas Cumhann'!$J$15,'Caolas Cumhann'!$O$15)</c:f>
              <c:numCache>
                <c:formatCode>0.00</c:formatCode>
                <c:ptCount val="3"/>
                <c:pt idx="0">
                  <c:v>400</c:v>
                </c:pt>
                <c:pt idx="1">
                  <c:v>1956.521739130435</c:v>
                </c:pt>
                <c:pt idx="2">
                  <c:v>5000</c:v>
                </c:pt>
              </c:numCache>
            </c:numRef>
          </c:yVal>
        </c:ser>
        <c:ser>
          <c:idx val="12"/>
          <c:order val="12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Cumhann'!$E$16,'Caolas Cumhann'!$J$16,'Caolas Cumhann'!$O$16)</c:f>
              <c:numCache>
                <c:formatCode>0.00</c:formatCode>
                <c:ptCount val="3"/>
                <c:pt idx="0">
                  <c:v>509.09090909090907</c:v>
                </c:pt>
                <c:pt idx="1">
                  <c:v>2019.2307692307693</c:v>
                </c:pt>
                <c:pt idx="2">
                  <c:v>9473.6842105263149</c:v>
                </c:pt>
              </c:numCache>
            </c:numRef>
          </c:yVal>
        </c:ser>
        <c:ser>
          <c:idx val="13"/>
          <c:order val="13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Cumhann'!$E$17,'Caolas Cumhann'!$J$17,'Caolas Cumhann'!$O$17)</c:f>
              <c:numCache>
                <c:formatCode>0.00</c:formatCode>
                <c:ptCount val="3"/>
                <c:pt idx="0">
                  <c:v>346.66666666666669</c:v>
                </c:pt>
                <c:pt idx="1">
                  <c:v>1736.1111111111111</c:v>
                </c:pt>
                <c:pt idx="2">
                  <c:v>5384.6153846153848</c:v>
                </c:pt>
              </c:numCache>
            </c:numRef>
          </c:yVal>
        </c:ser>
        <c:ser>
          <c:idx val="14"/>
          <c:order val="14"/>
          <c:spPr>
            <a:ln w="28575">
              <a:noFill/>
            </a:ln>
          </c:spPr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Cumhann'!$E$18,'Caolas Cumhann'!$J$18,'Caolas Cumhann'!$O$18)</c:f>
              <c:numCache>
                <c:formatCode>0.00</c:formatCode>
                <c:ptCount val="3"/>
                <c:pt idx="0">
                  <c:v>400</c:v>
                </c:pt>
                <c:pt idx="1">
                  <c:v>2031.25</c:v>
                </c:pt>
                <c:pt idx="2">
                  <c:v>9568.9655172413804</c:v>
                </c:pt>
              </c:numCache>
            </c:numRef>
          </c:yVal>
        </c:ser>
        <c:ser>
          <c:idx val="15"/>
          <c:order val="15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Cumhann'!$E$19,'Caolas Cumhann'!$J$19,'Caolas Cumhann'!$O$19)</c:f>
              <c:numCache>
                <c:formatCode>0.00</c:formatCode>
                <c:ptCount val="3"/>
                <c:pt idx="0">
                  <c:v>426.66666666666669</c:v>
                </c:pt>
                <c:pt idx="1">
                  <c:v>3035.7142857142853</c:v>
                </c:pt>
                <c:pt idx="2">
                  <c:v>14716.981132075472</c:v>
                </c:pt>
              </c:numCache>
            </c:numRef>
          </c:yVal>
        </c:ser>
        <c:dLbls/>
        <c:axId val="132252800"/>
        <c:axId val="132254720"/>
      </c:scatterChart>
      <c:valAx>
        <c:axId val="13225280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2254720"/>
        <c:crosses val="autoZero"/>
        <c:crossBetween val="midCat"/>
      </c:valAx>
      <c:valAx>
        <c:axId val="132254720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32252800"/>
        <c:crossesAt val="1"/>
        <c:crossBetween val="midCat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Cumhann'!$Y$6,'Caolas Cumhann'!$AD$6,'Caolas Cumhann'!$AI$6)</c:f>
              <c:numCache>
                <c:formatCode>0.00</c:formatCode>
                <c:ptCount val="3"/>
                <c:pt idx="0">
                  <c:v>66.666666666666657</c:v>
                </c:pt>
                <c:pt idx="1">
                  <c:v>1175</c:v>
                </c:pt>
                <c:pt idx="2">
                  <c:v>6840.6593406593402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Cumhann'!$Y$7,'Caolas Cumhann'!$AD$7,'Caolas Cumhann'!$AI$7)</c:f>
              <c:numCache>
                <c:formatCode>0.00</c:formatCode>
                <c:ptCount val="3"/>
                <c:pt idx="0">
                  <c:v>68.085106382978722</c:v>
                </c:pt>
                <c:pt idx="1">
                  <c:v>1050.7246376811593</c:v>
                </c:pt>
                <c:pt idx="2">
                  <c:v>7500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Cumhann'!$Y$8,'Caolas Cumhann'!$AD$8,'Caolas Cumhann'!$AI$8)</c:f>
              <c:numCache>
                <c:formatCode>0.00</c:formatCode>
                <c:ptCount val="3"/>
                <c:pt idx="0">
                  <c:v>263.15789473684214</c:v>
                </c:pt>
                <c:pt idx="1">
                  <c:v>1696.4285714285716</c:v>
                </c:pt>
                <c:pt idx="2">
                  <c:v>2333.3333333333335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Cumhann'!$Y$9,'Caolas Cumhann'!$AD$9,'Caolas Cumhann'!$AI$9)</c:f>
              <c:numCache>
                <c:formatCode>0.00</c:formatCode>
                <c:ptCount val="3"/>
                <c:pt idx="0">
                  <c:v>368</c:v>
                </c:pt>
                <c:pt idx="1">
                  <c:v>1294.1176470588236</c:v>
                </c:pt>
                <c:pt idx="2">
                  <c:v>6089.1089108910892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Cumhann'!$Y$10,'Caolas Cumhann'!$AD$10,'Caolas Cumhann'!$AI$10)</c:f>
              <c:numCache>
                <c:formatCode>0.00</c:formatCode>
                <c:ptCount val="3"/>
                <c:pt idx="0">
                  <c:v>240</c:v>
                </c:pt>
                <c:pt idx="1">
                  <c:v>1227.2727272727273</c:v>
                </c:pt>
                <c:pt idx="2">
                  <c:v>7307.6923076923076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Cumhann'!$Y$11,'Caolas Cumhann'!$AD$11,'Caolas Cumhann'!$AI$11)</c:f>
              <c:numCache>
                <c:formatCode>0.00</c:formatCode>
                <c:ptCount val="3"/>
                <c:pt idx="0">
                  <c:v>193.54838709677421</c:v>
                </c:pt>
                <c:pt idx="1">
                  <c:v>561.22448979591832</c:v>
                </c:pt>
                <c:pt idx="2">
                  <c:v>4848.484848484849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Cumhann'!$Y$12,'Caolas Cumhann'!$AD$12,'Caolas Cumhann'!$AI$12)</c:f>
              <c:numCache>
                <c:formatCode>0.00</c:formatCode>
                <c:ptCount val="3"/>
                <c:pt idx="0">
                  <c:v>189.4736842105263</c:v>
                </c:pt>
                <c:pt idx="1">
                  <c:v>1250</c:v>
                </c:pt>
                <c:pt idx="2">
                  <c:v>8831.7757009345787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Cumhann'!$Y$14,'Caolas Cumhann'!$AD$14,'Caolas Cumhann'!$AI$14)</c:f>
              <c:numCache>
                <c:formatCode>0.00</c:formatCode>
                <c:ptCount val="3"/>
                <c:pt idx="0">
                  <c:v>346.66666666666669</c:v>
                </c:pt>
                <c:pt idx="1">
                  <c:v>909.09090909090912</c:v>
                </c:pt>
                <c:pt idx="2">
                  <c:v>7211.5384615384619</c:v>
                </c:pt>
              </c:numCache>
            </c:numRef>
          </c:yVal>
        </c:ser>
        <c:ser>
          <c:idx val="8"/>
          <c:order val="8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Cumhann'!$Y$16,'Caolas Cumhann'!$AD$16,'Caolas Cumhann'!$AI$16)</c:f>
              <c:numCache>
                <c:formatCode>0.00</c:formatCode>
                <c:ptCount val="3"/>
                <c:pt idx="0">
                  <c:v>700</c:v>
                </c:pt>
                <c:pt idx="1">
                  <c:v>813.95348837209303</c:v>
                </c:pt>
                <c:pt idx="2">
                  <c:v>8048.7804878048782</c:v>
                </c:pt>
              </c:numCache>
            </c:numRef>
          </c:yVal>
        </c:ser>
        <c:dLbls/>
        <c:axId val="146846464"/>
        <c:axId val="146848384"/>
      </c:scatterChart>
      <c:valAx>
        <c:axId val="146846464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146848384"/>
        <c:crosses val="autoZero"/>
        <c:crossBetween val="midCat"/>
      </c:valAx>
      <c:valAx>
        <c:axId val="146848384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146846464"/>
        <c:crossesAt val="0.1"/>
        <c:crossBetween val="midCat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0.26039823405465667"/>
                  <c:y val="-0.21681630039495148"/>
                </c:manualLayout>
              </c:layout>
              <c:numFmt formatCode="General" sourceLinked="0"/>
            </c:trendlineLbl>
          </c:trendline>
          <c:xVal>
            <c:numRef>
              <c:f>'Caolas Cumhann'!$C$27:$C$29</c:f>
              <c:numCache>
                <c:formatCode>General</c:formatCode>
                <c:ptCount val="3"/>
                <c:pt idx="0">
                  <c:v>18.989999999999998</c:v>
                </c:pt>
                <c:pt idx="1">
                  <c:v>7.6</c:v>
                </c:pt>
                <c:pt idx="2">
                  <c:v>1.27</c:v>
                </c:pt>
              </c:numCache>
            </c:numRef>
          </c:xVal>
          <c:yVal>
            <c:numRef>
              <c:f>'Caolas Cumhann'!$D$22:$D$24</c:f>
              <c:numCache>
                <c:formatCode>0.00</c:formatCode>
                <c:ptCount val="3"/>
                <c:pt idx="0">
                  <c:v>3331.1036789297659</c:v>
                </c:pt>
                <c:pt idx="1">
                  <c:v>87106.299212598416</c:v>
                </c:pt>
                <c:pt idx="2">
                  <c:v>2215481.6112084063</c:v>
                </c:pt>
              </c:numCache>
            </c:numRef>
          </c:yVal>
        </c:ser>
        <c:dLbls/>
        <c:axId val="147082240"/>
        <c:axId val="147084416"/>
      </c:scatterChart>
      <c:valAx>
        <c:axId val="14708224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7084416"/>
        <c:crosses val="autoZero"/>
        <c:crossBetween val="midCat"/>
      </c:valAx>
      <c:valAx>
        <c:axId val="147084416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47082240"/>
        <c:crossesAt val="0.1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-0.18344900651363982"/>
                  <c:y val="2.6600781880443992E-2"/>
                </c:manualLayout>
              </c:layout>
              <c:numFmt formatCode="General" sourceLinked="0"/>
            </c:trendlineLbl>
          </c:trendline>
          <c:xVal>
            <c:numRef>
              <c:f>'Caolas Cumhann'!$W$27:$W$29</c:f>
              <c:numCache>
                <c:formatCode>General</c:formatCode>
                <c:ptCount val="3"/>
                <c:pt idx="0">
                  <c:v>9.08</c:v>
                </c:pt>
                <c:pt idx="1">
                  <c:v>3.63</c:v>
                </c:pt>
                <c:pt idx="2">
                  <c:v>0.61</c:v>
                </c:pt>
              </c:numCache>
            </c:numRef>
          </c:xVal>
          <c:yVal>
            <c:numRef>
              <c:f>'Caolas Cumhann'!$X$22:$X$24</c:f>
              <c:numCache>
                <c:formatCode>0.00</c:formatCode>
                <c:ptCount val="3"/>
                <c:pt idx="0">
                  <c:v>3027.0270270270271</c:v>
                </c:pt>
                <c:pt idx="1">
                  <c:v>58597.662771285475</c:v>
                </c:pt>
                <c:pt idx="2">
                  <c:v>1331784.7006352211</c:v>
                </c:pt>
              </c:numCache>
            </c:numRef>
          </c:yVal>
        </c:ser>
        <c:dLbls/>
        <c:axId val="147121664"/>
        <c:axId val="147123584"/>
      </c:scatterChart>
      <c:valAx>
        <c:axId val="147121664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147123584"/>
        <c:crosses val="autoZero"/>
        <c:crossBetween val="midCat"/>
      </c:valAx>
      <c:valAx>
        <c:axId val="147123584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147121664"/>
        <c:crossesAt val="1.0000000000000005E-2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'Alltan na Bradhan'!$AA$3:$AA$19</c:f>
              <c:numCache>
                <c:formatCode>General</c:formatCode>
                <c:ptCount val="17"/>
                <c:pt idx="0">
                  <c:v>4.9409999999999998</c:v>
                </c:pt>
                <c:pt idx="1">
                  <c:v>6.5880000000000001</c:v>
                </c:pt>
                <c:pt idx="2">
                  <c:v>9.8819999999999997</c:v>
                </c:pt>
                <c:pt idx="3">
                  <c:v>13.176</c:v>
                </c:pt>
                <c:pt idx="4">
                  <c:v>16.47</c:v>
                </c:pt>
                <c:pt idx="5">
                  <c:v>18.117000000000001</c:v>
                </c:pt>
                <c:pt idx="6">
                  <c:v>21.411000000000001</c:v>
                </c:pt>
                <c:pt idx="7">
                  <c:v>24.705000000000002</c:v>
                </c:pt>
                <c:pt idx="8">
                  <c:v>27.998999999999999</c:v>
                </c:pt>
                <c:pt idx="9">
                  <c:v>31.292999999999999</c:v>
                </c:pt>
                <c:pt idx="10">
                  <c:v>34.587000000000003</c:v>
                </c:pt>
                <c:pt idx="11">
                  <c:v>36.234000000000002</c:v>
                </c:pt>
                <c:pt idx="12">
                  <c:v>39.527999999999999</c:v>
                </c:pt>
                <c:pt idx="13">
                  <c:v>42.822000000000003</c:v>
                </c:pt>
                <c:pt idx="14">
                  <c:v>46.116</c:v>
                </c:pt>
                <c:pt idx="15">
                  <c:v>49.410000000000004</c:v>
                </c:pt>
                <c:pt idx="16">
                  <c:v>51.057000000000002</c:v>
                </c:pt>
              </c:numCache>
            </c:numRef>
          </c:xVal>
          <c:yVal>
            <c:numRef>
              <c:f>'Alltan na Bradhan'!$AJ$3:$AJ$19</c:f>
              <c:numCache>
                <c:formatCode>General</c:formatCode>
                <c:ptCount val="17"/>
                <c:pt idx="0">
                  <c:v>0.94299999999999995</c:v>
                </c:pt>
                <c:pt idx="1">
                  <c:v>1.0640000000000001</c:v>
                </c:pt>
                <c:pt idx="2">
                  <c:v>1.3540000000000001</c:v>
                </c:pt>
                <c:pt idx="3">
                  <c:v>1.1759999999999999</c:v>
                </c:pt>
                <c:pt idx="4">
                  <c:v>1.26</c:v>
                </c:pt>
                <c:pt idx="5">
                  <c:v>1.385</c:v>
                </c:pt>
                <c:pt idx="6">
                  <c:v>1.5580000000000001</c:v>
                </c:pt>
                <c:pt idx="7">
                  <c:v>1.5580000000000001</c:v>
                </c:pt>
                <c:pt idx="8">
                  <c:v>1.288</c:v>
                </c:pt>
                <c:pt idx="9">
                  <c:v>1.3460000000000001</c:v>
                </c:pt>
                <c:pt idx="10">
                  <c:v>1.385</c:v>
                </c:pt>
                <c:pt idx="11">
                  <c:v>1.4279999999999999</c:v>
                </c:pt>
                <c:pt idx="12">
                  <c:v>1.3260000000000001</c:v>
                </c:pt>
                <c:pt idx="13">
                  <c:v>1.2430000000000001</c:v>
                </c:pt>
                <c:pt idx="14">
                  <c:v>1.3260000000000001</c:v>
                </c:pt>
                <c:pt idx="15">
                  <c:v>1.2569999999999999</c:v>
                </c:pt>
                <c:pt idx="16">
                  <c:v>1.099</c:v>
                </c:pt>
              </c:numCache>
            </c:numRef>
          </c:yVal>
        </c:ser>
        <c:dLbls/>
        <c:axId val="81026432"/>
        <c:axId val="81030144"/>
      </c:scatterChart>
      <c:valAx>
        <c:axId val="81026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030144"/>
        <c:crosses val="autoZero"/>
        <c:crossBetween val="midCat"/>
      </c:valAx>
      <c:valAx>
        <c:axId val="81030144"/>
        <c:scaling>
          <c:orientation val="minMax"/>
          <c:min val="1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fractal dimension (D)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026432"/>
        <c:crosses val="autoZero"/>
        <c:crossBetween val="midCat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'Caolas Cumhann'!$L$3:$L$19</c:f>
              <c:numCache>
                <c:formatCode>General</c:formatCode>
                <c:ptCount val="17"/>
                <c:pt idx="0">
                  <c:v>36.120000000000005</c:v>
                </c:pt>
                <c:pt idx="1">
                  <c:v>58.050000000000004</c:v>
                </c:pt>
                <c:pt idx="2">
                  <c:v>79.98</c:v>
                </c:pt>
                <c:pt idx="3">
                  <c:v>95.460000000000008</c:v>
                </c:pt>
                <c:pt idx="4">
                  <c:v>117.39</c:v>
                </c:pt>
                <c:pt idx="5">
                  <c:v>132.87</c:v>
                </c:pt>
                <c:pt idx="6">
                  <c:v>154.80000000000001</c:v>
                </c:pt>
                <c:pt idx="7">
                  <c:v>176.73000000000002</c:v>
                </c:pt>
                <c:pt idx="8">
                  <c:v>190.92000000000002</c:v>
                </c:pt>
                <c:pt idx="9">
                  <c:v>212.85</c:v>
                </c:pt>
                <c:pt idx="10">
                  <c:v>228.33</c:v>
                </c:pt>
                <c:pt idx="11">
                  <c:v>248.97</c:v>
                </c:pt>
                <c:pt idx="12">
                  <c:v>270.90000000000003</c:v>
                </c:pt>
                <c:pt idx="13">
                  <c:v>286.38</c:v>
                </c:pt>
                <c:pt idx="14">
                  <c:v>308.31</c:v>
                </c:pt>
                <c:pt idx="15">
                  <c:v>330.24</c:v>
                </c:pt>
                <c:pt idx="16">
                  <c:v>345.72</c:v>
                </c:pt>
              </c:numCache>
            </c:numRef>
          </c:xVal>
          <c:yVal>
            <c:numRef>
              <c:f>'Caolas Cumhann'!$P$4:$P$19</c:f>
              <c:numCache>
                <c:formatCode>0.000</c:formatCode>
                <c:ptCount val="16"/>
                <c:pt idx="0">
                  <c:v>1.0640000000000001</c:v>
                </c:pt>
                <c:pt idx="1">
                  <c:v>1.339</c:v>
                </c:pt>
                <c:pt idx="2">
                  <c:v>1.5920000000000001</c:v>
                </c:pt>
                <c:pt idx="3">
                  <c:v>1.79</c:v>
                </c:pt>
                <c:pt idx="4">
                  <c:v>1.5569999999999999</c:v>
                </c:pt>
                <c:pt idx="5">
                  <c:v>1.381</c:v>
                </c:pt>
                <c:pt idx="6">
                  <c:v>1.4219999999999999</c:v>
                </c:pt>
                <c:pt idx="7">
                  <c:v>1.429</c:v>
                </c:pt>
                <c:pt idx="8">
                  <c:v>1.8320000000000001</c:v>
                </c:pt>
                <c:pt idx="9">
                  <c:v>1.137</c:v>
                </c:pt>
                <c:pt idx="10">
                  <c:v>0.91300000000000003</c:v>
                </c:pt>
                <c:pt idx="11">
                  <c:v>1.286</c:v>
                </c:pt>
                <c:pt idx="12">
                  <c:v>1.508</c:v>
                </c:pt>
                <c:pt idx="13">
                  <c:v>1.401</c:v>
                </c:pt>
                <c:pt idx="14">
                  <c:v>1.401</c:v>
                </c:pt>
                <c:pt idx="15">
                  <c:v>1.8140000000000001</c:v>
                </c:pt>
              </c:numCache>
            </c:numRef>
          </c:yVal>
        </c:ser>
        <c:dLbls/>
        <c:axId val="134032384"/>
        <c:axId val="134059136"/>
      </c:scatterChart>
      <c:valAx>
        <c:axId val="134032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4059136"/>
        <c:crosses val="autoZero"/>
        <c:crossBetween val="midCat"/>
      </c:valAx>
      <c:valAx>
        <c:axId val="134059136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fractal dimension</a:t>
                </a:r>
              </a:p>
            </c:rich>
          </c:tx>
          <c:layout/>
        </c:title>
        <c:numFmt formatCode="0.000" sourceLinked="1"/>
        <c:majorTickMark val="none"/>
        <c:tickLblPos val="nextTo"/>
        <c:crossAx val="134032384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'Caolas Cumhann'!$AF$3:$AF$16</c:f>
              <c:numCache>
                <c:formatCode>0.000</c:formatCode>
                <c:ptCount val="14"/>
                <c:pt idx="0">
                  <c:v>9.0836500000000004</c:v>
                </c:pt>
                <c:pt idx="1">
                  <c:v>18.167300000000001</c:v>
                </c:pt>
                <c:pt idx="2">
                  <c:v>27.25095</c:v>
                </c:pt>
                <c:pt idx="3">
                  <c:v>39.36248333333333</c:v>
                </c:pt>
                <c:pt idx="4">
                  <c:v>48.446133333333336</c:v>
                </c:pt>
                <c:pt idx="5">
                  <c:v>57.529783333333334</c:v>
                </c:pt>
                <c:pt idx="6">
                  <c:v>67.219009999999997</c:v>
                </c:pt>
                <c:pt idx="7">
                  <c:v>76.302660000000003</c:v>
                </c:pt>
                <c:pt idx="8">
                  <c:v>85.386309999999995</c:v>
                </c:pt>
                <c:pt idx="9">
                  <c:v>94.46996</c:v>
                </c:pt>
                <c:pt idx="10">
                  <c:v>106.58149333333333</c:v>
                </c:pt>
                <c:pt idx="11">
                  <c:v>112.63726</c:v>
                </c:pt>
                <c:pt idx="12">
                  <c:v>122.32648666666667</c:v>
                </c:pt>
                <c:pt idx="13">
                  <c:v>134.43801999999999</c:v>
                </c:pt>
              </c:numCache>
            </c:numRef>
          </c:xVal>
          <c:yVal>
            <c:numRef>
              <c:f>('Caolas Cumhann'!$AJ$6:$AJ$12,'Caolas Cumhann'!$AJ$14,'Caolas Cumhann'!$AJ$16)</c:f>
              <c:numCache>
                <c:formatCode>General</c:formatCode>
                <c:ptCount val="9"/>
                <c:pt idx="0">
                  <c:v>2.121</c:v>
                </c:pt>
                <c:pt idx="1">
                  <c:v>2.15</c:v>
                </c:pt>
                <c:pt idx="2">
                  <c:v>1.008</c:v>
                </c:pt>
                <c:pt idx="3">
                  <c:v>1.2769999999999999</c:v>
                </c:pt>
                <c:pt idx="4">
                  <c:v>1.556</c:v>
                </c:pt>
                <c:pt idx="5">
                  <c:v>1.4590000000000001</c:v>
                </c:pt>
                <c:pt idx="6">
                  <c:v>1.7509999999999999</c:v>
                </c:pt>
                <c:pt idx="7">
                  <c:v>1.3740000000000001</c:v>
                </c:pt>
                <c:pt idx="8">
                  <c:v>1.095</c:v>
                </c:pt>
              </c:numCache>
            </c:numRef>
          </c:yVal>
        </c:ser>
        <c:dLbls/>
        <c:axId val="146080512"/>
        <c:axId val="146082432"/>
      </c:scatterChart>
      <c:valAx>
        <c:axId val="146080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</c:title>
        <c:numFmt formatCode="0.000" sourceLinked="1"/>
        <c:majorTickMark val="none"/>
        <c:tickLblPos val="nextTo"/>
        <c:crossAx val="146082432"/>
        <c:crosses val="autoZero"/>
        <c:crossBetween val="midCat"/>
      </c:valAx>
      <c:valAx>
        <c:axId val="146082432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fractal dimension</a:t>
                </a:r>
              </a:p>
            </c:rich>
          </c:tx>
        </c:title>
        <c:numFmt formatCode="General" sourceLinked="1"/>
        <c:majorTickMark val="none"/>
        <c:tickLblPos val="nextTo"/>
        <c:crossAx val="146080512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tx>
            <c:v>Alltan na Bradhan - perpendicular to foliation</c:v>
          </c:tx>
          <c:spPr>
            <a:ln w="19050">
              <a:solidFill>
                <a:schemeClr val="bg1"/>
              </a:solidFill>
            </a:ln>
          </c:spPr>
          <c:marker>
            <c:symbol val="none"/>
          </c:marker>
          <c:trendline>
            <c:spPr>
              <a:ln w="19050">
                <a:solidFill>
                  <a:schemeClr val="accent1"/>
                </a:solidFill>
              </a:ln>
            </c:spPr>
            <c:trendlineType val="movingAvg"/>
            <c:period val="2"/>
          </c:trendline>
          <c:xVal>
            <c:numRef>
              <c:f>'Alltan na Bradhan'!$L$3:$L$16</c:f>
              <c:numCache>
                <c:formatCode>General</c:formatCode>
                <c:ptCount val="14"/>
                <c:pt idx="0">
                  <c:v>7.95</c:v>
                </c:pt>
                <c:pt idx="1">
                  <c:v>15.9</c:v>
                </c:pt>
                <c:pt idx="2">
                  <c:v>23.85</c:v>
                </c:pt>
                <c:pt idx="3">
                  <c:v>31.8</c:v>
                </c:pt>
                <c:pt idx="4">
                  <c:v>39.75</c:v>
                </c:pt>
                <c:pt idx="5">
                  <c:v>47.7</c:v>
                </c:pt>
                <c:pt idx="6">
                  <c:v>55.65</c:v>
                </c:pt>
                <c:pt idx="7">
                  <c:v>63.6</c:v>
                </c:pt>
                <c:pt idx="8">
                  <c:v>71.55</c:v>
                </c:pt>
                <c:pt idx="9">
                  <c:v>79.5</c:v>
                </c:pt>
                <c:pt idx="10">
                  <c:v>87.45</c:v>
                </c:pt>
                <c:pt idx="11">
                  <c:v>95.4</c:v>
                </c:pt>
                <c:pt idx="12">
                  <c:v>103.35000000000001</c:v>
                </c:pt>
                <c:pt idx="13">
                  <c:v>111.3</c:v>
                </c:pt>
              </c:numCache>
            </c:numRef>
          </c:xVal>
          <c:yVal>
            <c:numRef>
              <c:f>'Alltan na Bradhan'!$P$3:$P$16</c:f>
              <c:numCache>
                <c:formatCode>General</c:formatCode>
                <c:ptCount val="14"/>
                <c:pt idx="0">
                  <c:v>1.2310000000000001</c:v>
                </c:pt>
                <c:pt idx="1">
                  <c:v>1.2</c:v>
                </c:pt>
                <c:pt idx="2">
                  <c:v>1.92</c:v>
                </c:pt>
                <c:pt idx="3">
                  <c:v>1.397</c:v>
                </c:pt>
                <c:pt idx="4">
                  <c:v>1.383</c:v>
                </c:pt>
                <c:pt idx="5">
                  <c:v>1.62</c:v>
                </c:pt>
                <c:pt idx="6">
                  <c:v>1.591</c:v>
                </c:pt>
                <c:pt idx="7">
                  <c:v>1.7410000000000001</c:v>
                </c:pt>
                <c:pt idx="8">
                  <c:v>1.655</c:v>
                </c:pt>
                <c:pt idx="9">
                  <c:v>1.208</c:v>
                </c:pt>
                <c:pt idx="10">
                  <c:v>1.625</c:v>
                </c:pt>
                <c:pt idx="11">
                  <c:v>1.52</c:v>
                </c:pt>
                <c:pt idx="12">
                  <c:v>1.242</c:v>
                </c:pt>
                <c:pt idx="13">
                  <c:v>1.34</c:v>
                </c:pt>
              </c:numCache>
            </c:numRef>
          </c:yVal>
        </c:ser>
        <c:ser>
          <c:idx val="1"/>
          <c:order val="1"/>
          <c:tx>
            <c:v>Alltan na Bradhan - parallel to foliation</c:v>
          </c:tx>
          <c:spPr>
            <a:ln w="19050">
              <a:solidFill>
                <a:schemeClr val="bg1"/>
              </a:solidFill>
              <a:prstDash val="lgDash"/>
            </a:ln>
          </c:spPr>
          <c:marker>
            <c:symbol val="none"/>
          </c:marker>
          <c:trendline>
            <c:spPr>
              <a:ln w="19050">
                <a:solidFill>
                  <a:schemeClr val="accent1"/>
                </a:solidFill>
                <a:prstDash val="lgDash"/>
              </a:ln>
            </c:spPr>
            <c:trendlineType val="movingAvg"/>
            <c:period val="2"/>
          </c:trendline>
          <c:xVal>
            <c:numRef>
              <c:f>'Alltan na Bradhan'!$AF$3:$AF$19</c:f>
              <c:numCache>
                <c:formatCode>General</c:formatCode>
                <c:ptCount val="17"/>
                <c:pt idx="0">
                  <c:v>3.13</c:v>
                </c:pt>
                <c:pt idx="1">
                  <c:v>6.26</c:v>
                </c:pt>
                <c:pt idx="2">
                  <c:v>9.39</c:v>
                </c:pt>
                <c:pt idx="3">
                  <c:v>12.52</c:v>
                </c:pt>
                <c:pt idx="4">
                  <c:v>15.649999999999999</c:v>
                </c:pt>
                <c:pt idx="5">
                  <c:v>18.78</c:v>
                </c:pt>
                <c:pt idx="6">
                  <c:v>21.91</c:v>
                </c:pt>
                <c:pt idx="7">
                  <c:v>25.04</c:v>
                </c:pt>
                <c:pt idx="8">
                  <c:v>28.169999999999998</c:v>
                </c:pt>
                <c:pt idx="9">
                  <c:v>31.299999999999997</c:v>
                </c:pt>
                <c:pt idx="10">
                  <c:v>34.43</c:v>
                </c:pt>
                <c:pt idx="11">
                  <c:v>37.56</c:v>
                </c:pt>
                <c:pt idx="12">
                  <c:v>40.69</c:v>
                </c:pt>
                <c:pt idx="13">
                  <c:v>43.82</c:v>
                </c:pt>
                <c:pt idx="14">
                  <c:v>46.949999999999996</c:v>
                </c:pt>
                <c:pt idx="15">
                  <c:v>50.08</c:v>
                </c:pt>
                <c:pt idx="16">
                  <c:v>53.21</c:v>
                </c:pt>
              </c:numCache>
            </c:numRef>
          </c:xVal>
          <c:yVal>
            <c:numRef>
              <c:f>'Alltan na Bradhan'!$AJ$3:$AJ$19</c:f>
              <c:numCache>
                <c:formatCode>General</c:formatCode>
                <c:ptCount val="17"/>
                <c:pt idx="0">
                  <c:v>0.94299999999999995</c:v>
                </c:pt>
                <c:pt idx="1">
                  <c:v>1.0640000000000001</c:v>
                </c:pt>
                <c:pt idx="2">
                  <c:v>1.3540000000000001</c:v>
                </c:pt>
                <c:pt idx="3">
                  <c:v>1.1759999999999999</c:v>
                </c:pt>
                <c:pt idx="4">
                  <c:v>1.26</c:v>
                </c:pt>
                <c:pt idx="5">
                  <c:v>1.385</c:v>
                </c:pt>
                <c:pt idx="6">
                  <c:v>1.5580000000000001</c:v>
                </c:pt>
                <c:pt idx="7">
                  <c:v>1.5580000000000001</c:v>
                </c:pt>
                <c:pt idx="8">
                  <c:v>1.288</c:v>
                </c:pt>
                <c:pt idx="9">
                  <c:v>1.3460000000000001</c:v>
                </c:pt>
                <c:pt idx="10">
                  <c:v>1.385</c:v>
                </c:pt>
                <c:pt idx="11">
                  <c:v>1.4279999999999999</c:v>
                </c:pt>
                <c:pt idx="12">
                  <c:v>1.3260000000000001</c:v>
                </c:pt>
                <c:pt idx="13">
                  <c:v>1.2430000000000001</c:v>
                </c:pt>
                <c:pt idx="14">
                  <c:v>1.3260000000000001</c:v>
                </c:pt>
                <c:pt idx="15">
                  <c:v>1.2569999999999999</c:v>
                </c:pt>
                <c:pt idx="16">
                  <c:v>1.099</c:v>
                </c:pt>
              </c:numCache>
            </c:numRef>
          </c:yVal>
        </c:ser>
        <c:ser>
          <c:idx val="2"/>
          <c:order val="2"/>
          <c:tx>
            <c:v>Kinlochbervie - front cliff</c:v>
          </c:tx>
          <c:spPr>
            <a:ln w="19050">
              <a:solidFill>
                <a:schemeClr val="bg1"/>
              </a:solidFill>
            </a:ln>
          </c:spPr>
          <c:marker>
            <c:symbol val="none"/>
          </c:marker>
          <c:trendline>
            <c:spPr>
              <a:ln w="19050">
                <a:solidFill>
                  <a:srgbClr val="C0504D">
                    <a:lumMod val="60000"/>
                    <a:lumOff val="40000"/>
                  </a:srgbClr>
                </a:solidFill>
              </a:ln>
            </c:spPr>
            <c:trendlineType val="movingAvg"/>
            <c:period val="2"/>
          </c:trendline>
          <c:xVal>
            <c:numRef>
              <c:f>Kinlochbervie!$L$3:$L$20</c:f>
              <c:numCache>
                <c:formatCode>General</c:formatCode>
                <c:ptCount val="18"/>
                <c:pt idx="0">
                  <c:v>13.068000000000001</c:v>
                </c:pt>
                <c:pt idx="1">
                  <c:v>18.612000000000002</c:v>
                </c:pt>
                <c:pt idx="2">
                  <c:v>25.740000000000002</c:v>
                </c:pt>
                <c:pt idx="3">
                  <c:v>30.096</c:v>
                </c:pt>
                <c:pt idx="4">
                  <c:v>37.224000000000004</c:v>
                </c:pt>
                <c:pt idx="5">
                  <c:v>44.352000000000004</c:v>
                </c:pt>
                <c:pt idx="6">
                  <c:v>48.708000000000006</c:v>
                </c:pt>
                <c:pt idx="7">
                  <c:v>55.836000000000006</c:v>
                </c:pt>
                <c:pt idx="8">
                  <c:v>60.588000000000001</c:v>
                </c:pt>
                <c:pt idx="9">
                  <c:v>67.716000000000008</c:v>
                </c:pt>
                <c:pt idx="10">
                  <c:v>74.448000000000008</c:v>
                </c:pt>
                <c:pt idx="11">
                  <c:v>79.2</c:v>
                </c:pt>
                <c:pt idx="12">
                  <c:v>86.328000000000003</c:v>
                </c:pt>
                <c:pt idx="13">
                  <c:v>93.06</c:v>
                </c:pt>
                <c:pt idx="14">
                  <c:v>97.811999999999998</c:v>
                </c:pt>
                <c:pt idx="15">
                  <c:v>104.94000000000001</c:v>
                </c:pt>
                <c:pt idx="16">
                  <c:v>114.444</c:v>
                </c:pt>
                <c:pt idx="17">
                  <c:v>116.42400000000001</c:v>
                </c:pt>
              </c:numCache>
            </c:numRef>
          </c:xVal>
          <c:yVal>
            <c:numRef>
              <c:f>Kinlochbervie!$P$3:$P$20</c:f>
              <c:numCache>
                <c:formatCode>General</c:formatCode>
                <c:ptCount val="18"/>
                <c:pt idx="0">
                  <c:v>1.524</c:v>
                </c:pt>
                <c:pt idx="1">
                  <c:v>1.3029999999999999</c:v>
                </c:pt>
                <c:pt idx="2">
                  <c:v>1.92</c:v>
                </c:pt>
                <c:pt idx="3">
                  <c:v>1.667</c:v>
                </c:pt>
                <c:pt idx="4">
                  <c:v>1.5820000000000001</c:v>
                </c:pt>
                <c:pt idx="5">
                  <c:v>2.0960000000000001</c:v>
                </c:pt>
                <c:pt idx="6">
                  <c:v>1.4339999999999999</c:v>
                </c:pt>
                <c:pt idx="7">
                  <c:v>1.397</c:v>
                </c:pt>
                <c:pt idx="8">
                  <c:v>1.9870000000000001</c:v>
                </c:pt>
                <c:pt idx="9">
                  <c:v>1.7190000000000001</c:v>
                </c:pt>
                <c:pt idx="10">
                  <c:v>1.377</c:v>
                </c:pt>
                <c:pt idx="11">
                  <c:v>1.4590000000000001</c:v>
                </c:pt>
                <c:pt idx="12">
                  <c:v>1.8109999999999999</c:v>
                </c:pt>
                <c:pt idx="13">
                  <c:v>1.1000000000000001</c:v>
                </c:pt>
                <c:pt idx="14">
                  <c:v>1.266</c:v>
                </c:pt>
                <c:pt idx="15">
                  <c:v>0.73899999999999999</c:v>
                </c:pt>
                <c:pt idx="16">
                  <c:v>1.1419999999999999</c:v>
                </c:pt>
                <c:pt idx="17">
                  <c:v>1.2849999999999999</c:v>
                </c:pt>
              </c:numCache>
            </c:numRef>
          </c:yVal>
        </c:ser>
        <c:ser>
          <c:idx val="3"/>
          <c:order val="3"/>
          <c:tx>
            <c:v>Kinlochbervie - main cliff</c:v>
          </c:tx>
          <c:spPr>
            <a:ln w="19050">
              <a:solidFill>
                <a:schemeClr val="bg1"/>
              </a:solidFill>
              <a:prstDash val="lgDash"/>
            </a:ln>
          </c:spPr>
          <c:marker>
            <c:symbol val="none"/>
          </c:marker>
          <c:trendline>
            <c:spPr>
              <a:ln w="19050">
                <a:solidFill>
                  <a:schemeClr val="accent2">
                    <a:lumMod val="60000"/>
                    <a:lumOff val="40000"/>
                  </a:schemeClr>
                </a:solidFill>
                <a:prstDash val="lgDash"/>
              </a:ln>
            </c:spPr>
            <c:trendlineType val="movingAvg"/>
            <c:period val="2"/>
          </c:trendline>
          <c:xVal>
            <c:numRef>
              <c:f>(Kinlochbervie!$AF$3:$AF$19,Kinlochbervie!$AF$21)</c:f>
              <c:numCache>
                <c:formatCode>0.000</c:formatCode>
                <c:ptCount val="18"/>
                <c:pt idx="0">
                  <c:v>11.74356</c:v>
                </c:pt>
                <c:pt idx="1">
                  <c:v>22.182279999999999</c:v>
                </c:pt>
                <c:pt idx="2">
                  <c:v>30.011320000000001</c:v>
                </c:pt>
                <c:pt idx="3">
                  <c:v>41.75488</c:v>
                </c:pt>
                <c:pt idx="4">
                  <c:v>53.498440000000002</c:v>
                </c:pt>
                <c:pt idx="5">
                  <c:v>65.242000000000004</c:v>
                </c:pt>
                <c:pt idx="6">
                  <c:v>73.071039999999996</c:v>
                </c:pt>
                <c:pt idx="7">
                  <c:v>83.50976</c:v>
                </c:pt>
                <c:pt idx="8">
                  <c:v>95.253320000000002</c:v>
                </c:pt>
                <c:pt idx="9">
                  <c:v>103.08235999999999</c:v>
                </c:pt>
                <c:pt idx="10">
                  <c:v>106.99688</c:v>
                </c:pt>
                <c:pt idx="11">
                  <c:v>114.82592</c:v>
                </c:pt>
                <c:pt idx="12">
                  <c:v>133.09368000000001</c:v>
                </c:pt>
                <c:pt idx="13">
                  <c:v>144.83724000000001</c:v>
                </c:pt>
                <c:pt idx="14">
                  <c:v>156.58080000000001</c:v>
                </c:pt>
                <c:pt idx="15">
                  <c:v>167.01952</c:v>
                </c:pt>
                <c:pt idx="16">
                  <c:v>174.84855999999999</c:v>
                </c:pt>
                <c:pt idx="17">
                  <c:v>194.42115999999999</c:v>
                </c:pt>
              </c:numCache>
            </c:numRef>
          </c:xVal>
          <c:yVal>
            <c:numRef>
              <c:f>(Kinlochbervie!$AJ$3:$AJ$19,Kinlochbervie!$AJ$21)</c:f>
              <c:numCache>
                <c:formatCode>0.000</c:formatCode>
                <c:ptCount val="18"/>
                <c:pt idx="0">
                  <c:v>1.3240000000000001</c:v>
                </c:pt>
                <c:pt idx="1">
                  <c:v>1.375</c:v>
                </c:pt>
                <c:pt idx="2">
                  <c:v>1.72</c:v>
                </c:pt>
                <c:pt idx="3">
                  <c:v>1.714</c:v>
                </c:pt>
                <c:pt idx="4">
                  <c:v>1.5660000000000001</c:v>
                </c:pt>
                <c:pt idx="5">
                  <c:v>1.5660000000000001</c:v>
                </c:pt>
                <c:pt idx="6">
                  <c:v>1.599</c:v>
                </c:pt>
                <c:pt idx="7">
                  <c:v>1.5289999999999999</c:v>
                </c:pt>
                <c:pt idx="8">
                  <c:v>1.8120000000000001</c:v>
                </c:pt>
                <c:pt idx="9">
                  <c:v>1.51</c:v>
                </c:pt>
                <c:pt idx="10">
                  <c:v>1.8240000000000001</c:v>
                </c:pt>
                <c:pt idx="11">
                  <c:v>1.6930000000000001</c:v>
                </c:pt>
                <c:pt idx="12">
                  <c:v>1.351</c:v>
                </c:pt>
                <c:pt idx="13">
                  <c:v>1.2430000000000001</c:v>
                </c:pt>
                <c:pt idx="14">
                  <c:v>1.7150000000000001</c:v>
                </c:pt>
                <c:pt idx="15">
                  <c:v>2.0819999999999999</c:v>
                </c:pt>
                <c:pt idx="16">
                  <c:v>1.706</c:v>
                </c:pt>
                <c:pt idx="17">
                  <c:v>1.64</c:v>
                </c:pt>
              </c:numCache>
            </c:numRef>
          </c:yVal>
        </c:ser>
        <c:ser>
          <c:idx val="4"/>
          <c:order val="4"/>
          <c:tx>
            <c:v>Kinlochbervie - back cliff</c:v>
          </c:tx>
          <c:spPr>
            <a:ln w="19050">
              <a:solidFill>
                <a:schemeClr val="bg1"/>
              </a:solidFill>
              <a:prstDash val="sysDash"/>
            </a:ln>
          </c:spPr>
          <c:marker>
            <c:symbol val="none"/>
          </c:marker>
          <c:trendline>
            <c:spPr>
              <a:ln w="19050">
                <a:solidFill>
                  <a:schemeClr val="accent2">
                    <a:lumMod val="60000"/>
                    <a:lumOff val="40000"/>
                  </a:schemeClr>
                </a:solidFill>
                <a:prstDash val="sysDash"/>
              </a:ln>
            </c:spPr>
            <c:trendlineType val="movingAvg"/>
            <c:period val="2"/>
          </c:trendline>
          <c:xVal>
            <c:numRef>
              <c:f>(Kinlochbervie!$AZ$3:$AZ$7,Kinlochbervie!$AZ$10:$AZ$12,Kinlochbervie!$AZ$14:$AZ$16,Kinlochbervie!$AZ$18:$AZ$19)</c:f>
              <c:numCache>
                <c:formatCode>0.000</c:formatCode>
                <c:ptCount val="13"/>
                <c:pt idx="0">
                  <c:v>10.993380000000002</c:v>
                </c:pt>
                <c:pt idx="1">
                  <c:v>18.322300000000002</c:v>
                </c:pt>
                <c:pt idx="2">
                  <c:v>29.315680000000004</c:v>
                </c:pt>
                <c:pt idx="3">
                  <c:v>40.309060000000002</c:v>
                </c:pt>
                <c:pt idx="4">
                  <c:v>47.637980000000006</c:v>
                </c:pt>
                <c:pt idx="5">
                  <c:v>76.953660000000013</c:v>
                </c:pt>
                <c:pt idx="6">
                  <c:v>87.947040000000015</c:v>
                </c:pt>
                <c:pt idx="7">
                  <c:v>95.275960000000012</c:v>
                </c:pt>
                <c:pt idx="8">
                  <c:v>117.26272000000002</c:v>
                </c:pt>
                <c:pt idx="9">
                  <c:v>124.59164000000001</c:v>
                </c:pt>
                <c:pt idx="10">
                  <c:v>135.58502000000001</c:v>
                </c:pt>
                <c:pt idx="11">
                  <c:v>153.90732000000003</c:v>
                </c:pt>
                <c:pt idx="12">
                  <c:v>157.57178000000002</c:v>
                </c:pt>
              </c:numCache>
            </c:numRef>
          </c:xVal>
          <c:yVal>
            <c:numRef>
              <c:f>(Kinlochbervie!$BD$3:$BD$7,Kinlochbervie!$BD$10:$BD$12,Kinlochbervie!$BD$14:$BD$16,Kinlochbervie!$BD$18:$BD$19)</c:f>
              <c:numCache>
                <c:formatCode>0.000</c:formatCode>
                <c:ptCount val="13"/>
                <c:pt idx="0">
                  <c:v>1.0680000000000001</c:v>
                </c:pt>
                <c:pt idx="1">
                  <c:v>0.85</c:v>
                </c:pt>
                <c:pt idx="2">
                  <c:v>1.0229999999999999</c:v>
                </c:pt>
                <c:pt idx="3">
                  <c:v>1.077</c:v>
                </c:pt>
                <c:pt idx="4">
                  <c:v>1.125</c:v>
                </c:pt>
                <c:pt idx="5">
                  <c:v>1.264</c:v>
                </c:pt>
                <c:pt idx="6">
                  <c:v>1.107</c:v>
                </c:pt>
                <c:pt idx="7">
                  <c:v>0.92800000000000005</c:v>
                </c:pt>
                <c:pt idx="8">
                  <c:v>1.141</c:v>
                </c:pt>
                <c:pt idx="9">
                  <c:v>1.306</c:v>
                </c:pt>
                <c:pt idx="10">
                  <c:v>0.85199999999999998</c:v>
                </c:pt>
                <c:pt idx="11">
                  <c:v>0.92800000000000005</c:v>
                </c:pt>
                <c:pt idx="12">
                  <c:v>0.20499999999999999</c:v>
                </c:pt>
              </c:numCache>
            </c:numRef>
          </c:yVal>
        </c:ser>
        <c:ser>
          <c:idx val="5"/>
          <c:order val="5"/>
          <c:tx>
            <c:v>Caolas Cumhann - long road section</c:v>
          </c:tx>
          <c:spPr>
            <a:ln w="19050">
              <a:solidFill>
                <a:schemeClr val="bg1"/>
              </a:solidFill>
            </a:ln>
          </c:spPr>
          <c:marker>
            <c:symbol val="none"/>
          </c:marker>
          <c:trendline>
            <c:spPr>
              <a:ln w="19050">
                <a:solidFill>
                  <a:srgbClr val="9BBB59"/>
                </a:solidFill>
              </a:ln>
            </c:spPr>
            <c:trendlineType val="movingAvg"/>
            <c:period val="2"/>
          </c:trendline>
          <c:xVal>
            <c:numRef>
              <c:f>'Caolas Cumhann'!$L$4:$L$19</c:f>
              <c:numCache>
                <c:formatCode>General</c:formatCode>
                <c:ptCount val="16"/>
                <c:pt idx="0">
                  <c:v>58.050000000000004</c:v>
                </c:pt>
                <c:pt idx="1">
                  <c:v>79.98</c:v>
                </c:pt>
                <c:pt idx="2">
                  <c:v>95.460000000000008</c:v>
                </c:pt>
                <c:pt idx="3">
                  <c:v>117.39</c:v>
                </c:pt>
                <c:pt idx="4">
                  <c:v>132.87</c:v>
                </c:pt>
                <c:pt idx="5">
                  <c:v>154.80000000000001</c:v>
                </c:pt>
                <c:pt idx="6">
                  <c:v>176.73000000000002</c:v>
                </c:pt>
                <c:pt idx="7">
                  <c:v>190.92000000000002</c:v>
                </c:pt>
                <c:pt idx="8">
                  <c:v>212.85</c:v>
                </c:pt>
                <c:pt idx="9">
                  <c:v>228.33</c:v>
                </c:pt>
                <c:pt idx="10">
                  <c:v>248.97</c:v>
                </c:pt>
                <c:pt idx="11">
                  <c:v>270.90000000000003</c:v>
                </c:pt>
                <c:pt idx="12">
                  <c:v>286.38</c:v>
                </c:pt>
                <c:pt idx="13">
                  <c:v>308.31</c:v>
                </c:pt>
                <c:pt idx="14">
                  <c:v>330.24</c:v>
                </c:pt>
                <c:pt idx="15">
                  <c:v>345.72</c:v>
                </c:pt>
              </c:numCache>
            </c:numRef>
          </c:xVal>
          <c:yVal>
            <c:numRef>
              <c:f>'Caolas Cumhann'!$P$4:$P$19</c:f>
              <c:numCache>
                <c:formatCode>0.000</c:formatCode>
                <c:ptCount val="16"/>
                <c:pt idx="0">
                  <c:v>1.0640000000000001</c:v>
                </c:pt>
                <c:pt idx="1">
                  <c:v>1.339</c:v>
                </c:pt>
                <c:pt idx="2">
                  <c:v>1.5920000000000001</c:v>
                </c:pt>
                <c:pt idx="3">
                  <c:v>1.79</c:v>
                </c:pt>
                <c:pt idx="4">
                  <c:v>1.5569999999999999</c:v>
                </c:pt>
                <c:pt idx="5">
                  <c:v>1.381</c:v>
                </c:pt>
                <c:pt idx="6">
                  <c:v>1.4219999999999999</c:v>
                </c:pt>
                <c:pt idx="7">
                  <c:v>1.429</c:v>
                </c:pt>
                <c:pt idx="8">
                  <c:v>1.8320000000000001</c:v>
                </c:pt>
                <c:pt idx="9">
                  <c:v>1.137</c:v>
                </c:pt>
                <c:pt idx="10">
                  <c:v>0.91300000000000003</c:v>
                </c:pt>
                <c:pt idx="11">
                  <c:v>1.286</c:v>
                </c:pt>
                <c:pt idx="12">
                  <c:v>1.508</c:v>
                </c:pt>
                <c:pt idx="13">
                  <c:v>1.401</c:v>
                </c:pt>
                <c:pt idx="14">
                  <c:v>1.401</c:v>
                </c:pt>
                <c:pt idx="15">
                  <c:v>1.8140000000000001</c:v>
                </c:pt>
              </c:numCache>
            </c:numRef>
          </c:yVal>
        </c:ser>
        <c:ser>
          <c:idx val="6"/>
          <c:order val="6"/>
          <c:tx>
            <c:v>Caolas Cumhann - short road section</c:v>
          </c:tx>
          <c:spPr>
            <a:ln w="19050">
              <a:solidFill>
                <a:schemeClr val="bg1"/>
              </a:solidFill>
              <a:prstDash val="lgDash"/>
            </a:ln>
          </c:spPr>
          <c:marker>
            <c:symbol val="none"/>
          </c:marker>
          <c:trendline>
            <c:spPr>
              <a:ln w="19050">
                <a:solidFill>
                  <a:schemeClr val="accent3"/>
                </a:solidFill>
                <a:prstDash val="lgDash"/>
              </a:ln>
            </c:spPr>
            <c:trendlineType val="movingAvg"/>
            <c:period val="2"/>
          </c:trendline>
          <c:xVal>
            <c:numRef>
              <c:f>('Caolas Cumhann'!$AF$6:$AF$12,'Caolas Cumhann'!$AF$14,'Caolas Cumhann'!$AF$16)</c:f>
              <c:numCache>
                <c:formatCode>0.000</c:formatCode>
                <c:ptCount val="9"/>
                <c:pt idx="0">
                  <c:v>39.36248333333333</c:v>
                </c:pt>
                <c:pt idx="1">
                  <c:v>48.446133333333336</c:v>
                </c:pt>
                <c:pt idx="2">
                  <c:v>57.529783333333334</c:v>
                </c:pt>
                <c:pt idx="3">
                  <c:v>67.219009999999997</c:v>
                </c:pt>
                <c:pt idx="4">
                  <c:v>76.302660000000003</c:v>
                </c:pt>
                <c:pt idx="5">
                  <c:v>85.386309999999995</c:v>
                </c:pt>
                <c:pt idx="6">
                  <c:v>94.46996</c:v>
                </c:pt>
                <c:pt idx="7">
                  <c:v>112.63726</c:v>
                </c:pt>
                <c:pt idx="8">
                  <c:v>134.43801999999999</c:v>
                </c:pt>
              </c:numCache>
            </c:numRef>
          </c:xVal>
          <c:yVal>
            <c:numRef>
              <c:f>('Caolas Cumhann'!$AJ$6:$AJ$12,'Caolas Cumhann'!$AJ$14,'Caolas Cumhann'!$AJ$16)</c:f>
              <c:numCache>
                <c:formatCode>General</c:formatCode>
                <c:ptCount val="9"/>
                <c:pt idx="0">
                  <c:v>2.121</c:v>
                </c:pt>
                <c:pt idx="1">
                  <c:v>2.15</c:v>
                </c:pt>
                <c:pt idx="2">
                  <c:v>1.008</c:v>
                </c:pt>
                <c:pt idx="3">
                  <c:v>1.2769999999999999</c:v>
                </c:pt>
                <c:pt idx="4">
                  <c:v>1.556</c:v>
                </c:pt>
                <c:pt idx="5">
                  <c:v>1.4590000000000001</c:v>
                </c:pt>
                <c:pt idx="6">
                  <c:v>1.7509999999999999</c:v>
                </c:pt>
                <c:pt idx="7">
                  <c:v>1.3740000000000001</c:v>
                </c:pt>
                <c:pt idx="8">
                  <c:v>1.095</c:v>
                </c:pt>
              </c:numCache>
            </c:numRef>
          </c:yVal>
        </c:ser>
        <c:dLbls/>
        <c:axId val="146177408"/>
        <c:axId val="146195968"/>
      </c:scatterChart>
      <c:valAx>
        <c:axId val="146177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</c:title>
        <c:numFmt formatCode="General" sourceLinked="1"/>
        <c:majorTickMark val="none"/>
        <c:tickLblPos val="nextTo"/>
        <c:crossAx val="146195968"/>
        <c:crosses val="autoZero"/>
        <c:crossBetween val="midCat"/>
      </c:valAx>
      <c:valAx>
        <c:axId val="146195968"/>
        <c:scaling>
          <c:orientation val="minMax"/>
          <c:max val="2.2000000000000002"/>
          <c:min val="0.8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2D fractal dimension</a:t>
                </a:r>
              </a:p>
            </c:rich>
          </c:tx>
        </c:title>
        <c:numFmt formatCode="General" sourceLinked="1"/>
        <c:majorTickMark val="none"/>
        <c:tickLblPos val="nextTo"/>
        <c:crossAx val="146177408"/>
        <c:crosses val="autoZero"/>
        <c:crossBetween val="midCat"/>
        <c:majorUnit val="0.2"/>
      </c:valAx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Bradhan'!$Y$3,'Alltan na Bradhan'!$AD$3,'Alltan na Bradhan'!$AI$3)</c:f>
              <c:numCache>
                <c:formatCode>0.00</c:formatCode>
                <c:ptCount val="3"/>
                <c:pt idx="0">
                  <c:v>5671.6417910447763</c:v>
                </c:pt>
                <c:pt idx="1">
                  <c:v>769.23076923076928</c:v>
                </c:pt>
                <c:pt idx="2">
                  <c:v>500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Bradhan'!$Y$4,'Alltan na Bradhan'!$AD$4,'Alltan na Bradhan'!$AI$4)</c:f>
              <c:numCache>
                <c:formatCode>0.00</c:formatCode>
                <c:ptCount val="3"/>
                <c:pt idx="0">
                  <c:v>5846.1538461538466</c:v>
                </c:pt>
                <c:pt idx="1">
                  <c:v>1000</c:v>
                </c:pt>
                <c:pt idx="2">
                  <c:v>338.46153846153845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Bradhan'!$Y$5,'Alltan na Bradhan'!$AD$5,'Alltan na Bradhan'!$AI$5)</c:f>
              <c:numCache>
                <c:formatCode>0.00</c:formatCode>
                <c:ptCount val="3"/>
                <c:pt idx="0">
                  <c:v>7327.1889400921655</c:v>
                </c:pt>
                <c:pt idx="1">
                  <c:v>1250</c:v>
                </c:pt>
                <c:pt idx="2">
                  <c:v>175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Bradhan'!$Y$6,'Alltan na Bradhan'!$AD$6,'Alltan na Bradhan'!$AI$6)</c:f>
              <c:numCache>
                <c:formatCode>0.00</c:formatCode>
                <c:ptCount val="3"/>
                <c:pt idx="0">
                  <c:v>6475.7709251101323</c:v>
                </c:pt>
                <c:pt idx="1">
                  <c:v>975.60975609756099</c:v>
                </c:pt>
                <c:pt idx="2">
                  <c:v>273.68421052631578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Bradhan'!$Y$7,'Alltan na Bradhan'!$AD$7,'Alltan na Bradhan'!$AI$7)</c:f>
              <c:numCache>
                <c:formatCode>0.00</c:formatCode>
                <c:ptCount val="3"/>
                <c:pt idx="0">
                  <c:v>9848.0243161094222</c:v>
                </c:pt>
                <c:pt idx="1">
                  <c:v>1228.0701754385964</c:v>
                </c:pt>
                <c:pt idx="2">
                  <c:v>336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Bradhan'!$Y$8,'Alltan na Bradhan'!$AD$8,'Alltan na Bradhan'!$AI$8)</c:f>
              <c:numCache>
                <c:formatCode>0.00</c:formatCode>
                <c:ptCount val="3"/>
                <c:pt idx="0">
                  <c:v>13689.320388349515</c:v>
                </c:pt>
                <c:pt idx="1">
                  <c:v>1416.6666666666667</c:v>
                </c:pt>
                <c:pt idx="2">
                  <c:v>333.33333333333337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Bradhan'!$Y$9,'Alltan na Bradhan'!$AD$9,'Alltan na Bradhan'!$AI$9)</c:f>
              <c:numCache>
                <c:formatCode>0.00</c:formatCode>
                <c:ptCount val="3"/>
                <c:pt idx="0">
                  <c:v>22635.65891472868</c:v>
                </c:pt>
                <c:pt idx="1">
                  <c:v>1644.7368421052633</c:v>
                </c:pt>
                <c:pt idx="2">
                  <c:v>351.21951219512198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Bradhan'!$Y$10,'Alltan na Bradhan'!$AD$10,'Alltan na Bradhan'!$AI$10)</c:f>
              <c:numCache>
                <c:formatCode>0.00</c:formatCode>
                <c:ptCount val="3"/>
                <c:pt idx="0">
                  <c:v>20913.461538461539</c:v>
                </c:pt>
                <c:pt idx="1">
                  <c:v>1839.0804597701149</c:v>
                </c:pt>
                <c:pt idx="2">
                  <c:v>462.22222222222217</c:v>
                </c:pt>
              </c:numCache>
            </c:numRef>
          </c:yVal>
        </c:ser>
        <c:ser>
          <c:idx val="8"/>
          <c:order val="8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Bradhan'!$Y$11,'Alltan na Bradhan'!$AD$11,'Alltan na Bradhan'!$AI$11)</c:f>
              <c:numCache>
                <c:formatCode>0.00</c:formatCode>
                <c:ptCount val="3"/>
                <c:pt idx="0">
                  <c:v>15751.503006012023</c:v>
                </c:pt>
                <c:pt idx="1">
                  <c:v>2240.566037735849</c:v>
                </c:pt>
                <c:pt idx="2">
                  <c:v>480</c:v>
                </c:pt>
              </c:numCache>
            </c:numRef>
          </c:yVal>
        </c:ser>
        <c:ser>
          <c:idx val="9"/>
          <c:order val="9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Bradhan'!$Y$12,'Alltan na Bradhan'!$AD$12,'Alltan na Bradhan'!$AI$12)</c:f>
              <c:numCache>
                <c:formatCode>0.00</c:formatCode>
                <c:ptCount val="3"/>
                <c:pt idx="0">
                  <c:v>15693.77990430622</c:v>
                </c:pt>
                <c:pt idx="1">
                  <c:v>2451.9230769230767</c:v>
                </c:pt>
                <c:pt idx="2">
                  <c:v>392.30769230769226</c:v>
                </c:pt>
              </c:numCache>
            </c:numRef>
          </c:yVal>
        </c:ser>
        <c:ser>
          <c:idx val="10"/>
          <c:order val="10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Bradhan'!$Y$13,'Alltan na Bradhan'!$AD$13,'Alltan na Bradhan'!$AI$13)</c:f>
              <c:numCache>
                <c:formatCode>0.00</c:formatCode>
                <c:ptCount val="3"/>
                <c:pt idx="0">
                  <c:v>13701.492537313432</c:v>
                </c:pt>
                <c:pt idx="1">
                  <c:v>2217.391304347826</c:v>
                </c:pt>
                <c:pt idx="2">
                  <c:v>301.36986301369865</c:v>
                </c:pt>
              </c:numCache>
            </c:numRef>
          </c:yVal>
        </c:ser>
        <c:ser>
          <c:idx val="11"/>
          <c:order val="11"/>
          <c:spPr>
            <a:ln w="28575">
              <a:noFill/>
            </a:ln>
          </c:spPr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Bradhan'!$Y$14,'Alltan na Bradhan'!$AD$14,'Alltan na Bradhan'!$AI$14)</c:f>
              <c:numCache>
                <c:formatCode>0.00</c:formatCode>
                <c:ptCount val="3"/>
                <c:pt idx="0">
                  <c:v>13567.164179104479</c:v>
                </c:pt>
                <c:pt idx="1">
                  <c:v>2306.0344827586209</c:v>
                </c:pt>
                <c:pt idx="2">
                  <c:v>276.54320987654319</c:v>
                </c:pt>
              </c:numCache>
            </c:numRef>
          </c:yVal>
        </c:ser>
        <c:ser>
          <c:idx val="12"/>
          <c:order val="12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Bradhan'!$Y$15,'Alltan na Bradhan'!$AD$15,'Alltan na Bradhan'!$AI$15)</c:f>
              <c:numCache>
                <c:formatCode>0.00</c:formatCode>
                <c:ptCount val="3"/>
                <c:pt idx="0">
                  <c:v>11769.23076923077</c:v>
                </c:pt>
                <c:pt idx="1">
                  <c:v>1800.6993006993007</c:v>
                </c:pt>
                <c:pt idx="2">
                  <c:v>314.28571428571428</c:v>
                </c:pt>
              </c:numCache>
            </c:numRef>
          </c:yVal>
        </c:ser>
        <c:ser>
          <c:idx val="13"/>
          <c:order val="13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Bradhan'!$Y$16,'Alltan na Bradhan'!$AD$16,'Alltan na Bradhan'!$AI$16)</c:f>
              <c:numCache>
                <c:formatCode>0.00</c:formatCode>
                <c:ptCount val="3"/>
                <c:pt idx="0">
                  <c:v>7789.3175074183982</c:v>
                </c:pt>
                <c:pt idx="1">
                  <c:v>1210.1063829787233</c:v>
                </c:pt>
                <c:pt idx="2">
                  <c:v>266.66666666666663</c:v>
                </c:pt>
              </c:numCache>
            </c:numRef>
          </c:yVal>
        </c:ser>
        <c:ser>
          <c:idx val="14"/>
          <c:order val="14"/>
          <c:spPr>
            <a:ln w="28575">
              <a:noFill/>
            </a:ln>
          </c:spPr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Bradhan'!$Y$17,'Alltan na Bradhan'!$AD$17,'Alltan na Bradhan'!$AI$17)</c:f>
              <c:numCache>
                <c:formatCode>0.00</c:formatCode>
                <c:ptCount val="3"/>
                <c:pt idx="0">
                  <c:v>11338.582677165354</c:v>
                </c:pt>
                <c:pt idx="1">
                  <c:v>969.16299559471372</c:v>
                </c:pt>
                <c:pt idx="2">
                  <c:v>235.29411764705884</c:v>
                </c:pt>
              </c:numCache>
            </c:numRef>
          </c:yVal>
        </c:ser>
        <c:ser>
          <c:idx val="15"/>
          <c:order val="15"/>
          <c:spPr>
            <a:ln w="28575">
              <a:noFill/>
            </a:ln>
          </c:spPr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Bradhan'!$Y$18,'Alltan na Bradhan'!$AD$18,'Alltan na Bradhan'!$AI$18)</c:f>
              <c:numCache>
                <c:formatCode>0.00</c:formatCode>
                <c:ptCount val="3"/>
                <c:pt idx="0">
                  <c:v>10227.272727272726</c:v>
                </c:pt>
                <c:pt idx="1">
                  <c:v>1263.8888888888889</c:v>
                </c:pt>
                <c:pt idx="2">
                  <c:v>353.48837209302326</c:v>
                </c:pt>
              </c:numCache>
            </c:numRef>
          </c:yVal>
        </c:ser>
        <c:ser>
          <c:idx val="16"/>
          <c:order val="16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Bradhan'!$Y$18,'Alltan na Bradhan'!$AD$18,'Alltan na Bradhan'!$AI$18)</c:f>
              <c:numCache>
                <c:formatCode>0.00</c:formatCode>
                <c:ptCount val="3"/>
                <c:pt idx="0">
                  <c:v>10227.272727272726</c:v>
                </c:pt>
                <c:pt idx="1">
                  <c:v>1263.8888888888889</c:v>
                </c:pt>
                <c:pt idx="2">
                  <c:v>353.48837209302326</c:v>
                </c:pt>
              </c:numCache>
            </c:numRef>
          </c:yVal>
        </c:ser>
        <c:ser>
          <c:idx val="17"/>
          <c:order val="17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Bradhan'!$Y$19,'Alltan na Bradhan'!$AD$19,'Alltan na Bradhan'!$AI$19)</c:f>
              <c:numCache>
                <c:formatCode>0.00</c:formatCode>
                <c:ptCount val="3"/>
                <c:pt idx="0">
                  <c:v>4634.1463414634145</c:v>
                </c:pt>
                <c:pt idx="1">
                  <c:v>883.83838383838383</c:v>
                </c:pt>
                <c:pt idx="2">
                  <c:v>235.29411764705884</c:v>
                </c:pt>
              </c:numCache>
            </c:numRef>
          </c:yVal>
        </c:ser>
        <c:dLbls/>
        <c:axId val="103235968"/>
        <c:axId val="103237888"/>
      </c:scatterChart>
      <c:valAx>
        <c:axId val="103235968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103237888"/>
        <c:crosses val="autoZero"/>
        <c:crossBetween val="midCat"/>
      </c:valAx>
      <c:valAx>
        <c:axId val="103237888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103235968"/>
        <c:crossesAt val="0.1"/>
        <c:crossBetween val="midCat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14"/>
          <c:order val="14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Bradhan'!$E$3,'Alltan na Bradhan'!$J$3,'Alltan na Bradhan'!$O$3)</c:f>
              <c:numCache>
                <c:formatCode>0.00</c:formatCode>
                <c:ptCount val="3"/>
                <c:pt idx="0">
                  <c:v>4302.3255813953492</c:v>
                </c:pt>
                <c:pt idx="1">
                  <c:v>142.54385964912279</c:v>
                </c:pt>
                <c:pt idx="2">
                  <c:v>323.07692307692309</c:v>
                </c:pt>
              </c:numCache>
            </c:numRef>
          </c:yVal>
        </c:ser>
        <c:ser>
          <c:idx val="15"/>
          <c:order val="15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Bradhan'!$E$4,'Alltan na Bradhan'!$J$4,'Alltan na Bradhan'!$O$4)</c:f>
              <c:numCache>
                <c:formatCode>0.00</c:formatCode>
                <c:ptCount val="3"/>
                <c:pt idx="0">
                  <c:v>5583.333333333333</c:v>
                </c:pt>
                <c:pt idx="1">
                  <c:v>728.07017543859649</c:v>
                </c:pt>
                <c:pt idx="2">
                  <c:v>392.98245614035085</c:v>
                </c:pt>
              </c:numCache>
            </c:numRef>
          </c:yVal>
        </c:ser>
        <c:ser>
          <c:idx val="16"/>
          <c:order val="16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Bradhan'!$E$5,'Alltan na Bradhan'!$J$5,'Alltan na Bradhan'!$O$5)</c:f>
              <c:numCache>
                <c:formatCode>0.00</c:formatCode>
                <c:ptCount val="3"/>
                <c:pt idx="0">
                  <c:v>12740.963855421687</c:v>
                </c:pt>
                <c:pt idx="1">
                  <c:v>993.88379204892965</c:v>
                </c:pt>
                <c:pt idx="2">
                  <c:v>170</c:v>
                </c:pt>
              </c:numCache>
            </c:numRef>
          </c:yVal>
        </c:ser>
        <c:ser>
          <c:idx val="17"/>
          <c:order val="17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Bradhan'!$E$6,'Alltan na Bradhan'!$J$6,'Alltan na Bradhan'!$O$6)</c:f>
              <c:numCache>
                <c:formatCode>0.00</c:formatCode>
                <c:ptCount val="3"/>
                <c:pt idx="0">
                  <c:v>7461.1398963730571</c:v>
                </c:pt>
                <c:pt idx="1">
                  <c:v>570.07125890736347</c:v>
                </c:pt>
                <c:pt idx="2">
                  <c:v>346.66666666666669</c:v>
                </c:pt>
              </c:numCache>
            </c:numRef>
          </c:yVal>
        </c:ser>
        <c:ser>
          <c:idx val="18"/>
          <c:order val="18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Bradhan'!$E$7,'Alltan na Bradhan'!$J$7,'Alltan na Bradhan'!$O$7)</c:f>
              <c:numCache>
                <c:formatCode>0.00</c:formatCode>
                <c:ptCount val="3"/>
                <c:pt idx="0">
                  <c:v>7215.1898734177221</c:v>
                </c:pt>
                <c:pt idx="1">
                  <c:v>975.93582887700541</c:v>
                </c:pt>
                <c:pt idx="2">
                  <c:v>327.27272727272731</c:v>
                </c:pt>
              </c:numCache>
            </c:numRef>
          </c:yVal>
        </c:ser>
        <c:ser>
          <c:idx val="19"/>
          <c:order val="19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Bradhan'!$E$8,'Alltan na Bradhan'!$J$8,'Alltan na Bradhan'!$O$8)</c:f>
              <c:numCache>
                <c:formatCode>0.00</c:formatCode>
                <c:ptCount val="3"/>
                <c:pt idx="0">
                  <c:v>13014.705882352942</c:v>
                </c:pt>
                <c:pt idx="1">
                  <c:v>1042.51012145749</c:v>
                </c:pt>
                <c:pt idx="2">
                  <c:v>353.84615384615381</c:v>
                </c:pt>
              </c:numCache>
            </c:numRef>
          </c:yVal>
        </c:ser>
        <c:ser>
          <c:idx val="20"/>
          <c:order val="20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Bradhan'!$E$9,'Alltan na Bradhan'!$J$9,'Alltan na Bradhan'!$O$9)</c:f>
              <c:numCache>
                <c:formatCode>0.00</c:formatCode>
                <c:ptCount val="3"/>
                <c:pt idx="0">
                  <c:v>8932.5842696629206</c:v>
                </c:pt>
                <c:pt idx="1">
                  <c:v>1186.2244897959185</c:v>
                </c:pt>
                <c:pt idx="2">
                  <c:v>247.05882352941177</c:v>
                </c:pt>
              </c:numCache>
            </c:numRef>
          </c:yVal>
        </c:ser>
        <c:ser>
          <c:idx val="21"/>
          <c:order val="21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Bradhan'!$E$10,'Alltan na Bradhan'!$J$10,'Alltan na Bradhan'!$O$10)</c:f>
              <c:numCache>
                <c:formatCode>0.00</c:formatCode>
                <c:ptCount val="3"/>
                <c:pt idx="0">
                  <c:v>9464.2857142857138</c:v>
                </c:pt>
                <c:pt idx="1">
                  <c:v>771.42857142857133</c:v>
                </c:pt>
                <c:pt idx="2">
                  <c:v>192.30769230769232</c:v>
                </c:pt>
              </c:numCache>
            </c:numRef>
          </c:yVal>
        </c:ser>
        <c:ser>
          <c:idx val="22"/>
          <c:order val="22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Bradhan'!$E$11,'Alltan na Bradhan'!$J$11,'Alltan na Bradhan'!$O$11)</c:f>
              <c:numCache>
                <c:formatCode>0.00</c:formatCode>
                <c:ptCount val="3"/>
                <c:pt idx="0">
                  <c:v>12272.727272727274</c:v>
                </c:pt>
                <c:pt idx="1">
                  <c:v>1043.9560439560439</c:v>
                </c:pt>
                <c:pt idx="2">
                  <c:v>305.26315789473688</c:v>
                </c:pt>
              </c:numCache>
            </c:numRef>
          </c:yVal>
        </c:ser>
        <c:ser>
          <c:idx val="23"/>
          <c:order val="23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Bradhan'!$E$12,'Alltan na Bradhan'!$J$12,'Alltan na Bradhan'!$O$12)</c:f>
              <c:numCache>
                <c:formatCode>0.00</c:formatCode>
                <c:ptCount val="3"/>
                <c:pt idx="0">
                  <c:v>3027.5229357798166</c:v>
                </c:pt>
                <c:pt idx="1">
                  <c:v>394.0886699507389</c:v>
                </c:pt>
                <c:pt idx="2">
                  <c:v>209.09090909090909</c:v>
                </c:pt>
              </c:numCache>
            </c:numRef>
          </c:yVal>
        </c:ser>
        <c:ser>
          <c:idx val="24"/>
          <c:order val="24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Bradhan'!$E$13,'Alltan na Bradhan'!$J$13,'Alltan na Bradhan'!$O$13)</c:f>
              <c:numCache>
                <c:formatCode>0.00</c:formatCode>
                <c:ptCount val="3"/>
                <c:pt idx="0">
                  <c:v>10486.725663716814</c:v>
                </c:pt>
                <c:pt idx="1">
                  <c:v>862.4454148471616</c:v>
                </c:pt>
                <c:pt idx="2">
                  <c:v>281.08108108108109</c:v>
                </c:pt>
              </c:numCache>
            </c:numRef>
          </c:yVal>
        </c:ser>
        <c:ser>
          <c:idx val="25"/>
          <c:order val="25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Bradhan'!$E$14,'Alltan na Bradhan'!$J$14,'Alltan na Bradhan'!$O$14)</c:f>
              <c:numCache>
                <c:formatCode>0.00</c:formatCode>
                <c:ptCount val="3"/>
                <c:pt idx="0">
                  <c:v>10515.463917525773</c:v>
                </c:pt>
                <c:pt idx="1">
                  <c:v>724.04371584699447</c:v>
                </c:pt>
                <c:pt idx="2">
                  <c:v>368.42105263157896</c:v>
                </c:pt>
              </c:numCache>
            </c:numRef>
          </c:yVal>
        </c:ser>
        <c:ser>
          <c:idx val="26"/>
          <c:order val="26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Bradhan'!$E$15,'Alltan na Bradhan'!$J$15,'Alltan na Bradhan'!$O$15)</c:f>
              <c:numCache>
                <c:formatCode>0.00</c:formatCode>
                <c:ptCount val="3"/>
                <c:pt idx="0">
                  <c:v>5869.5652173913049</c:v>
                </c:pt>
                <c:pt idx="1">
                  <c:v>1061.9469026548672</c:v>
                </c:pt>
                <c:pt idx="2">
                  <c:v>361.90476190476193</c:v>
                </c:pt>
              </c:numCache>
            </c:numRef>
          </c:yVal>
        </c:ser>
        <c:ser>
          <c:idx val="27"/>
          <c:order val="27"/>
          <c:spPr>
            <a:ln w="28575">
              <a:noFill/>
            </a:ln>
          </c:spPr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Bradhan'!$E$16,'Alltan na Bradhan'!$J$16,'Alltan na Bradhan'!$O$16)</c:f>
              <c:numCache>
                <c:formatCode>0.00</c:formatCode>
                <c:ptCount val="3"/>
                <c:pt idx="0">
                  <c:v>5533.980582524272</c:v>
                </c:pt>
                <c:pt idx="1">
                  <c:v>242.71844660194174</c:v>
                </c:pt>
                <c:pt idx="2">
                  <c:v>311.11111111111114</c:v>
                </c:pt>
              </c:numCache>
            </c:numRef>
          </c:yVal>
        </c:ser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Bradhan'!$E$3,'Alltan na Bradhan'!$J$3,'Alltan na Bradhan'!$O$3)</c:f>
              <c:numCache>
                <c:formatCode>0.00</c:formatCode>
                <c:ptCount val="3"/>
                <c:pt idx="0">
                  <c:v>4302.3255813953492</c:v>
                </c:pt>
                <c:pt idx="1">
                  <c:v>142.54385964912279</c:v>
                </c:pt>
                <c:pt idx="2">
                  <c:v>323.07692307692309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Bradhan'!$E$4,'Alltan na Bradhan'!$J$4,'Alltan na Bradhan'!$O$4)</c:f>
              <c:numCache>
                <c:formatCode>0.00</c:formatCode>
                <c:ptCount val="3"/>
                <c:pt idx="0">
                  <c:v>5583.333333333333</c:v>
                </c:pt>
                <c:pt idx="1">
                  <c:v>728.07017543859649</c:v>
                </c:pt>
                <c:pt idx="2">
                  <c:v>392.98245614035085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Bradhan'!$E$5,'Alltan na Bradhan'!$J$5,'Alltan na Bradhan'!$O$5)</c:f>
              <c:numCache>
                <c:formatCode>0.00</c:formatCode>
                <c:ptCount val="3"/>
                <c:pt idx="0">
                  <c:v>12740.963855421687</c:v>
                </c:pt>
                <c:pt idx="1">
                  <c:v>993.88379204892965</c:v>
                </c:pt>
                <c:pt idx="2">
                  <c:v>170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Bradhan'!$E$6,'Alltan na Bradhan'!$J$6,'Alltan na Bradhan'!$O$6)</c:f>
              <c:numCache>
                <c:formatCode>0.00</c:formatCode>
                <c:ptCount val="3"/>
                <c:pt idx="0">
                  <c:v>7461.1398963730571</c:v>
                </c:pt>
                <c:pt idx="1">
                  <c:v>570.07125890736347</c:v>
                </c:pt>
                <c:pt idx="2">
                  <c:v>346.66666666666669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Bradhan'!$E$7,'Alltan na Bradhan'!$J$7,'Alltan na Bradhan'!$O$7)</c:f>
              <c:numCache>
                <c:formatCode>0.00</c:formatCode>
                <c:ptCount val="3"/>
                <c:pt idx="0">
                  <c:v>7215.1898734177221</c:v>
                </c:pt>
                <c:pt idx="1">
                  <c:v>975.93582887700541</c:v>
                </c:pt>
                <c:pt idx="2">
                  <c:v>327.27272727272731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Bradhan'!$E$8,'Alltan na Bradhan'!$J$8,'Alltan na Bradhan'!$O$8)</c:f>
              <c:numCache>
                <c:formatCode>0.00</c:formatCode>
                <c:ptCount val="3"/>
                <c:pt idx="0">
                  <c:v>13014.705882352942</c:v>
                </c:pt>
                <c:pt idx="1">
                  <c:v>1042.51012145749</c:v>
                </c:pt>
                <c:pt idx="2">
                  <c:v>353.84615384615381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Bradhan'!$E$9,'Alltan na Bradhan'!$J$9,'Alltan na Bradhan'!$O$9)</c:f>
              <c:numCache>
                <c:formatCode>0.00</c:formatCode>
                <c:ptCount val="3"/>
                <c:pt idx="0">
                  <c:v>8932.5842696629206</c:v>
                </c:pt>
                <c:pt idx="1">
                  <c:v>1186.2244897959185</c:v>
                </c:pt>
                <c:pt idx="2">
                  <c:v>247.05882352941177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Bradhan'!$E$10,'Alltan na Bradhan'!$J$10,'Alltan na Bradhan'!$O$10)</c:f>
              <c:numCache>
                <c:formatCode>0.00</c:formatCode>
                <c:ptCount val="3"/>
                <c:pt idx="0">
                  <c:v>9464.2857142857138</c:v>
                </c:pt>
                <c:pt idx="1">
                  <c:v>771.42857142857133</c:v>
                </c:pt>
                <c:pt idx="2">
                  <c:v>192.30769230769232</c:v>
                </c:pt>
              </c:numCache>
            </c:numRef>
          </c:yVal>
        </c:ser>
        <c:ser>
          <c:idx val="8"/>
          <c:order val="8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Bradhan'!$E$11,'Alltan na Bradhan'!$J$11,'Alltan na Bradhan'!$O$11)</c:f>
              <c:numCache>
                <c:formatCode>0.00</c:formatCode>
                <c:ptCount val="3"/>
                <c:pt idx="0">
                  <c:v>12272.727272727274</c:v>
                </c:pt>
                <c:pt idx="1">
                  <c:v>1043.9560439560439</c:v>
                </c:pt>
                <c:pt idx="2">
                  <c:v>305.26315789473688</c:v>
                </c:pt>
              </c:numCache>
            </c:numRef>
          </c:yVal>
        </c:ser>
        <c:ser>
          <c:idx val="9"/>
          <c:order val="9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Bradhan'!$E$12,'Alltan na Bradhan'!$J$12,'Alltan na Bradhan'!$O$12)</c:f>
              <c:numCache>
                <c:formatCode>0.00</c:formatCode>
                <c:ptCount val="3"/>
                <c:pt idx="0">
                  <c:v>3027.5229357798166</c:v>
                </c:pt>
                <c:pt idx="1">
                  <c:v>394.0886699507389</c:v>
                </c:pt>
                <c:pt idx="2">
                  <c:v>209.09090909090909</c:v>
                </c:pt>
              </c:numCache>
            </c:numRef>
          </c:yVal>
        </c:ser>
        <c:ser>
          <c:idx val="10"/>
          <c:order val="10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Bradhan'!$E$13,'Alltan na Bradhan'!$J$13,'Alltan na Bradhan'!$O$13)</c:f>
              <c:numCache>
                <c:formatCode>0.00</c:formatCode>
                <c:ptCount val="3"/>
                <c:pt idx="0">
                  <c:v>10486.725663716814</c:v>
                </c:pt>
                <c:pt idx="1">
                  <c:v>862.4454148471616</c:v>
                </c:pt>
                <c:pt idx="2">
                  <c:v>281.08108108108109</c:v>
                </c:pt>
              </c:numCache>
            </c:numRef>
          </c:yVal>
        </c:ser>
        <c:ser>
          <c:idx val="11"/>
          <c:order val="11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Bradhan'!$E$14,'Alltan na Bradhan'!$J$14,'Alltan na Bradhan'!$O$14)</c:f>
              <c:numCache>
                <c:formatCode>0.00</c:formatCode>
                <c:ptCount val="3"/>
                <c:pt idx="0">
                  <c:v>10515.463917525773</c:v>
                </c:pt>
                <c:pt idx="1">
                  <c:v>724.04371584699447</c:v>
                </c:pt>
                <c:pt idx="2">
                  <c:v>368.42105263157896</c:v>
                </c:pt>
              </c:numCache>
            </c:numRef>
          </c:yVal>
        </c:ser>
        <c:ser>
          <c:idx val="12"/>
          <c:order val="12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Bradhan'!$E$15,'Alltan na Bradhan'!$J$15,'Alltan na Bradhan'!$O$15)</c:f>
              <c:numCache>
                <c:formatCode>0.00</c:formatCode>
                <c:ptCount val="3"/>
                <c:pt idx="0">
                  <c:v>5869.5652173913049</c:v>
                </c:pt>
                <c:pt idx="1">
                  <c:v>1061.9469026548672</c:v>
                </c:pt>
                <c:pt idx="2">
                  <c:v>361.90476190476193</c:v>
                </c:pt>
              </c:numCache>
            </c:numRef>
          </c:yVal>
        </c:ser>
        <c:ser>
          <c:idx val="13"/>
          <c:order val="13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Bradhan'!$E$16,'Alltan na Bradhan'!$J$16,'Alltan na Bradhan'!$O$16)</c:f>
              <c:numCache>
                <c:formatCode>0.00</c:formatCode>
                <c:ptCount val="3"/>
                <c:pt idx="0">
                  <c:v>5533.980582524272</c:v>
                </c:pt>
                <c:pt idx="1">
                  <c:v>242.71844660194174</c:v>
                </c:pt>
                <c:pt idx="2">
                  <c:v>311.11111111111114</c:v>
                </c:pt>
              </c:numCache>
            </c:numRef>
          </c:yVal>
        </c:ser>
        <c:dLbls/>
        <c:axId val="123785984"/>
        <c:axId val="128266624"/>
      </c:scatterChart>
      <c:valAx>
        <c:axId val="123785984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28266624"/>
        <c:crosses val="autoZero"/>
        <c:crossBetween val="midCat"/>
      </c:valAx>
      <c:valAx>
        <c:axId val="128266624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23785984"/>
        <c:crossesAt val="0.1"/>
        <c:crossBetween val="midCat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-5.4123940624508503E-2"/>
                  <c:y val="-0.4472632305018728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</c:trendlineLbl>
          </c:trendline>
          <c:xVal>
            <c:numRef>
              <c:f>'Alltan na Bradhan'!$P$26:$P$28</c:f>
              <c:numCache>
                <c:formatCode>General</c:formatCode>
                <c:ptCount val="3"/>
                <c:pt idx="0">
                  <c:v>8.0299999999999994</c:v>
                </c:pt>
                <c:pt idx="1">
                  <c:v>3.16</c:v>
                </c:pt>
                <c:pt idx="2">
                  <c:v>0.56000000000000005</c:v>
                </c:pt>
              </c:numCache>
            </c:numRef>
          </c:xVal>
          <c:yVal>
            <c:numRef>
              <c:f>'Alltan na Bradhan'!$Q$21:$Q$23</c:f>
              <c:numCache>
                <c:formatCode>0.00</c:formatCode>
                <c:ptCount val="3"/>
                <c:pt idx="0">
                  <c:v>6250.3160556257899</c:v>
                </c:pt>
                <c:pt idx="1">
                  <c:v>60359.170091994521</c:v>
                </c:pt>
                <c:pt idx="2">
                  <c:v>1265751.0167505343</c:v>
                </c:pt>
              </c:numCache>
            </c:numRef>
          </c:yVal>
        </c:ser>
        <c:dLbls/>
        <c:axId val="128814080"/>
        <c:axId val="132293760"/>
      </c:scatterChart>
      <c:valAx>
        <c:axId val="12881408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2293760"/>
        <c:crossesAt val="1.0000000000000005E-2"/>
        <c:crossBetween val="midCat"/>
      </c:valAx>
      <c:valAx>
        <c:axId val="132293760"/>
        <c:scaling>
          <c:logBase val="10"/>
          <c:orientation val="minMax"/>
          <c:min val="1000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28814080"/>
        <c:crossesAt val="1.0000000000000005E-2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4.2203510779632476E-2"/>
                  <c:y val="-0.2900844771333171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</c:trendlineLbl>
          </c:trendline>
          <c:xVal>
            <c:numRef>
              <c:f>'Alltan na Bradhan'!$AH$28:$AH$30</c:f>
              <c:numCache>
                <c:formatCode>General</c:formatCode>
                <c:ptCount val="3"/>
                <c:pt idx="0">
                  <c:v>3.33</c:v>
                </c:pt>
                <c:pt idx="1">
                  <c:v>1.27</c:v>
                </c:pt>
                <c:pt idx="2">
                  <c:v>0.35</c:v>
                </c:pt>
              </c:numCache>
            </c:numRef>
          </c:xVal>
          <c:yVal>
            <c:numRef>
              <c:f>'Alltan na Bradhan'!$AI$23:$AI$25</c:f>
              <c:numCache>
                <c:formatCode>0.00</c:formatCode>
                <c:ptCount val="3"/>
                <c:pt idx="0">
                  <c:v>6250.3160556257899</c:v>
                </c:pt>
                <c:pt idx="1">
                  <c:v>60359.170091994521</c:v>
                </c:pt>
                <c:pt idx="2">
                  <c:v>1265751.0167505343</c:v>
                </c:pt>
              </c:numCache>
            </c:numRef>
          </c:yVal>
        </c:ser>
        <c:dLbls/>
        <c:axId val="87613440"/>
        <c:axId val="87615360"/>
      </c:scatterChart>
      <c:valAx>
        <c:axId val="8761344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87615360"/>
        <c:crosses val="autoZero"/>
        <c:crossBetween val="midCat"/>
      </c:valAx>
      <c:valAx>
        <c:axId val="87615360"/>
        <c:scaling>
          <c:logBase val="10"/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87613440"/>
        <c:crossesAt val="0.1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(Kinlochbervie!$Y$3,Kinlochbervie!$AD$3,Kinlochbervie!$AI$3)</c:f>
              <c:numCache>
                <c:formatCode>0.00</c:formatCode>
                <c:ptCount val="3"/>
                <c:pt idx="0">
                  <c:v>155.55555555555557</c:v>
                </c:pt>
                <c:pt idx="1">
                  <c:v>269.60784313725492</c:v>
                </c:pt>
                <c:pt idx="2">
                  <c:v>2629.2134831460676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(Kinlochbervie!$Y$4,Kinlochbervie!$AD$4,Kinlochbervie!$AI$4)</c:f>
              <c:numCache>
                <c:formatCode>0.00</c:formatCode>
                <c:ptCount val="3"/>
                <c:pt idx="0">
                  <c:v>205.40540540540539</c:v>
                </c:pt>
                <c:pt idx="1">
                  <c:v>569.62025316455697</c:v>
                </c:pt>
                <c:pt idx="2">
                  <c:v>4000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(Kinlochbervie!$Y$5,Kinlochbervie!$AD$5,Kinlochbervie!$AI$5)</c:f>
              <c:numCache>
                <c:formatCode>0.00</c:formatCode>
                <c:ptCount val="3"/>
                <c:pt idx="0">
                  <c:v>266.66666666666663</c:v>
                </c:pt>
                <c:pt idx="1">
                  <c:v>968.30985915492954</c:v>
                </c:pt>
                <c:pt idx="2">
                  <c:v>10935.023771790809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(Kinlochbervie!$Y$6,Kinlochbervie!$AD$6,Kinlochbervie!$AI$6)</c:f>
              <c:numCache>
                <c:formatCode>0.00</c:formatCode>
                <c:ptCount val="3"/>
                <c:pt idx="0">
                  <c:v>325</c:v>
                </c:pt>
                <c:pt idx="1">
                  <c:v>902.06185567010311</c:v>
                </c:pt>
                <c:pt idx="2">
                  <c:v>12901.554404145078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(Kinlochbervie!$Y$7,Kinlochbervie!$AD$7,Kinlochbervie!$AI$7)</c:f>
              <c:numCache>
                <c:formatCode>0.00</c:formatCode>
                <c:ptCount val="3"/>
                <c:pt idx="0">
                  <c:v>320</c:v>
                </c:pt>
                <c:pt idx="1">
                  <c:v>1166.6666666666667</c:v>
                </c:pt>
                <c:pt idx="2">
                  <c:v>9492.1875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(Kinlochbervie!$Y$8,Kinlochbervie!$AD$8,Kinlochbervie!$AI$8)</c:f>
              <c:numCache>
                <c:formatCode>0.00</c:formatCode>
                <c:ptCount val="3"/>
                <c:pt idx="0">
                  <c:v>295.65217391304344</c:v>
                </c:pt>
                <c:pt idx="1">
                  <c:v>885.41666666666674</c:v>
                </c:pt>
                <c:pt idx="2">
                  <c:v>11710.2615694165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(Kinlochbervie!$Y$9,Kinlochbervie!$AD$9,Kinlochbervie!$AI$9)</c:f>
              <c:numCache>
                <c:formatCode>0.00</c:formatCode>
                <c:ptCount val="3"/>
                <c:pt idx="0">
                  <c:v>286.95652173913044</c:v>
                </c:pt>
                <c:pt idx="1">
                  <c:v>992.64705882352939</c:v>
                </c:pt>
                <c:pt idx="2">
                  <c:v>9090.9090909090919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(Kinlochbervie!$Y$10,Kinlochbervie!$AD$10,Kinlochbervie!$AI$10)</c:f>
              <c:numCache>
                <c:formatCode>0.00</c:formatCode>
                <c:ptCount val="3"/>
                <c:pt idx="0">
                  <c:v>280</c:v>
                </c:pt>
                <c:pt idx="1">
                  <c:v>564.51612903225805</c:v>
                </c:pt>
                <c:pt idx="2">
                  <c:v>7365.2694610778444</c:v>
                </c:pt>
              </c:numCache>
            </c:numRef>
          </c:yVal>
        </c:ser>
        <c:ser>
          <c:idx val="8"/>
          <c:order val="8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(Kinlochbervie!$Y$11,Kinlochbervie!$AD$11,Kinlochbervie!$AI$11)</c:f>
              <c:numCache>
                <c:formatCode>0.00</c:formatCode>
                <c:ptCount val="3"/>
                <c:pt idx="0">
                  <c:v>275.86206896551727</c:v>
                </c:pt>
                <c:pt idx="1">
                  <c:v>404.0404040404041</c:v>
                </c:pt>
                <c:pt idx="2">
                  <c:v>12857.142857142857</c:v>
                </c:pt>
              </c:numCache>
            </c:numRef>
          </c:yVal>
        </c:ser>
        <c:ser>
          <c:idx val="9"/>
          <c:order val="9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(Kinlochbervie!$Y$12,Kinlochbervie!$AD$12,Kinlochbervie!$AI$12)</c:f>
              <c:numCache>
                <c:formatCode>0.00</c:formatCode>
                <c:ptCount val="3"/>
                <c:pt idx="0">
                  <c:v>303.030303030303</c:v>
                </c:pt>
                <c:pt idx="1">
                  <c:v>184.21052631578945</c:v>
                </c:pt>
                <c:pt idx="2">
                  <c:v>7014.0845070422538</c:v>
                </c:pt>
              </c:numCache>
            </c:numRef>
          </c:yVal>
        </c:ser>
        <c:ser>
          <c:idx val="10"/>
          <c:order val="10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(Kinlochbervie!$Y$13,Kinlochbervie!$AD$13,Kinlochbervie!$AI$13)</c:f>
              <c:numCache>
                <c:formatCode>0.00</c:formatCode>
                <c:ptCount val="3"/>
                <c:pt idx="0">
                  <c:v>142.85714285714286</c:v>
                </c:pt>
                <c:pt idx="1">
                  <c:v>921.05263157894728</c:v>
                </c:pt>
                <c:pt idx="2">
                  <c:v>7596.1538461538457</c:v>
                </c:pt>
              </c:numCache>
            </c:numRef>
          </c:yVal>
        </c:ser>
        <c:ser>
          <c:idx val="11"/>
          <c:order val="11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(Kinlochbervie!$Y$14,Kinlochbervie!$AD$14,Kinlochbervie!$AI$14)</c:f>
              <c:numCache>
                <c:formatCode>0.00</c:formatCode>
                <c:ptCount val="3"/>
                <c:pt idx="0">
                  <c:v>225.80645161290326</c:v>
                </c:pt>
                <c:pt idx="1">
                  <c:v>1424.9999999999998</c:v>
                </c:pt>
                <c:pt idx="2">
                  <c:v>9099.0990990990995</c:v>
                </c:pt>
              </c:numCache>
            </c:numRef>
          </c:yVal>
        </c:ser>
        <c:ser>
          <c:idx val="12"/>
          <c:order val="12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(Kinlochbervie!$Y$15,Kinlochbervie!$AD$15,Kinlochbervie!$AI$15)</c:f>
              <c:numCache>
                <c:formatCode>0.00</c:formatCode>
                <c:ptCount val="3"/>
                <c:pt idx="0">
                  <c:v>336.50793650793651</c:v>
                </c:pt>
                <c:pt idx="1">
                  <c:v>1048.3870967741937</c:v>
                </c:pt>
                <c:pt idx="2">
                  <c:v>6274.5098039215691</c:v>
                </c:pt>
              </c:numCache>
            </c:numRef>
          </c:yVal>
        </c:ser>
        <c:ser>
          <c:idx val="13"/>
          <c:order val="13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(Kinlochbervie!$Y$16,Kinlochbervie!$AD$16,Kinlochbervie!$AI$16)</c:f>
              <c:numCache>
                <c:formatCode>0.00</c:formatCode>
                <c:ptCount val="3"/>
                <c:pt idx="0">
                  <c:v>380.95238095238091</c:v>
                </c:pt>
                <c:pt idx="1">
                  <c:v>523.25581395348843</c:v>
                </c:pt>
                <c:pt idx="2">
                  <c:v>5333.3333333333339</c:v>
                </c:pt>
              </c:numCache>
            </c:numRef>
          </c:yVal>
        </c:ser>
        <c:ser>
          <c:idx val="14"/>
          <c:order val="14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(Kinlochbervie!$Y$17,Kinlochbervie!$AD$17,Kinlochbervie!$AI$17)</c:f>
              <c:numCache>
                <c:formatCode>0.00</c:formatCode>
                <c:ptCount val="3"/>
                <c:pt idx="0">
                  <c:v>150</c:v>
                </c:pt>
                <c:pt idx="1">
                  <c:v>937.5</c:v>
                </c:pt>
                <c:pt idx="2">
                  <c:v>6330.2752293577987</c:v>
                </c:pt>
              </c:numCache>
            </c:numRef>
          </c:yVal>
        </c:ser>
        <c:ser>
          <c:idx val="15"/>
          <c:order val="15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(Kinlochbervie!$Y$18,Kinlochbervie!$AD$18,Kinlochbervie!$AI$18)</c:f>
              <c:numCache>
                <c:formatCode>0.00</c:formatCode>
                <c:ptCount val="3"/>
                <c:pt idx="0">
                  <c:v>177.77777777777777</c:v>
                </c:pt>
                <c:pt idx="1">
                  <c:v>670.73170731707319</c:v>
                </c:pt>
                <c:pt idx="2">
                  <c:v>15666.666666666668</c:v>
                </c:pt>
              </c:numCache>
            </c:numRef>
          </c:yVal>
        </c:ser>
        <c:ser>
          <c:idx val="16"/>
          <c:order val="16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(Kinlochbervie!$Y$19,Kinlochbervie!$AD$19,Kinlochbervie!$AI$19)</c:f>
              <c:numCache>
                <c:formatCode>0.00</c:formatCode>
                <c:ptCount val="3"/>
                <c:pt idx="0">
                  <c:v>160</c:v>
                </c:pt>
                <c:pt idx="1">
                  <c:v>980.39215686274508</c:v>
                </c:pt>
                <c:pt idx="2">
                  <c:v>6617.6470588235288</c:v>
                </c:pt>
              </c:numCache>
            </c:numRef>
          </c:yVal>
        </c:ser>
        <c:ser>
          <c:idx val="17"/>
          <c:order val="17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(Kinlochbervie!$Y$21,Kinlochbervie!$AD$21,Kinlochbervie!$AI$21)</c:f>
              <c:numCache>
                <c:formatCode>0.00</c:formatCode>
                <c:ptCount val="3"/>
                <c:pt idx="0">
                  <c:v>124.13793103448276</c:v>
                </c:pt>
                <c:pt idx="1">
                  <c:v>543.47826086956525</c:v>
                </c:pt>
                <c:pt idx="2">
                  <c:v>4363.6363636363631</c:v>
                </c:pt>
              </c:numCache>
            </c:numRef>
          </c:yVal>
        </c:ser>
        <c:dLbls/>
        <c:axId val="87811200"/>
        <c:axId val="87813120"/>
      </c:scatterChart>
      <c:valAx>
        <c:axId val="8781120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87813120"/>
        <c:crosses val="autoZero"/>
        <c:crossBetween val="midCat"/>
      </c:valAx>
      <c:valAx>
        <c:axId val="87813120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87811200"/>
        <c:crossesAt val="0.1"/>
        <c:crossBetween val="midCat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(Kinlochbervie!$E$3,Kinlochbervie!$J$3,Kinlochbervie!$O$3)</c:f>
              <c:numCache>
                <c:formatCode>0.00</c:formatCode>
                <c:ptCount val="3"/>
                <c:pt idx="0">
                  <c:v>30.76923076923077</c:v>
                </c:pt>
                <c:pt idx="1">
                  <c:v>714.28571428571422</c:v>
                </c:pt>
                <c:pt idx="2">
                  <c:v>500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(Kinlochbervie!$E$4,Kinlochbervie!$J$4,Kinlochbervie!$O$4)</c:f>
              <c:numCache>
                <c:formatCode>0.00</c:formatCode>
                <c:ptCount val="3"/>
                <c:pt idx="0">
                  <c:v>285.71428571428572</c:v>
                </c:pt>
                <c:pt idx="1">
                  <c:v>516.05504587155963</c:v>
                </c:pt>
                <c:pt idx="2">
                  <c:v>3209.8765432098767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(Kinlochbervie!$E$5,Kinlochbervie!$J$5,Kinlochbervie!$O$5)</c:f>
              <c:numCache>
                <c:formatCode>0.00</c:formatCode>
                <c:ptCount val="3"/>
                <c:pt idx="0">
                  <c:v>237.5</c:v>
                </c:pt>
                <c:pt idx="1">
                  <c:v>1359.6491228070176</c:v>
                </c:pt>
                <c:pt idx="2">
                  <c:v>8267.045454545454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(Kinlochbervie!$E$6,Kinlochbervie!$J$6,Kinlochbervie!$O$6)</c:f>
              <c:numCache>
                <c:formatCode>0.00</c:formatCode>
                <c:ptCount val="3"/>
                <c:pt idx="0">
                  <c:v>338.46153846153845</c:v>
                </c:pt>
                <c:pt idx="1">
                  <c:v>1326.0869565217392</c:v>
                </c:pt>
                <c:pt idx="2">
                  <c:v>7398.190045248869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(Kinlochbervie!$E$7,Kinlochbervie!$J$7,Kinlochbervie!$O$7)</c:f>
              <c:numCache>
                <c:formatCode>0.00</c:formatCode>
                <c:ptCount val="3"/>
                <c:pt idx="0">
                  <c:v>312.19512195121951</c:v>
                </c:pt>
                <c:pt idx="1">
                  <c:v>1014.8514851485149</c:v>
                </c:pt>
                <c:pt idx="2">
                  <c:v>5837.4384236453207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(Kinlochbervie!$E$8,Kinlochbervie!$J$8,Kinlochbervie!$O$8)</c:f>
              <c:numCache>
                <c:formatCode>0.00</c:formatCode>
                <c:ptCount val="3"/>
                <c:pt idx="0">
                  <c:v>295.08196721311475</c:v>
                </c:pt>
                <c:pt idx="1">
                  <c:v>2153.8461538461538</c:v>
                </c:pt>
                <c:pt idx="2">
                  <c:v>14196.428571428571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(Kinlochbervie!$E$9,Kinlochbervie!$J$9,Kinlochbervie!$O$9)</c:f>
              <c:numCache>
                <c:formatCode>0.00</c:formatCode>
                <c:ptCount val="3"/>
                <c:pt idx="0">
                  <c:v>313.72549019607845</c:v>
                </c:pt>
                <c:pt idx="1">
                  <c:v>783.89830508474574</c:v>
                </c:pt>
                <c:pt idx="2">
                  <c:v>4469.6969696969691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(Kinlochbervie!$E$10,Kinlochbervie!$J$10,Kinlochbervie!$O$10)</c:f>
              <c:numCache>
                <c:formatCode>0.00</c:formatCode>
                <c:ptCount val="3"/>
                <c:pt idx="0">
                  <c:v>375</c:v>
                </c:pt>
                <c:pt idx="1">
                  <c:v>1234.9397590361446</c:v>
                </c:pt>
                <c:pt idx="2">
                  <c:v>4969.3251533742332</c:v>
                </c:pt>
              </c:numCache>
            </c:numRef>
          </c:yVal>
        </c:ser>
        <c:ser>
          <c:idx val="8"/>
          <c:order val="8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(Kinlochbervie!$E$11,Kinlochbervie!$J$11,Kinlochbervie!$O$11)</c:f>
              <c:numCache>
                <c:formatCode>0.00</c:formatCode>
                <c:ptCount val="3"/>
                <c:pt idx="0">
                  <c:v>352.94117647058823</c:v>
                </c:pt>
                <c:pt idx="1">
                  <c:v>1805.5555555555554</c:v>
                </c:pt>
                <c:pt idx="2">
                  <c:v>13935.483870967742</c:v>
                </c:pt>
              </c:numCache>
            </c:numRef>
          </c:yVal>
        </c:ser>
        <c:ser>
          <c:idx val="9"/>
          <c:order val="9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(Kinlochbervie!$E$12,Kinlochbervie!$J$12,Kinlochbervie!$O$12)</c:f>
              <c:numCache>
                <c:formatCode>0.00</c:formatCode>
                <c:ptCount val="3"/>
                <c:pt idx="0">
                  <c:v>356.75675675675677</c:v>
                </c:pt>
                <c:pt idx="1">
                  <c:v>1250</c:v>
                </c:pt>
                <c:pt idx="2">
                  <c:v>8600</c:v>
                </c:pt>
              </c:numCache>
            </c:numRef>
          </c:yVal>
        </c:ser>
        <c:ser>
          <c:idx val="10"/>
          <c:order val="10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(Kinlochbervie!$E$13,Kinlochbervie!$J$13,Kinlochbervie!$O$13)</c:f>
              <c:numCache>
                <c:formatCode>0.00</c:formatCode>
                <c:ptCount val="3"/>
                <c:pt idx="0">
                  <c:v>329.41176470588232</c:v>
                </c:pt>
                <c:pt idx="1">
                  <c:v>725.80645161290329</c:v>
                </c:pt>
                <c:pt idx="2">
                  <c:v>4233.1288343558281</c:v>
                </c:pt>
              </c:numCache>
            </c:numRef>
          </c:yVal>
        </c:ser>
        <c:ser>
          <c:idx val="11"/>
          <c:order val="11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(Kinlochbervie!$E$14,Kinlochbervie!$J$14,Kinlochbervie!$O$14)</c:f>
              <c:numCache>
                <c:formatCode>0.00</c:formatCode>
                <c:ptCount val="3"/>
                <c:pt idx="0">
                  <c:v>229.41176470588235</c:v>
                </c:pt>
                <c:pt idx="1">
                  <c:v>809.85915492957747</c:v>
                </c:pt>
                <c:pt idx="2">
                  <c:v>3406.3745019920316</c:v>
                </c:pt>
              </c:numCache>
            </c:numRef>
          </c:yVal>
        </c:ser>
        <c:ser>
          <c:idx val="12"/>
          <c:order val="12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(Kinlochbervie!$E$15,Kinlochbervie!$J$15,Kinlochbervie!$O$15)</c:f>
              <c:numCache>
                <c:formatCode>0.00</c:formatCode>
                <c:ptCount val="3"/>
                <c:pt idx="0">
                  <c:v>272.72727272727269</c:v>
                </c:pt>
                <c:pt idx="1">
                  <c:v>1032.608695652174</c:v>
                </c:pt>
                <c:pt idx="2">
                  <c:v>7794.759825327511</c:v>
                </c:pt>
              </c:numCache>
            </c:numRef>
          </c:yVal>
        </c:ser>
        <c:ser>
          <c:idx val="13"/>
          <c:order val="13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(Kinlochbervie!$E$16,Kinlochbervie!$J$16,Kinlochbervie!$O$16)</c:f>
              <c:numCache>
                <c:formatCode>0.00</c:formatCode>
                <c:ptCount val="3"/>
                <c:pt idx="0">
                  <c:v>314.89361702127661</c:v>
                </c:pt>
                <c:pt idx="1">
                  <c:v>873.78640776699035</c:v>
                </c:pt>
                <c:pt idx="2">
                  <c:v>2402.5974025974024</c:v>
                </c:pt>
              </c:numCache>
            </c:numRef>
          </c:yVal>
        </c:ser>
        <c:ser>
          <c:idx val="14"/>
          <c:order val="14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(Kinlochbervie!$E$17,Kinlochbervie!$J$17,Kinlochbervie!$O$17)</c:f>
              <c:numCache>
                <c:formatCode>0.00</c:formatCode>
                <c:ptCount val="3"/>
                <c:pt idx="0">
                  <c:v>183.7837837837838</c:v>
                </c:pt>
                <c:pt idx="1">
                  <c:v>651.04166666666674</c:v>
                </c:pt>
                <c:pt idx="2">
                  <c:v>1902.9850746268658</c:v>
                </c:pt>
              </c:numCache>
            </c:numRef>
          </c:yVal>
        </c:ser>
        <c:ser>
          <c:idx val="15"/>
          <c:order val="15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(Kinlochbervie!$E$18,Kinlochbervie!$J$18,Kinlochbervie!$O$18)</c:f>
              <c:numCache>
                <c:formatCode>0.00</c:formatCode>
                <c:ptCount val="3"/>
                <c:pt idx="0">
                  <c:v>276.92307692307691</c:v>
                </c:pt>
                <c:pt idx="1">
                  <c:v>391.304347826087</c:v>
                </c:pt>
                <c:pt idx="2">
                  <c:v>1090.9090909090908</c:v>
                </c:pt>
              </c:numCache>
            </c:numRef>
          </c:yVal>
        </c:ser>
        <c:ser>
          <c:idx val="16"/>
          <c:order val="16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(Kinlochbervie!$E$19,Kinlochbervie!$J$19,Kinlochbervie!$O$19)</c:f>
              <c:numCache>
                <c:formatCode>0.00</c:formatCode>
                <c:ptCount val="3"/>
                <c:pt idx="0">
                  <c:v>161.9047619047619</c:v>
                </c:pt>
                <c:pt idx="1">
                  <c:v>543.47826086956525</c:v>
                </c:pt>
                <c:pt idx="2">
                  <c:v>1333.3333333333335</c:v>
                </c:pt>
              </c:numCache>
            </c:numRef>
          </c:yVal>
        </c:ser>
        <c:ser>
          <c:idx val="17"/>
          <c:order val="17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(Kinlochbervie!$E$20,Kinlochbervie!$J$20,Kinlochbervie!$O$20)</c:f>
              <c:numCache>
                <c:formatCode>0.00</c:formatCode>
                <c:ptCount val="3"/>
                <c:pt idx="0">
                  <c:v>114.28571428571428</c:v>
                </c:pt>
                <c:pt idx="1">
                  <c:v>141.50943396226415</c:v>
                </c:pt>
                <c:pt idx="2">
                  <c:v>1250</c:v>
                </c:pt>
              </c:numCache>
            </c:numRef>
          </c:yVal>
        </c:ser>
        <c:dLbls/>
        <c:axId val="122669696"/>
        <c:axId val="128258816"/>
      </c:scatterChart>
      <c:valAx>
        <c:axId val="122669696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128258816"/>
        <c:crosses val="autoZero"/>
        <c:crossBetween val="midCat"/>
      </c:valAx>
      <c:valAx>
        <c:axId val="128258816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122669696"/>
        <c:crossesAt val="0.1"/>
        <c:crossBetween val="midCat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(Kinlochbervie!$AS$3,Kinlochbervie!$AX$3,Kinlochbervie!$BC$3)</c:f>
              <c:numCache>
                <c:formatCode>0.00</c:formatCode>
                <c:ptCount val="3"/>
                <c:pt idx="0">
                  <c:v>266.66666666666663</c:v>
                </c:pt>
                <c:pt idx="1">
                  <c:v>681.81818181818176</c:v>
                </c:pt>
                <c:pt idx="2">
                  <c:v>2083.3333333333335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(Kinlochbervie!$AS$4,Kinlochbervie!$AX$4,Kinlochbervie!$BC$4)</c:f>
              <c:numCache>
                <c:formatCode>0.00</c:formatCode>
                <c:ptCount val="3"/>
                <c:pt idx="0">
                  <c:v>114.28571428571428</c:v>
                </c:pt>
                <c:pt idx="1">
                  <c:v>543.47826086956525</c:v>
                </c:pt>
                <c:pt idx="2">
                  <c:v>588.23529411764707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(Kinlochbervie!$AS$5,Kinlochbervie!$AX$5,Kinlochbervie!$BC$5)</c:f>
              <c:numCache>
                <c:formatCode>0.00</c:formatCode>
                <c:ptCount val="3"/>
                <c:pt idx="0">
                  <c:v>133.33333333333331</c:v>
                </c:pt>
                <c:pt idx="1">
                  <c:v>1037.7358490566039</c:v>
                </c:pt>
                <c:pt idx="2">
                  <c:v>957.44680851063822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(Kinlochbervie!$AS$6,Kinlochbervie!$AX$6,Kinlochbervie!$BC$6)</c:f>
              <c:numCache>
                <c:formatCode>0.00</c:formatCode>
                <c:ptCount val="3"/>
                <c:pt idx="0">
                  <c:v>171.42857142857142</c:v>
                </c:pt>
                <c:pt idx="1">
                  <c:v>465.11627906976742</c:v>
                </c:pt>
                <c:pt idx="2">
                  <c:v>1363.6363636363637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(Kinlochbervie!$AS$7,Kinlochbervie!$AX$7,Kinlochbervie!$BC$7)</c:f>
              <c:numCache>
                <c:formatCode>0.00</c:formatCode>
                <c:ptCount val="3"/>
                <c:pt idx="0">
                  <c:v>266.66666666666663</c:v>
                </c:pt>
                <c:pt idx="1">
                  <c:v>755.81395348837202</c:v>
                </c:pt>
                <c:pt idx="2">
                  <c:v>2327.5862068965516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(Kinlochbervie!$AS$10,Kinlochbervie!$AX$10,Kinlochbervie!$BC$10)</c:f>
              <c:numCache>
                <c:formatCode>0.00</c:formatCode>
                <c:ptCount val="3"/>
                <c:pt idx="0">
                  <c:v>66.666666666666657</c:v>
                </c:pt>
                <c:pt idx="1">
                  <c:v>967.74193548387098</c:v>
                </c:pt>
                <c:pt idx="2">
                  <c:v>762.71186440677968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(Kinlochbervie!$AS$11,Kinlochbervie!$AX$11,Kinlochbervie!$BC$11)</c:f>
              <c:numCache>
                <c:formatCode>0.00</c:formatCode>
                <c:ptCount val="3"/>
                <c:pt idx="0">
                  <c:v>147.36842105263156</c:v>
                </c:pt>
                <c:pt idx="1">
                  <c:v>198.01980198019803</c:v>
                </c:pt>
                <c:pt idx="2">
                  <c:v>1241.3793103448277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(Kinlochbervie!$AS$12,Kinlochbervie!$AX$12,Kinlochbervie!$BC$12)</c:f>
              <c:numCache>
                <c:formatCode>0.00</c:formatCode>
                <c:ptCount val="3"/>
                <c:pt idx="0">
                  <c:v>57.142857142857139</c:v>
                </c:pt>
                <c:pt idx="1">
                  <c:v>90.361445783132524</c:v>
                </c:pt>
                <c:pt idx="2">
                  <c:v>340.90909090909093</c:v>
                </c:pt>
              </c:numCache>
            </c:numRef>
          </c:yVal>
        </c:ser>
        <c:ser>
          <c:idx val="8"/>
          <c:order val="8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(Kinlochbervie!$AS$14,Kinlochbervie!$AX$14,Kinlochbervie!$BC$14)</c:f>
              <c:numCache>
                <c:formatCode>0.00</c:formatCode>
                <c:ptCount val="3"/>
                <c:pt idx="0">
                  <c:v>323.07692307692309</c:v>
                </c:pt>
                <c:pt idx="1">
                  <c:v>468.75</c:v>
                </c:pt>
                <c:pt idx="2">
                  <c:v>2903.2258064516127</c:v>
                </c:pt>
              </c:numCache>
            </c:numRef>
          </c:yVal>
        </c:ser>
        <c:ser>
          <c:idx val="9"/>
          <c:order val="9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(Kinlochbervie!$AS$15,Kinlochbervie!$AX$15,Kinlochbervie!$BC$15)</c:f>
              <c:numCache>
                <c:formatCode>0.00</c:formatCode>
                <c:ptCount val="3"/>
                <c:pt idx="0">
                  <c:v>121.21212121212122</c:v>
                </c:pt>
                <c:pt idx="1">
                  <c:v>555.55555555555554</c:v>
                </c:pt>
                <c:pt idx="2">
                  <c:v>1500</c:v>
                </c:pt>
              </c:numCache>
            </c:numRef>
          </c:yVal>
        </c:ser>
        <c:ser>
          <c:idx val="10"/>
          <c:order val="10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(Kinlochbervie!$AS$16,Kinlochbervie!$AX$16,Kinlochbervie!$BC$16)</c:f>
              <c:numCache>
                <c:formatCode>0.00</c:formatCode>
                <c:ptCount val="3"/>
                <c:pt idx="0">
                  <c:v>153.84615384615387</c:v>
                </c:pt>
                <c:pt idx="1">
                  <c:v>481.92771084337352</c:v>
                </c:pt>
                <c:pt idx="2">
                  <c:v>794.11764705882354</c:v>
                </c:pt>
              </c:numCache>
            </c:numRef>
          </c:yVal>
        </c:ser>
        <c:ser>
          <c:idx val="11"/>
          <c:order val="11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(Kinlochbervie!$AS$18,Kinlochbervie!$AX$18,Kinlochbervie!$BC$18)</c:f>
              <c:numCache>
                <c:formatCode>0.00</c:formatCode>
                <c:ptCount val="3"/>
                <c:pt idx="0">
                  <c:v>176.47058823529412</c:v>
                </c:pt>
                <c:pt idx="1">
                  <c:v>184.42622950819671</c:v>
                </c:pt>
                <c:pt idx="2">
                  <c:v>261.62790697674416</c:v>
                </c:pt>
              </c:numCache>
            </c:numRef>
          </c:yVal>
        </c:ser>
        <c:ser>
          <c:idx val="12"/>
          <c:order val="12"/>
          <c:spPr>
            <a:ln w="28575">
              <a:noFill/>
            </a:ln>
          </c:spPr>
          <c:xVal>
            <c:numRef>
              <c:f>(Kinlochbervie!$AQ$1,Kinlochbervie!$AV$1,Kinlochbervie!$BA$1)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(Kinlochbervie!$AS$19,Kinlochbervie!$AX$19,Kinlochbervie!$BC$19)</c:f>
              <c:numCache>
                <c:formatCode>0.00</c:formatCode>
                <c:ptCount val="3"/>
                <c:pt idx="0">
                  <c:v>143.39622641509433</c:v>
                </c:pt>
                <c:pt idx="1">
                  <c:v>252.10084033613447</c:v>
                </c:pt>
                <c:pt idx="2">
                  <c:v>818.18181818181813</c:v>
                </c:pt>
              </c:numCache>
            </c:numRef>
          </c:yVal>
        </c:ser>
        <c:dLbls/>
        <c:axId val="128787200"/>
        <c:axId val="128789120"/>
      </c:scatterChart>
      <c:valAx>
        <c:axId val="12878720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128789120"/>
        <c:crosses val="autoZero"/>
        <c:crossBetween val="midCat"/>
      </c:valAx>
      <c:valAx>
        <c:axId val="128789120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128787200"/>
        <c:crossesAt val="0.1"/>
        <c:crossBetween val="midCat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16</xdr:row>
      <xdr:rowOff>176211</xdr:rowOff>
    </xdr:from>
    <xdr:to>
      <xdr:col>7</xdr:col>
      <xdr:colOff>742950</xdr:colOff>
      <xdr:row>33</xdr:row>
      <xdr:rowOff>161924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28575</xdr:colOff>
      <xdr:row>20</xdr:row>
      <xdr:rowOff>14287</xdr:rowOff>
    </xdr:from>
    <xdr:to>
      <xdr:col>30</xdr:col>
      <xdr:colOff>561975</xdr:colOff>
      <xdr:row>40</xdr:row>
      <xdr:rowOff>66675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57150</xdr:colOff>
      <xdr:row>0</xdr:row>
      <xdr:rowOff>47625</xdr:rowOff>
    </xdr:from>
    <xdr:to>
      <xdr:col>42</xdr:col>
      <xdr:colOff>9525</xdr:colOff>
      <xdr:row>14</xdr:row>
      <xdr:rowOff>19050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47625</xdr:colOff>
      <xdr:row>0</xdr:row>
      <xdr:rowOff>66675</xdr:rowOff>
    </xdr:from>
    <xdr:to>
      <xdr:col>19</xdr:col>
      <xdr:colOff>952500</xdr:colOff>
      <xdr:row>14</xdr:row>
      <xdr:rowOff>95250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12870</xdr:colOff>
      <xdr:row>29</xdr:row>
      <xdr:rowOff>12872</xdr:rowOff>
    </xdr:from>
    <xdr:to>
      <xdr:col>18</xdr:col>
      <xdr:colOff>77229</xdr:colOff>
      <xdr:row>46</xdr:row>
      <xdr:rowOff>12872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77231</xdr:colOff>
      <xdr:row>32</xdr:row>
      <xdr:rowOff>154460</xdr:rowOff>
    </xdr:from>
    <xdr:to>
      <xdr:col>35</xdr:col>
      <xdr:colOff>51487</xdr:colOff>
      <xdr:row>49</xdr:row>
      <xdr:rowOff>38615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0</xdr:row>
      <xdr:rowOff>152399</xdr:rowOff>
    </xdr:from>
    <xdr:to>
      <xdr:col>17</xdr:col>
      <xdr:colOff>495299</xdr:colOff>
      <xdr:row>34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0.06061</cdr:x>
      <cdr:y>0.72139</cdr:y>
    </cdr:from>
    <cdr:to>
      <cdr:x>0.69697</cdr:x>
      <cdr:y>0.72289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628650" y="4562475"/>
          <a:ext cx="6600825" cy="95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C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0.09286</cdr:x>
      <cdr:y>0.50369</cdr:y>
    </cdr:from>
    <cdr:to>
      <cdr:x>0.94857</cdr:x>
      <cdr:y>0.50369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16084" y="1646060"/>
          <a:ext cx="56772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0.06718</cdr:x>
      <cdr:y>0.44889</cdr:y>
    </cdr:from>
    <cdr:to>
      <cdr:x>0.9702</cdr:x>
      <cdr:y>0.44889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16908" y="1756880"/>
          <a:ext cx="82925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38100</xdr:colOff>
      <xdr:row>0</xdr:row>
      <xdr:rowOff>47624</xdr:rowOff>
    </xdr:from>
    <xdr:to>
      <xdr:col>39</xdr:col>
      <xdr:colOff>866775</xdr:colOff>
      <xdr:row>12</xdr:row>
      <xdr:rowOff>171449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66675</xdr:colOff>
      <xdr:row>0</xdr:row>
      <xdr:rowOff>57150</xdr:rowOff>
    </xdr:from>
    <xdr:to>
      <xdr:col>19</xdr:col>
      <xdr:colOff>904875</xdr:colOff>
      <xdr:row>13</xdr:row>
      <xdr:rowOff>28575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56</xdr:col>
      <xdr:colOff>19050</xdr:colOff>
      <xdr:row>0</xdr:row>
      <xdr:rowOff>0</xdr:rowOff>
    </xdr:from>
    <xdr:to>
      <xdr:col>61</xdr:col>
      <xdr:colOff>476250</xdr:colOff>
      <xdr:row>13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209550</xdr:colOff>
      <xdr:row>21</xdr:row>
      <xdr:rowOff>9525</xdr:rowOff>
    </xdr:from>
    <xdr:to>
      <xdr:col>10</xdr:col>
      <xdr:colOff>352425</xdr:colOff>
      <xdr:row>35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238125</xdr:colOff>
      <xdr:row>22</xdr:row>
      <xdr:rowOff>9525</xdr:rowOff>
    </xdr:from>
    <xdr:to>
      <xdr:col>30</xdr:col>
      <xdr:colOff>285750</xdr:colOff>
      <xdr:row>36</xdr:row>
      <xdr:rowOff>85725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266700</xdr:colOff>
      <xdr:row>22</xdr:row>
      <xdr:rowOff>9525</xdr:rowOff>
    </xdr:from>
    <xdr:to>
      <xdr:col>50</xdr:col>
      <xdr:colOff>466725</xdr:colOff>
      <xdr:row>36</xdr:row>
      <xdr:rowOff>85725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19050</xdr:colOff>
      <xdr:row>22</xdr:row>
      <xdr:rowOff>19050</xdr:rowOff>
    </xdr:from>
    <xdr:to>
      <xdr:col>55</xdr:col>
      <xdr:colOff>828675</xdr:colOff>
      <xdr:row>36</xdr:row>
      <xdr:rowOff>95250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457200</xdr:colOff>
      <xdr:row>22</xdr:row>
      <xdr:rowOff>142875</xdr:rowOff>
    </xdr:from>
    <xdr:to>
      <xdr:col>35</xdr:col>
      <xdr:colOff>695325</xdr:colOff>
      <xdr:row>37</xdr:row>
      <xdr:rowOff>28575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600075</xdr:colOff>
      <xdr:row>22</xdr:row>
      <xdr:rowOff>0</xdr:rowOff>
    </xdr:from>
    <xdr:to>
      <xdr:col>15</xdr:col>
      <xdr:colOff>781050</xdr:colOff>
      <xdr:row>36</xdr:row>
      <xdr:rowOff>76200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0.16458</cdr:x>
      <cdr:y>0.27431</cdr:y>
    </cdr:from>
    <cdr:to>
      <cdr:x>0.93125</cdr:x>
      <cdr:y>0.27431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752475" y="752475"/>
          <a:ext cx="350520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0.16458</cdr:x>
      <cdr:y>0.40972</cdr:y>
    </cdr:from>
    <cdr:to>
      <cdr:x>0.92292</cdr:x>
      <cdr:y>0.40972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752475" y="1123950"/>
          <a:ext cx="346710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0</xdr:row>
      <xdr:rowOff>38100</xdr:rowOff>
    </xdr:from>
    <xdr:to>
      <xdr:col>19</xdr:col>
      <xdr:colOff>866775</xdr:colOff>
      <xdr:row>12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73270</xdr:colOff>
      <xdr:row>0</xdr:row>
      <xdr:rowOff>52335</xdr:rowOff>
    </xdr:from>
    <xdr:to>
      <xdr:col>42</xdr:col>
      <xdr:colOff>450082</xdr:colOff>
      <xdr:row>14</xdr:row>
      <xdr:rowOff>188406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334944</xdr:colOff>
      <xdr:row>20</xdr:row>
      <xdr:rowOff>10467</xdr:rowOff>
    </xdr:from>
    <xdr:to>
      <xdr:col>10</xdr:col>
      <xdr:colOff>303544</xdr:colOff>
      <xdr:row>34</xdr:row>
      <xdr:rowOff>115138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115137</xdr:colOff>
      <xdr:row>20</xdr:row>
      <xdr:rowOff>31401</xdr:rowOff>
    </xdr:from>
    <xdr:to>
      <xdr:col>30</xdr:col>
      <xdr:colOff>251209</xdr:colOff>
      <xdr:row>34</xdr:row>
      <xdr:rowOff>136072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21</xdr:row>
      <xdr:rowOff>20935</xdr:rowOff>
    </xdr:from>
    <xdr:to>
      <xdr:col>15</xdr:col>
      <xdr:colOff>785027</xdr:colOff>
      <xdr:row>35</xdr:row>
      <xdr:rowOff>125605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20</xdr:row>
      <xdr:rowOff>0</xdr:rowOff>
    </xdr:from>
    <xdr:to>
      <xdr:col>35</xdr:col>
      <xdr:colOff>847830</xdr:colOff>
      <xdr:row>34</xdr:row>
      <xdr:rowOff>104671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0.16476</cdr:x>
      <cdr:y>0.24427</cdr:y>
    </cdr:from>
    <cdr:to>
      <cdr:x>0.93822</cdr:x>
      <cdr:y>0.24427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753627" y="669890"/>
          <a:ext cx="3537857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0.1373</cdr:x>
      <cdr:y>0.31679</cdr:y>
    </cdr:from>
    <cdr:to>
      <cdr:x>0.91076</cdr:x>
      <cdr:y>0.31679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28022" y="868764"/>
          <a:ext cx="3537857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36"/>
  <sheetViews>
    <sheetView zoomScale="74" zoomScaleNormal="74" workbookViewId="0">
      <selection activeCell="M39" sqref="M39"/>
    </sheetView>
  </sheetViews>
  <sheetFormatPr defaultRowHeight="15"/>
  <cols>
    <col min="2" max="2" width="13" customWidth="1"/>
    <col min="3" max="4" width="14.5703125" customWidth="1"/>
    <col min="5" max="7" width="13.5703125" customWidth="1"/>
    <col min="8" max="8" width="14" customWidth="1"/>
    <col min="9" max="10" width="13.5703125" customWidth="1"/>
    <col min="11" max="11" width="9.28515625" customWidth="1"/>
    <col min="12" max="16" width="16.85546875" customWidth="1"/>
    <col min="17" max="17" width="17.85546875" customWidth="1"/>
    <col min="18" max="18" width="17.140625" customWidth="1"/>
    <col min="19" max="19" width="16.5703125" customWidth="1"/>
    <col min="20" max="20" width="15" customWidth="1"/>
    <col min="22" max="22" width="12.5703125" customWidth="1"/>
    <col min="23" max="23" width="15.140625" customWidth="1"/>
    <col min="24" max="24" width="13.28515625" customWidth="1"/>
    <col min="25" max="25" width="12.42578125" customWidth="1"/>
    <col min="27" max="27" width="13.5703125" customWidth="1"/>
    <col min="28" max="29" width="15.5703125" customWidth="1"/>
    <col min="30" max="30" width="13.42578125" customWidth="1"/>
    <col min="31" max="31" width="12.42578125" customWidth="1"/>
    <col min="32" max="36" width="18.42578125" customWidth="1"/>
  </cols>
  <sheetData>
    <row r="1" spans="1:44">
      <c r="A1" s="1" t="s">
        <v>4</v>
      </c>
      <c r="B1" s="2"/>
      <c r="C1" s="2">
        <v>0.35</v>
      </c>
      <c r="D1" s="2"/>
      <c r="E1" s="2"/>
      <c r="F1" s="1" t="s">
        <v>3</v>
      </c>
      <c r="G1" s="2"/>
      <c r="H1" s="2">
        <v>1.27</v>
      </c>
      <c r="I1" s="2"/>
      <c r="J1" s="2"/>
      <c r="K1" s="1" t="s">
        <v>26</v>
      </c>
      <c r="L1" s="2"/>
      <c r="M1" s="2" t="s">
        <v>27</v>
      </c>
      <c r="N1" s="2">
        <v>3.33</v>
      </c>
      <c r="O1" s="2"/>
      <c r="P1" s="2"/>
      <c r="Q1" s="60"/>
      <c r="R1" s="59"/>
      <c r="S1" s="59"/>
      <c r="T1" s="59"/>
      <c r="U1" s="9" t="s">
        <v>6</v>
      </c>
      <c r="V1" s="10"/>
      <c r="W1" s="10">
        <v>0.56000000000000005</v>
      </c>
      <c r="X1" s="10"/>
      <c r="Y1" s="10"/>
      <c r="Z1" s="9" t="s">
        <v>5</v>
      </c>
      <c r="AA1" s="9"/>
      <c r="AB1" s="66">
        <v>3.16</v>
      </c>
      <c r="AC1" s="66"/>
      <c r="AD1" s="9"/>
      <c r="AE1" s="9" t="s">
        <v>29</v>
      </c>
      <c r="AF1" s="9"/>
      <c r="AG1" s="66">
        <v>8.0299999999999994</v>
      </c>
      <c r="AH1" s="66"/>
      <c r="AI1" s="9"/>
      <c r="AJ1" s="9"/>
    </row>
    <row r="2" spans="1:44">
      <c r="A2" s="1" t="s">
        <v>0</v>
      </c>
      <c r="B2" s="1" t="s">
        <v>1</v>
      </c>
      <c r="C2" s="1" t="s">
        <v>21</v>
      </c>
      <c r="D2" s="1" t="s">
        <v>20</v>
      </c>
      <c r="E2" s="1" t="s">
        <v>2</v>
      </c>
      <c r="F2" s="1" t="s">
        <v>0</v>
      </c>
      <c r="G2" s="1" t="s">
        <v>1</v>
      </c>
      <c r="H2" s="1" t="s">
        <v>21</v>
      </c>
      <c r="I2" s="1" t="s">
        <v>20</v>
      </c>
      <c r="J2" s="1" t="s">
        <v>2</v>
      </c>
      <c r="K2" s="1" t="s">
        <v>0</v>
      </c>
      <c r="L2" s="1" t="s">
        <v>1</v>
      </c>
      <c r="M2" s="1" t="s">
        <v>21</v>
      </c>
      <c r="N2" s="1" t="s">
        <v>20</v>
      </c>
      <c r="O2" s="1" t="s">
        <v>2</v>
      </c>
      <c r="P2" s="1" t="s">
        <v>18</v>
      </c>
      <c r="Q2" s="62"/>
      <c r="R2" s="62"/>
      <c r="S2" s="62"/>
      <c r="T2" s="62"/>
      <c r="U2" s="9" t="s">
        <v>0</v>
      </c>
      <c r="V2" s="9" t="s">
        <v>1</v>
      </c>
      <c r="W2" s="9" t="s">
        <v>21</v>
      </c>
      <c r="X2" s="9" t="s">
        <v>20</v>
      </c>
      <c r="Y2" s="9" t="s">
        <v>2</v>
      </c>
      <c r="Z2" s="9" t="s">
        <v>0</v>
      </c>
      <c r="AA2" s="9" t="s">
        <v>1</v>
      </c>
      <c r="AB2" s="9" t="s">
        <v>21</v>
      </c>
      <c r="AC2" s="9" t="s">
        <v>20</v>
      </c>
      <c r="AD2" s="9" t="s">
        <v>2</v>
      </c>
      <c r="AE2" s="9" t="s">
        <v>0</v>
      </c>
      <c r="AF2" s="9" t="s">
        <v>1</v>
      </c>
      <c r="AG2" s="9" t="s">
        <v>21</v>
      </c>
      <c r="AH2" s="9" t="s">
        <v>20</v>
      </c>
      <c r="AI2" s="9" t="s">
        <v>2</v>
      </c>
      <c r="AJ2" s="9" t="s">
        <v>18</v>
      </c>
      <c r="AR2" s="59"/>
    </row>
    <row r="3" spans="1:44">
      <c r="A3" s="3">
        <v>18</v>
      </c>
      <c r="B3" s="3">
        <v>9.36</v>
      </c>
      <c r="C3" s="3">
        <v>37</v>
      </c>
      <c r="D3" s="3">
        <v>129</v>
      </c>
      <c r="E3" s="77">
        <f>SUM(C3/D3)*15000</f>
        <v>4302.3255813953492</v>
      </c>
      <c r="F3" s="64">
        <v>3</v>
      </c>
      <c r="G3" s="65">
        <v>9.1379999999999999</v>
      </c>
      <c r="H3" s="65">
        <v>13</v>
      </c>
      <c r="I3" s="65">
        <v>228</v>
      </c>
      <c r="J3" s="78">
        <f>SUM(H3/I3)*2500</f>
        <v>142.54385964912279</v>
      </c>
      <c r="K3" s="5">
        <v>1</v>
      </c>
      <c r="L3" s="65">
        <f>SUM(K3*7.95)</f>
        <v>7.95</v>
      </c>
      <c r="M3" s="65">
        <v>42</v>
      </c>
      <c r="N3" s="65">
        <v>52</v>
      </c>
      <c r="O3" s="77">
        <f>SUM(M3/N3)*400</f>
        <v>323.07692307692309</v>
      </c>
      <c r="P3" s="4">
        <v>1.2310000000000001</v>
      </c>
      <c r="Q3" s="61"/>
      <c r="R3" s="59"/>
      <c r="S3" s="61"/>
      <c r="T3" s="59"/>
      <c r="U3" s="63">
        <v>12</v>
      </c>
      <c r="V3" s="17">
        <f t="shared" ref="V3:V11" si="0">SUM(U3*0.4)</f>
        <v>4.8000000000000007</v>
      </c>
      <c r="W3" s="17">
        <v>38</v>
      </c>
      <c r="X3" s="11">
        <v>201</v>
      </c>
      <c r="Y3" s="73">
        <f t="shared" ref="Y3:Y19" si="1">SUM(W3/X3)*30000</f>
        <v>5671.6417910447763</v>
      </c>
      <c r="Z3" s="63">
        <v>3</v>
      </c>
      <c r="AA3" s="17">
        <v>4.9409999999999998</v>
      </c>
      <c r="AB3" s="17">
        <v>12</v>
      </c>
      <c r="AC3" s="17">
        <v>39</v>
      </c>
      <c r="AD3" s="74">
        <f t="shared" ref="AD3:AD19" si="2">SUM(AB3/AC3)*2500</f>
        <v>769.23076923076928</v>
      </c>
      <c r="AE3" s="63">
        <v>1</v>
      </c>
      <c r="AF3" s="17">
        <f>SUM(AE3*3.13)</f>
        <v>3.13</v>
      </c>
      <c r="AG3" s="17">
        <v>5</v>
      </c>
      <c r="AH3" s="17">
        <v>4</v>
      </c>
      <c r="AI3" s="115">
        <f>SUM(AG3/AH3)*400</f>
        <v>500</v>
      </c>
      <c r="AJ3" s="114">
        <v>0.94299999999999995</v>
      </c>
      <c r="AR3" s="59"/>
    </row>
    <row r="4" spans="1:44">
      <c r="A4" s="3">
        <v>29</v>
      </c>
      <c r="B4" s="3">
        <v>15.08</v>
      </c>
      <c r="C4" s="3">
        <v>67</v>
      </c>
      <c r="D4" s="3">
        <v>180</v>
      </c>
      <c r="E4" s="77">
        <f t="shared" ref="E4:E16" si="3">SUM(C4/D4)*15000</f>
        <v>5583.333333333333</v>
      </c>
      <c r="F4" s="5">
        <v>5</v>
      </c>
      <c r="G4" s="3">
        <v>15.229999999999999</v>
      </c>
      <c r="H4" s="3">
        <v>83</v>
      </c>
      <c r="I4" s="3">
        <v>285</v>
      </c>
      <c r="J4" s="78">
        <f t="shared" ref="J4:J16" si="4">SUM(H4/I4)*2500</f>
        <v>728.07017543859649</v>
      </c>
      <c r="K4" s="5">
        <v>2</v>
      </c>
      <c r="L4" s="3">
        <f t="shared" ref="L4:L16" si="5">SUM(K4*7.95)</f>
        <v>15.9</v>
      </c>
      <c r="M4" s="3">
        <v>56</v>
      </c>
      <c r="N4" s="3">
        <v>57</v>
      </c>
      <c r="O4" s="77">
        <f t="shared" ref="O4:O16" si="6">SUM(M4/N4)*400</f>
        <v>392.98245614035085</v>
      </c>
      <c r="P4" s="4">
        <v>1.2</v>
      </c>
      <c r="Q4" s="61"/>
      <c r="R4" s="59"/>
      <c r="S4" s="61"/>
      <c r="T4" s="59"/>
      <c r="U4" s="13">
        <v>16</v>
      </c>
      <c r="V4" s="11">
        <f t="shared" si="0"/>
        <v>6.4</v>
      </c>
      <c r="W4" s="11">
        <v>38</v>
      </c>
      <c r="X4" s="11">
        <v>195</v>
      </c>
      <c r="Y4" s="73">
        <f t="shared" si="1"/>
        <v>5846.1538461538466</v>
      </c>
      <c r="Z4" s="13">
        <v>4</v>
      </c>
      <c r="AA4" s="11">
        <v>6.5880000000000001</v>
      </c>
      <c r="AB4" s="11">
        <v>18</v>
      </c>
      <c r="AC4" s="11">
        <v>45</v>
      </c>
      <c r="AD4" s="74">
        <f t="shared" si="2"/>
        <v>1000</v>
      </c>
      <c r="AE4" s="13">
        <v>2</v>
      </c>
      <c r="AF4" s="11">
        <f t="shared" ref="AF4:AF19" si="7">SUM(AE4*3.13)</f>
        <v>6.26</v>
      </c>
      <c r="AG4" s="11">
        <v>11</v>
      </c>
      <c r="AH4" s="11">
        <v>13</v>
      </c>
      <c r="AI4" s="73">
        <f t="shared" ref="AI4:AI19" si="8">SUM(AG4/AH4)*400</f>
        <v>338.46153846153845</v>
      </c>
      <c r="AJ4" s="12">
        <v>1.0640000000000001</v>
      </c>
      <c r="AR4" s="59"/>
    </row>
    <row r="5" spans="1:44">
      <c r="A5" s="3">
        <v>47</v>
      </c>
      <c r="B5" s="3">
        <v>24.44</v>
      </c>
      <c r="C5" s="3">
        <v>141</v>
      </c>
      <c r="D5" s="3">
        <v>166</v>
      </c>
      <c r="E5" s="77">
        <f t="shared" si="3"/>
        <v>12740.963855421687</v>
      </c>
      <c r="F5" s="5">
        <v>8</v>
      </c>
      <c r="G5" s="3">
        <v>24.367999999999999</v>
      </c>
      <c r="H5" s="3">
        <v>130</v>
      </c>
      <c r="I5" s="3">
        <v>327</v>
      </c>
      <c r="J5" s="78">
        <f t="shared" si="4"/>
        <v>993.88379204892965</v>
      </c>
      <c r="K5" s="5">
        <v>3</v>
      </c>
      <c r="L5" s="3">
        <f t="shared" si="5"/>
        <v>23.85</v>
      </c>
      <c r="M5" s="3">
        <v>34</v>
      </c>
      <c r="N5" s="3">
        <v>80</v>
      </c>
      <c r="O5" s="77">
        <f t="shared" si="6"/>
        <v>170</v>
      </c>
      <c r="P5" s="4">
        <v>1.92</v>
      </c>
      <c r="Q5" s="61"/>
      <c r="R5" s="59"/>
      <c r="S5" s="61"/>
      <c r="T5" s="59"/>
      <c r="U5" s="13">
        <v>25</v>
      </c>
      <c r="V5" s="11">
        <f t="shared" si="0"/>
        <v>10</v>
      </c>
      <c r="W5" s="11">
        <v>53</v>
      </c>
      <c r="X5" s="11">
        <v>217</v>
      </c>
      <c r="Y5" s="73">
        <f t="shared" si="1"/>
        <v>7327.1889400921655</v>
      </c>
      <c r="Z5" s="13">
        <v>6</v>
      </c>
      <c r="AA5" s="11">
        <v>9.8819999999999997</v>
      </c>
      <c r="AB5" s="11">
        <v>21</v>
      </c>
      <c r="AC5" s="11">
        <v>42</v>
      </c>
      <c r="AD5" s="74">
        <f t="shared" si="2"/>
        <v>1250</v>
      </c>
      <c r="AE5" s="13">
        <v>3</v>
      </c>
      <c r="AF5" s="11">
        <f t="shared" si="7"/>
        <v>9.39</v>
      </c>
      <c r="AG5" s="11">
        <v>7</v>
      </c>
      <c r="AH5" s="11">
        <v>16</v>
      </c>
      <c r="AI5" s="73">
        <f t="shared" si="8"/>
        <v>175</v>
      </c>
      <c r="AJ5" s="12">
        <v>1.3540000000000001</v>
      </c>
      <c r="AR5" s="59"/>
    </row>
    <row r="6" spans="1:44">
      <c r="A6" s="3">
        <v>59</v>
      </c>
      <c r="B6" s="3">
        <v>30.68</v>
      </c>
      <c r="C6" s="3">
        <v>96</v>
      </c>
      <c r="D6" s="3">
        <v>193</v>
      </c>
      <c r="E6" s="77">
        <f t="shared" si="3"/>
        <v>7461.1398963730571</v>
      </c>
      <c r="F6" s="5">
        <v>10</v>
      </c>
      <c r="G6" s="3">
        <v>30.459999999999997</v>
      </c>
      <c r="H6" s="3">
        <v>96</v>
      </c>
      <c r="I6" s="3">
        <v>421</v>
      </c>
      <c r="J6" s="78">
        <f t="shared" si="4"/>
        <v>570.07125890736347</v>
      </c>
      <c r="K6" s="5">
        <v>4</v>
      </c>
      <c r="L6" s="3">
        <f t="shared" si="5"/>
        <v>31.8</v>
      </c>
      <c r="M6" s="3">
        <v>65</v>
      </c>
      <c r="N6" s="3">
        <v>75</v>
      </c>
      <c r="O6" s="77">
        <f t="shared" si="6"/>
        <v>346.66666666666669</v>
      </c>
      <c r="P6" s="4">
        <v>1.397</v>
      </c>
      <c r="Q6" s="61"/>
      <c r="R6" s="59"/>
      <c r="S6" s="61"/>
      <c r="T6" s="59"/>
      <c r="U6" s="13">
        <v>33</v>
      </c>
      <c r="V6" s="11">
        <f t="shared" si="0"/>
        <v>13.200000000000001</v>
      </c>
      <c r="W6" s="11">
        <v>49</v>
      </c>
      <c r="X6" s="11">
        <v>227</v>
      </c>
      <c r="Y6" s="73">
        <f t="shared" si="1"/>
        <v>6475.7709251101323</v>
      </c>
      <c r="Z6" s="13">
        <v>8</v>
      </c>
      <c r="AA6" s="11">
        <v>13.176</v>
      </c>
      <c r="AB6" s="11">
        <v>16</v>
      </c>
      <c r="AC6" s="11">
        <v>41</v>
      </c>
      <c r="AD6" s="74">
        <f t="shared" si="2"/>
        <v>975.60975609756099</v>
      </c>
      <c r="AE6" s="13">
        <v>4</v>
      </c>
      <c r="AF6" s="11">
        <f t="shared" si="7"/>
        <v>12.52</v>
      </c>
      <c r="AG6" s="11">
        <v>13</v>
      </c>
      <c r="AH6" s="11">
        <v>19</v>
      </c>
      <c r="AI6" s="73">
        <f t="shared" si="8"/>
        <v>273.68421052631578</v>
      </c>
      <c r="AJ6" s="12">
        <v>1.1759999999999999</v>
      </c>
      <c r="AR6" s="59"/>
    </row>
    <row r="7" spans="1:44">
      <c r="A7" s="3">
        <v>76</v>
      </c>
      <c r="B7" s="3">
        <v>39.520000000000003</v>
      </c>
      <c r="C7" s="3">
        <v>114</v>
      </c>
      <c r="D7" s="3">
        <v>237</v>
      </c>
      <c r="E7" s="77">
        <f t="shared" si="3"/>
        <v>7215.1898734177221</v>
      </c>
      <c r="F7" s="5">
        <v>13</v>
      </c>
      <c r="G7" s="3">
        <v>39.597999999999999</v>
      </c>
      <c r="H7" s="3">
        <v>146</v>
      </c>
      <c r="I7" s="3">
        <v>374</v>
      </c>
      <c r="J7" s="78">
        <f t="shared" si="4"/>
        <v>975.93582887700541</v>
      </c>
      <c r="K7" s="5">
        <v>5</v>
      </c>
      <c r="L7" s="3">
        <f t="shared" si="5"/>
        <v>39.75</v>
      </c>
      <c r="M7" s="3">
        <v>45</v>
      </c>
      <c r="N7" s="3">
        <v>55</v>
      </c>
      <c r="O7" s="77">
        <f t="shared" si="6"/>
        <v>327.27272727272731</v>
      </c>
      <c r="P7" s="4">
        <v>1.383</v>
      </c>
      <c r="Q7" s="59"/>
      <c r="R7" s="59"/>
      <c r="S7" s="59"/>
      <c r="T7" s="59"/>
      <c r="U7" s="13">
        <v>41</v>
      </c>
      <c r="V7" s="11">
        <f t="shared" si="0"/>
        <v>16.400000000000002</v>
      </c>
      <c r="W7" s="11">
        <v>108</v>
      </c>
      <c r="X7" s="11">
        <v>329</v>
      </c>
      <c r="Y7" s="73">
        <f t="shared" si="1"/>
        <v>9848.0243161094222</v>
      </c>
      <c r="Z7" s="13">
        <v>10</v>
      </c>
      <c r="AA7" s="11">
        <v>16.47</v>
      </c>
      <c r="AB7" s="11">
        <v>28</v>
      </c>
      <c r="AC7" s="11">
        <v>57</v>
      </c>
      <c r="AD7" s="74">
        <f t="shared" si="2"/>
        <v>1228.0701754385964</v>
      </c>
      <c r="AE7" s="13">
        <v>5</v>
      </c>
      <c r="AF7" s="11">
        <f t="shared" si="7"/>
        <v>15.649999999999999</v>
      </c>
      <c r="AG7" s="11">
        <v>21</v>
      </c>
      <c r="AH7" s="11">
        <v>25</v>
      </c>
      <c r="AI7" s="73">
        <f t="shared" si="8"/>
        <v>336</v>
      </c>
      <c r="AJ7" s="12">
        <v>1.26</v>
      </c>
      <c r="AR7" s="59"/>
    </row>
    <row r="8" spans="1:44">
      <c r="A8" s="3">
        <v>94</v>
      </c>
      <c r="B8" s="3">
        <v>48.88</v>
      </c>
      <c r="C8" s="3">
        <v>118</v>
      </c>
      <c r="D8" s="3">
        <v>136</v>
      </c>
      <c r="E8" s="77">
        <f t="shared" si="3"/>
        <v>13014.705882352942</v>
      </c>
      <c r="F8" s="5">
        <v>16</v>
      </c>
      <c r="G8" s="3">
        <v>48.735999999999997</v>
      </c>
      <c r="H8" s="3">
        <v>103</v>
      </c>
      <c r="I8" s="3">
        <v>247</v>
      </c>
      <c r="J8" s="78">
        <f t="shared" si="4"/>
        <v>1042.51012145749</v>
      </c>
      <c r="K8" s="5">
        <v>6</v>
      </c>
      <c r="L8" s="3">
        <f t="shared" si="5"/>
        <v>47.7</v>
      </c>
      <c r="M8" s="3">
        <v>46</v>
      </c>
      <c r="N8" s="3">
        <v>52</v>
      </c>
      <c r="O8" s="77">
        <f t="shared" si="6"/>
        <v>353.84615384615381</v>
      </c>
      <c r="P8" s="4">
        <v>1.62</v>
      </c>
      <c r="Q8" s="59"/>
      <c r="R8" s="59"/>
      <c r="S8" s="59"/>
      <c r="T8" s="59"/>
      <c r="U8" s="13">
        <v>45</v>
      </c>
      <c r="V8" s="11">
        <f t="shared" si="0"/>
        <v>18</v>
      </c>
      <c r="W8" s="11">
        <v>141</v>
      </c>
      <c r="X8" s="11">
        <v>309</v>
      </c>
      <c r="Y8" s="73">
        <f t="shared" si="1"/>
        <v>13689.320388349515</v>
      </c>
      <c r="Z8" s="13">
        <v>11</v>
      </c>
      <c r="AA8" s="11">
        <v>18.117000000000001</v>
      </c>
      <c r="AB8" s="11">
        <v>34</v>
      </c>
      <c r="AC8" s="11">
        <v>60</v>
      </c>
      <c r="AD8" s="74">
        <f t="shared" si="2"/>
        <v>1416.6666666666667</v>
      </c>
      <c r="AE8" s="13">
        <v>6</v>
      </c>
      <c r="AF8" s="11">
        <f t="shared" si="7"/>
        <v>18.78</v>
      </c>
      <c r="AG8" s="11">
        <v>30</v>
      </c>
      <c r="AH8" s="11">
        <v>36</v>
      </c>
      <c r="AI8" s="73">
        <f t="shared" si="8"/>
        <v>333.33333333333337</v>
      </c>
      <c r="AJ8" s="12">
        <v>1.385</v>
      </c>
      <c r="AR8" s="59"/>
    </row>
    <row r="9" spans="1:44">
      <c r="A9" s="3">
        <v>105</v>
      </c>
      <c r="B9" s="3">
        <v>54.6</v>
      </c>
      <c r="C9" s="3">
        <v>53</v>
      </c>
      <c r="D9" s="3">
        <v>89</v>
      </c>
      <c r="E9" s="77">
        <f t="shared" si="3"/>
        <v>8932.5842696629206</v>
      </c>
      <c r="F9" s="5">
        <v>18</v>
      </c>
      <c r="G9" s="3">
        <v>54.827999999999996</v>
      </c>
      <c r="H9" s="3">
        <v>93</v>
      </c>
      <c r="I9" s="3">
        <v>196</v>
      </c>
      <c r="J9" s="78">
        <f t="shared" si="4"/>
        <v>1186.2244897959185</v>
      </c>
      <c r="K9" s="5">
        <v>7</v>
      </c>
      <c r="L9" s="3">
        <f t="shared" si="5"/>
        <v>55.65</v>
      </c>
      <c r="M9" s="3">
        <v>21</v>
      </c>
      <c r="N9" s="3">
        <v>34</v>
      </c>
      <c r="O9" s="77">
        <f t="shared" si="6"/>
        <v>247.05882352941177</v>
      </c>
      <c r="P9" s="4">
        <v>1.591</v>
      </c>
      <c r="Q9" s="59"/>
      <c r="R9" s="59"/>
      <c r="S9" s="59"/>
      <c r="T9" s="59"/>
      <c r="U9" s="13">
        <v>54</v>
      </c>
      <c r="V9" s="11">
        <f t="shared" si="0"/>
        <v>21.6</v>
      </c>
      <c r="W9" s="11">
        <v>292</v>
      </c>
      <c r="X9" s="11">
        <v>387</v>
      </c>
      <c r="Y9" s="73">
        <f t="shared" si="1"/>
        <v>22635.65891472868</v>
      </c>
      <c r="Z9" s="13">
        <v>13</v>
      </c>
      <c r="AA9" s="11">
        <v>21.411000000000001</v>
      </c>
      <c r="AB9" s="11">
        <v>50</v>
      </c>
      <c r="AC9" s="11">
        <v>76</v>
      </c>
      <c r="AD9" s="74">
        <f t="shared" si="2"/>
        <v>1644.7368421052633</v>
      </c>
      <c r="AE9" s="13">
        <v>7</v>
      </c>
      <c r="AF9" s="11">
        <f t="shared" si="7"/>
        <v>21.91</v>
      </c>
      <c r="AG9" s="11">
        <v>36</v>
      </c>
      <c r="AH9" s="11">
        <v>41</v>
      </c>
      <c r="AI9" s="73">
        <f t="shared" si="8"/>
        <v>351.21951219512198</v>
      </c>
      <c r="AJ9" s="12">
        <v>1.5580000000000001</v>
      </c>
      <c r="AR9" s="59"/>
    </row>
    <row r="10" spans="1:44">
      <c r="A10" s="3">
        <v>123</v>
      </c>
      <c r="B10" s="3">
        <v>63.96</v>
      </c>
      <c r="C10" s="3">
        <v>53</v>
      </c>
      <c r="D10" s="3">
        <v>84</v>
      </c>
      <c r="E10" s="77">
        <f t="shared" si="3"/>
        <v>9464.2857142857138</v>
      </c>
      <c r="F10" s="5">
        <v>21</v>
      </c>
      <c r="G10" s="3">
        <v>63.965999999999994</v>
      </c>
      <c r="H10" s="3">
        <v>54</v>
      </c>
      <c r="I10" s="3">
        <v>175</v>
      </c>
      <c r="J10" s="78">
        <f t="shared" si="4"/>
        <v>771.42857142857133</v>
      </c>
      <c r="K10" s="5">
        <v>8</v>
      </c>
      <c r="L10" s="3">
        <f t="shared" si="5"/>
        <v>63.6</v>
      </c>
      <c r="M10" s="3">
        <v>25</v>
      </c>
      <c r="N10" s="3">
        <v>52</v>
      </c>
      <c r="O10" s="77">
        <f t="shared" si="6"/>
        <v>192.30769230769232</v>
      </c>
      <c r="P10" s="4">
        <v>1.7410000000000001</v>
      </c>
      <c r="Q10" s="59"/>
      <c r="R10" s="59"/>
      <c r="S10" s="59"/>
      <c r="T10" s="59"/>
      <c r="U10" s="13">
        <v>62</v>
      </c>
      <c r="V10" s="11">
        <f t="shared" si="0"/>
        <v>24.8</v>
      </c>
      <c r="W10" s="11">
        <v>290</v>
      </c>
      <c r="X10" s="11">
        <v>416</v>
      </c>
      <c r="Y10" s="73">
        <f t="shared" si="1"/>
        <v>20913.461538461539</v>
      </c>
      <c r="Z10" s="13">
        <v>15</v>
      </c>
      <c r="AA10" s="11">
        <v>24.705000000000002</v>
      </c>
      <c r="AB10" s="11">
        <v>64</v>
      </c>
      <c r="AC10" s="11">
        <v>87</v>
      </c>
      <c r="AD10" s="74">
        <f t="shared" si="2"/>
        <v>1839.0804597701149</v>
      </c>
      <c r="AE10" s="13">
        <v>8</v>
      </c>
      <c r="AF10" s="11">
        <f t="shared" si="7"/>
        <v>25.04</v>
      </c>
      <c r="AG10" s="11">
        <v>52</v>
      </c>
      <c r="AH10" s="11">
        <v>45</v>
      </c>
      <c r="AI10" s="73">
        <f t="shared" si="8"/>
        <v>462.22222222222217</v>
      </c>
      <c r="AJ10" s="12">
        <v>1.5580000000000001</v>
      </c>
      <c r="AR10" s="59"/>
    </row>
    <row r="11" spans="1:44">
      <c r="A11" s="3">
        <v>135</v>
      </c>
      <c r="B11" s="3">
        <v>70.2</v>
      </c>
      <c r="C11" s="3">
        <v>81</v>
      </c>
      <c r="D11" s="3">
        <v>99</v>
      </c>
      <c r="E11" s="77">
        <f t="shared" si="3"/>
        <v>12272.727272727274</v>
      </c>
      <c r="F11" s="5">
        <v>23</v>
      </c>
      <c r="G11" s="3">
        <v>70.057999999999993</v>
      </c>
      <c r="H11" s="3">
        <v>76</v>
      </c>
      <c r="I11" s="3">
        <v>182</v>
      </c>
      <c r="J11" s="78">
        <f t="shared" si="4"/>
        <v>1043.9560439560439</v>
      </c>
      <c r="K11" s="5">
        <v>9</v>
      </c>
      <c r="L11" s="3">
        <f t="shared" si="5"/>
        <v>71.55</v>
      </c>
      <c r="M11" s="3">
        <v>29</v>
      </c>
      <c r="N11" s="3">
        <v>38</v>
      </c>
      <c r="O11" s="77">
        <f t="shared" si="6"/>
        <v>305.26315789473688</v>
      </c>
      <c r="P11" s="4">
        <v>1.655</v>
      </c>
      <c r="Q11" s="59"/>
      <c r="R11" s="59"/>
      <c r="S11" s="59"/>
      <c r="T11" s="59"/>
      <c r="U11" s="13">
        <v>70</v>
      </c>
      <c r="V11" s="11">
        <f t="shared" si="0"/>
        <v>28</v>
      </c>
      <c r="W11" s="11">
        <v>262</v>
      </c>
      <c r="X11" s="11">
        <v>499</v>
      </c>
      <c r="Y11" s="73">
        <f t="shared" si="1"/>
        <v>15751.503006012023</v>
      </c>
      <c r="Z11" s="13">
        <v>17</v>
      </c>
      <c r="AA11" s="11">
        <v>27.998999999999999</v>
      </c>
      <c r="AB11" s="11">
        <v>95</v>
      </c>
      <c r="AC11" s="11">
        <v>106</v>
      </c>
      <c r="AD11" s="74">
        <f t="shared" si="2"/>
        <v>2240.566037735849</v>
      </c>
      <c r="AE11" s="13">
        <v>9</v>
      </c>
      <c r="AF11" s="11">
        <f t="shared" si="7"/>
        <v>28.169999999999998</v>
      </c>
      <c r="AG11" s="11">
        <v>54</v>
      </c>
      <c r="AH11" s="11">
        <v>45</v>
      </c>
      <c r="AI11" s="73">
        <f t="shared" si="8"/>
        <v>480</v>
      </c>
      <c r="AJ11" s="12">
        <v>1.288</v>
      </c>
      <c r="AR11" s="59"/>
    </row>
    <row r="12" spans="1:44">
      <c r="A12" s="3">
        <v>152</v>
      </c>
      <c r="B12" s="3">
        <v>79.040000000000006</v>
      </c>
      <c r="C12" s="3">
        <v>22</v>
      </c>
      <c r="D12" s="3">
        <v>109</v>
      </c>
      <c r="E12" s="77">
        <f t="shared" si="3"/>
        <v>3027.5229357798166</v>
      </c>
      <c r="F12" s="5">
        <v>26</v>
      </c>
      <c r="G12" s="3">
        <v>79.195999999999998</v>
      </c>
      <c r="H12" s="3">
        <v>32</v>
      </c>
      <c r="I12" s="3">
        <v>203</v>
      </c>
      <c r="J12" s="78">
        <f t="shared" si="4"/>
        <v>394.0886699507389</v>
      </c>
      <c r="K12" s="5">
        <v>10</v>
      </c>
      <c r="L12" s="3">
        <f t="shared" si="5"/>
        <v>79.5</v>
      </c>
      <c r="M12" s="3">
        <v>23</v>
      </c>
      <c r="N12" s="3">
        <v>44</v>
      </c>
      <c r="O12" s="77">
        <f t="shared" si="6"/>
        <v>209.09090909090909</v>
      </c>
      <c r="P12" s="4">
        <v>1.208</v>
      </c>
      <c r="Q12" s="59"/>
      <c r="R12" s="59"/>
      <c r="S12" s="59"/>
      <c r="T12" s="59"/>
      <c r="U12" s="13">
        <v>78</v>
      </c>
      <c r="V12" s="11">
        <f t="shared" ref="V12:V19" si="9">SUM(U12*0.4)</f>
        <v>31.200000000000003</v>
      </c>
      <c r="W12" s="11">
        <v>328</v>
      </c>
      <c r="X12" s="11">
        <v>627</v>
      </c>
      <c r="Y12" s="73">
        <f t="shared" si="1"/>
        <v>15693.77990430622</v>
      </c>
      <c r="Z12" s="13">
        <v>19</v>
      </c>
      <c r="AA12" s="11">
        <v>31.292999999999999</v>
      </c>
      <c r="AB12" s="11">
        <v>102</v>
      </c>
      <c r="AC12" s="11">
        <v>104</v>
      </c>
      <c r="AD12" s="74">
        <f t="shared" si="2"/>
        <v>2451.9230769230767</v>
      </c>
      <c r="AE12" s="13">
        <v>10</v>
      </c>
      <c r="AF12" s="11">
        <f t="shared" si="7"/>
        <v>31.299999999999997</v>
      </c>
      <c r="AG12" s="11">
        <v>51</v>
      </c>
      <c r="AH12" s="11">
        <v>52</v>
      </c>
      <c r="AI12" s="73">
        <f t="shared" si="8"/>
        <v>392.30769230769226</v>
      </c>
      <c r="AJ12" s="12">
        <v>1.3460000000000001</v>
      </c>
      <c r="AR12" s="59"/>
    </row>
    <row r="13" spans="1:44">
      <c r="A13" s="3">
        <v>170</v>
      </c>
      <c r="B13" s="3">
        <v>88.4</v>
      </c>
      <c r="C13" s="3">
        <v>79</v>
      </c>
      <c r="D13" s="3">
        <v>113</v>
      </c>
      <c r="E13" s="77">
        <f t="shared" si="3"/>
        <v>10486.725663716814</v>
      </c>
      <c r="F13" s="5">
        <v>29</v>
      </c>
      <c r="G13" s="3">
        <v>88.333999999999989</v>
      </c>
      <c r="H13" s="3">
        <v>79</v>
      </c>
      <c r="I13" s="3">
        <v>229</v>
      </c>
      <c r="J13" s="78">
        <f t="shared" si="4"/>
        <v>862.4454148471616</v>
      </c>
      <c r="K13" s="5">
        <v>11</v>
      </c>
      <c r="L13" s="3">
        <f t="shared" si="5"/>
        <v>87.45</v>
      </c>
      <c r="M13" s="3">
        <v>26</v>
      </c>
      <c r="N13" s="3">
        <v>37</v>
      </c>
      <c r="O13" s="77">
        <f t="shared" si="6"/>
        <v>281.08108108108109</v>
      </c>
      <c r="P13" s="4">
        <v>1.625</v>
      </c>
      <c r="Q13" s="59"/>
      <c r="R13" s="59"/>
      <c r="S13" s="59"/>
      <c r="T13" s="59"/>
      <c r="U13" s="13">
        <v>86</v>
      </c>
      <c r="V13" s="11">
        <f t="shared" si="9"/>
        <v>34.4</v>
      </c>
      <c r="W13" s="11">
        <v>306</v>
      </c>
      <c r="X13" s="11">
        <v>670</v>
      </c>
      <c r="Y13" s="73">
        <f t="shared" si="1"/>
        <v>13701.492537313432</v>
      </c>
      <c r="Z13" s="13">
        <v>21</v>
      </c>
      <c r="AA13" s="11">
        <v>34.587000000000003</v>
      </c>
      <c r="AB13" s="11">
        <v>102</v>
      </c>
      <c r="AC13" s="11">
        <v>115</v>
      </c>
      <c r="AD13" s="74">
        <f t="shared" si="2"/>
        <v>2217.391304347826</v>
      </c>
      <c r="AE13" s="13">
        <v>11</v>
      </c>
      <c r="AF13" s="11">
        <f t="shared" si="7"/>
        <v>34.43</v>
      </c>
      <c r="AG13" s="11">
        <v>55</v>
      </c>
      <c r="AH13" s="11">
        <v>73</v>
      </c>
      <c r="AI13" s="73">
        <f t="shared" si="8"/>
        <v>301.36986301369865</v>
      </c>
      <c r="AJ13" s="12">
        <v>1.385</v>
      </c>
      <c r="AR13" s="59"/>
    </row>
    <row r="14" spans="1:44">
      <c r="A14" s="3">
        <v>182</v>
      </c>
      <c r="B14" s="3">
        <v>94.64</v>
      </c>
      <c r="C14" s="3">
        <v>68</v>
      </c>
      <c r="D14" s="3">
        <v>97</v>
      </c>
      <c r="E14" s="77">
        <f t="shared" si="3"/>
        <v>10515.463917525773</v>
      </c>
      <c r="F14" s="5">
        <v>31</v>
      </c>
      <c r="G14" s="3">
        <v>94.425999999999988</v>
      </c>
      <c r="H14" s="3">
        <v>53</v>
      </c>
      <c r="I14" s="3">
        <v>183</v>
      </c>
      <c r="J14" s="78">
        <f t="shared" si="4"/>
        <v>724.04371584699447</v>
      </c>
      <c r="K14" s="5">
        <v>12</v>
      </c>
      <c r="L14" s="3">
        <f t="shared" si="5"/>
        <v>95.4</v>
      </c>
      <c r="M14" s="3">
        <v>35</v>
      </c>
      <c r="N14" s="3">
        <v>38</v>
      </c>
      <c r="O14" s="77">
        <f t="shared" si="6"/>
        <v>368.42105263157896</v>
      </c>
      <c r="P14" s="4">
        <v>1.52</v>
      </c>
      <c r="Q14" s="59"/>
      <c r="R14" s="59"/>
      <c r="S14" s="59"/>
      <c r="T14" s="59"/>
      <c r="U14" s="13">
        <v>91</v>
      </c>
      <c r="V14" s="11">
        <f t="shared" si="9"/>
        <v>36.4</v>
      </c>
      <c r="W14" s="11">
        <v>303</v>
      </c>
      <c r="X14" s="11">
        <v>670</v>
      </c>
      <c r="Y14" s="73">
        <f t="shared" si="1"/>
        <v>13567.164179104479</v>
      </c>
      <c r="Z14" s="13">
        <v>22</v>
      </c>
      <c r="AA14" s="11">
        <v>36.234000000000002</v>
      </c>
      <c r="AB14" s="11">
        <v>107</v>
      </c>
      <c r="AC14" s="11">
        <v>116</v>
      </c>
      <c r="AD14" s="74">
        <f t="shared" si="2"/>
        <v>2306.0344827586209</v>
      </c>
      <c r="AE14" s="13">
        <v>12</v>
      </c>
      <c r="AF14" s="11">
        <f t="shared" si="7"/>
        <v>37.56</v>
      </c>
      <c r="AG14" s="11">
        <v>56</v>
      </c>
      <c r="AH14" s="11">
        <v>81</v>
      </c>
      <c r="AI14" s="73">
        <f t="shared" si="8"/>
        <v>276.54320987654319</v>
      </c>
      <c r="AJ14" s="12">
        <v>1.4279999999999999</v>
      </c>
      <c r="AR14" s="59"/>
    </row>
    <row r="15" spans="1:44">
      <c r="A15" s="3">
        <v>199</v>
      </c>
      <c r="B15" s="3">
        <v>103.48</v>
      </c>
      <c r="C15" s="3">
        <v>27</v>
      </c>
      <c r="D15" s="3">
        <v>69</v>
      </c>
      <c r="E15" s="77">
        <f t="shared" si="3"/>
        <v>5869.5652173913049</v>
      </c>
      <c r="F15" s="5">
        <v>34</v>
      </c>
      <c r="G15" s="3">
        <v>103.56399999999999</v>
      </c>
      <c r="H15" s="3">
        <v>48</v>
      </c>
      <c r="I15" s="3">
        <v>113</v>
      </c>
      <c r="J15" s="78">
        <f t="shared" si="4"/>
        <v>1061.9469026548672</v>
      </c>
      <c r="K15" s="5">
        <v>13</v>
      </c>
      <c r="L15" s="3">
        <f t="shared" si="5"/>
        <v>103.35000000000001</v>
      </c>
      <c r="M15" s="3">
        <v>38</v>
      </c>
      <c r="N15" s="3">
        <v>42</v>
      </c>
      <c r="O15" s="77">
        <f t="shared" si="6"/>
        <v>361.90476190476193</v>
      </c>
      <c r="P15" s="4">
        <v>1.242</v>
      </c>
      <c r="Q15" s="59"/>
      <c r="R15" s="59"/>
      <c r="S15" s="59"/>
      <c r="T15" s="59"/>
      <c r="U15" s="13">
        <v>99</v>
      </c>
      <c r="V15" s="11">
        <f t="shared" si="9"/>
        <v>39.6</v>
      </c>
      <c r="W15" s="11">
        <v>255</v>
      </c>
      <c r="X15" s="11">
        <v>650</v>
      </c>
      <c r="Y15" s="73">
        <f t="shared" si="1"/>
        <v>11769.23076923077</v>
      </c>
      <c r="Z15" s="13">
        <v>24</v>
      </c>
      <c r="AA15" s="11">
        <v>39.527999999999999</v>
      </c>
      <c r="AB15" s="11">
        <v>103</v>
      </c>
      <c r="AC15" s="11">
        <v>143</v>
      </c>
      <c r="AD15" s="74">
        <f t="shared" si="2"/>
        <v>1800.6993006993007</v>
      </c>
      <c r="AE15" s="13">
        <v>13</v>
      </c>
      <c r="AF15" s="11">
        <f t="shared" si="7"/>
        <v>40.69</v>
      </c>
      <c r="AG15" s="11">
        <v>55</v>
      </c>
      <c r="AH15" s="11">
        <v>70</v>
      </c>
      <c r="AI15" s="73">
        <f t="shared" si="8"/>
        <v>314.28571428571428</v>
      </c>
      <c r="AJ15" s="12">
        <v>1.3260000000000001</v>
      </c>
      <c r="AR15" s="59"/>
    </row>
    <row r="16" spans="1:44">
      <c r="A16" s="7">
        <v>217</v>
      </c>
      <c r="B16" s="7">
        <v>112.84</v>
      </c>
      <c r="C16" s="7">
        <v>38</v>
      </c>
      <c r="D16" s="7">
        <v>103</v>
      </c>
      <c r="E16" s="84">
        <f t="shared" si="3"/>
        <v>5533.980582524272</v>
      </c>
      <c r="F16" s="6">
        <v>37</v>
      </c>
      <c r="G16" s="7">
        <v>112.702</v>
      </c>
      <c r="H16" s="7">
        <v>10</v>
      </c>
      <c r="I16" s="7">
        <v>103</v>
      </c>
      <c r="J16" s="79">
        <f t="shared" si="4"/>
        <v>242.71844660194174</v>
      </c>
      <c r="K16" s="6">
        <v>14</v>
      </c>
      <c r="L16" s="7">
        <f t="shared" si="5"/>
        <v>111.3</v>
      </c>
      <c r="M16" s="7">
        <v>21</v>
      </c>
      <c r="N16" s="7">
        <v>27</v>
      </c>
      <c r="O16" s="84">
        <f t="shared" si="6"/>
        <v>311.11111111111114</v>
      </c>
      <c r="P16" s="8">
        <v>1.34</v>
      </c>
      <c r="Q16" s="59"/>
      <c r="R16" s="59"/>
      <c r="S16" s="59"/>
      <c r="T16" s="59"/>
      <c r="U16" s="13">
        <v>107</v>
      </c>
      <c r="V16" s="11">
        <f t="shared" si="9"/>
        <v>42.800000000000004</v>
      </c>
      <c r="W16" s="11">
        <v>175</v>
      </c>
      <c r="X16" s="11">
        <v>674</v>
      </c>
      <c r="Y16" s="73">
        <f t="shared" si="1"/>
        <v>7789.3175074183982</v>
      </c>
      <c r="Z16" s="13">
        <v>26</v>
      </c>
      <c r="AA16" s="11">
        <v>42.822000000000003</v>
      </c>
      <c r="AB16" s="11">
        <v>91</v>
      </c>
      <c r="AC16" s="11">
        <v>188</v>
      </c>
      <c r="AD16" s="74">
        <f t="shared" si="2"/>
        <v>1210.1063829787233</v>
      </c>
      <c r="AE16" s="13">
        <v>14</v>
      </c>
      <c r="AF16" s="11">
        <f t="shared" si="7"/>
        <v>43.82</v>
      </c>
      <c r="AG16" s="11">
        <v>46</v>
      </c>
      <c r="AH16" s="11">
        <v>69</v>
      </c>
      <c r="AI16" s="73">
        <f t="shared" si="8"/>
        <v>266.66666666666663</v>
      </c>
      <c r="AJ16" s="12">
        <v>1.2430000000000001</v>
      </c>
      <c r="AR16" s="59"/>
    </row>
    <row r="17" spans="1:4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1" t="s">
        <v>28</v>
      </c>
      <c r="P17" s="1">
        <f>SUM(P3:P16)/14</f>
        <v>1.4766428571428569</v>
      </c>
      <c r="Q17" s="59"/>
      <c r="R17" s="59"/>
      <c r="S17" s="59"/>
      <c r="T17" s="59"/>
      <c r="U17" s="13">
        <v>115</v>
      </c>
      <c r="V17" s="11">
        <f t="shared" si="9"/>
        <v>46</v>
      </c>
      <c r="W17" s="11">
        <v>192</v>
      </c>
      <c r="X17" s="11">
        <v>508</v>
      </c>
      <c r="Y17" s="73">
        <f t="shared" si="1"/>
        <v>11338.582677165354</v>
      </c>
      <c r="Z17" s="13">
        <v>28</v>
      </c>
      <c r="AA17" s="11">
        <v>46.116</v>
      </c>
      <c r="AB17" s="11">
        <v>88</v>
      </c>
      <c r="AC17" s="11">
        <v>227</v>
      </c>
      <c r="AD17" s="74">
        <f t="shared" si="2"/>
        <v>969.16299559471372</v>
      </c>
      <c r="AE17" s="13">
        <v>15</v>
      </c>
      <c r="AF17" s="11">
        <f t="shared" si="7"/>
        <v>46.949999999999996</v>
      </c>
      <c r="AG17" s="11">
        <v>40</v>
      </c>
      <c r="AH17" s="11">
        <v>68</v>
      </c>
      <c r="AI17" s="73">
        <f t="shared" si="8"/>
        <v>235.29411764705884</v>
      </c>
      <c r="AJ17" s="12">
        <v>1.3260000000000001</v>
      </c>
      <c r="AR17" s="59"/>
    </row>
    <row r="18" spans="1:4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13">
        <v>123</v>
      </c>
      <c r="V18" s="11">
        <f t="shared" si="9"/>
        <v>49.2</v>
      </c>
      <c r="W18" s="11">
        <v>120</v>
      </c>
      <c r="X18" s="11">
        <v>352</v>
      </c>
      <c r="Y18" s="73">
        <f t="shared" si="1"/>
        <v>10227.272727272726</v>
      </c>
      <c r="Z18" s="13">
        <v>30</v>
      </c>
      <c r="AA18" s="11">
        <v>49.410000000000004</v>
      </c>
      <c r="AB18" s="11">
        <v>91</v>
      </c>
      <c r="AC18" s="11">
        <v>180</v>
      </c>
      <c r="AD18" s="74">
        <f t="shared" si="2"/>
        <v>1263.8888888888889</v>
      </c>
      <c r="AE18" s="13">
        <v>16</v>
      </c>
      <c r="AF18" s="11">
        <f t="shared" si="7"/>
        <v>50.08</v>
      </c>
      <c r="AG18" s="11">
        <v>38</v>
      </c>
      <c r="AH18" s="11">
        <v>43</v>
      </c>
      <c r="AI18" s="73">
        <f t="shared" si="8"/>
        <v>353.48837209302326</v>
      </c>
      <c r="AJ18" s="12">
        <v>1.2569999999999999</v>
      </c>
      <c r="AR18" s="59"/>
    </row>
    <row r="19" spans="1:45">
      <c r="Q19" s="59"/>
      <c r="R19" s="59"/>
      <c r="S19" s="59"/>
      <c r="T19" s="59"/>
      <c r="U19" s="14">
        <v>128</v>
      </c>
      <c r="V19" s="15">
        <f t="shared" si="9"/>
        <v>51.2</v>
      </c>
      <c r="W19" s="15">
        <v>38</v>
      </c>
      <c r="X19" s="15">
        <v>246</v>
      </c>
      <c r="Y19" s="76">
        <f t="shared" si="1"/>
        <v>4634.1463414634145</v>
      </c>
      <c r="Z19" s="14">
        <v>31</v>
      </c>
      <c r="AA19" s="15">
        <v>51.057000000000002</v>
      </c>
      <c r="AB19" s="15">
        <v>70</v>
      </c>
      <c r="AC19" s="15">
        <v>198</v>
      </c>
      <c r="AD19" s="75">
        <f t="shared" si="2"/>
        <v>883.83838383838383</v>
      </c>
      <c r="AE19" s="14">
        <v>17</v>
      </c>
      <c r="AF19" s="15">
        <f t="shared" si="7"/>
        <v>53.21</v>
      </c>
      <c r="AG19" s="15">
        <v>20</v>
      </c>
      <c r="AH19" s="15">
        <v>34</v>
      </c>
      <c r="AI19" s="76">
        <f t="shared" si="8"/>
        <v>235.29411764705884</v>
      </c>
      <c r="AJ19" s="16">
        <v>1.099</v>
      </c>
      <c r="AR19" s="59"/>
    </row>
    <row r="20" spans="1:45">
      <c r="N20" s="116"/>
      <c r="O20" s="117" t="s">
        <v>33</v>
      </c>
      <c r="P20" s="117" t="s">
        <v>34</v>
      </c>
      <c r="Q20" s="117" t="s">
        <v>36</v>
      </c>
      <c r="R20" s="118" t="s">
        <v>35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127" t="s">
        <v>28</v>
      </c>
      <c r="AJ20" s="127">
        <f>SUM(AJ3:AJ19)/17</f>
        <v>1.2938823529411767</v>
      </c>
      <c r="AR20" s="59"/>
    </row>
    <row r="21" spans="1:45">
      <c r="N21" s="117" t="s">
        <v>30</v>
      </c>
      <c r="O21" s="116">
        <v>791</v>
      </c>
      <c r="P21" s="116">
        <v>618</v>
      </c>
      <c r="Q21" s="122">
        <f>SUM(P21/O21)*O26</f>
        <v>6250.3160556257899</v>
      </c>
      <c r="R21" s="11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S21" s="59"/>
    </row>
    <row r="22" spans="1:45">
      <c r="N22" s="117" t="s">
        <v>31</v>
      </c>
      <c r="O22" s="116">
        <v>5109</v>
      </c>
      <c r="P22" s="116">
        <v>2467</v>
      </c>
      <c r="Q22" s="123">
        <f>SUM(P22/O22)*O27</f>
        <v>60359.170091994521</v>
      </c>
      <c r="R22" s="121">
        <v>1.9650000000000001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16"/>
      <c r="AG22" s="117" t="s">
        <v>33</v>
      </c>
      <c r="AH22" s="117" t="s">
        <v>34</v>
      </c>
      <c r="AI22" s="117" t="s">
        <v>36</v>
      </c>
      <c r="AJ22" s="118" t="s">
        <v>35</v>
      </c>
      <c r="AK22" s="59"/>
      <c r="AS22" s="59"/>
    </row>
    <row r="23" spans="1:45">
      <c r="N23" s="117" t="s">
        <v>32</v>
      </c>
      <c r="O23" s="116">
        <v>58028</v>
      </c>
      <c r="P23" s="116">
        <v>16322</v>
      </c>
      <c r="Q23" s="122">
        <f>SUM(P23/O23)*O28</f>
        <v>1265751.0167505343</v>
      </c>
      <c r="R23" s="120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17" t="s">
        <v>30</v>
      </c>
      <c r="AG23" s="116">
        <v>791</v>
      </c>
      <c r="AH23" s="116">
        <v>618</v>
      </c>
      <c r="AI23" s="122">
        <f>SUM(AH23/AG23)*AG28</f>
        <v>6250.3160556257899</v>
      </c>
      <c r="AJ23" s="119"/>
      <c r="AK23" s="59"/>
      <c r="AS23" s="59"/>
    </row>
    <row r="24" spans="1:45"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17" t="s">
        <v>31</v>
      </c>
      <c r="AG24" s="116">
        <v>5109</v>
      </c>
      <c r="AH24" s="116">
        <v>2467</v>
      </c>
      <c r="AI24" s="123">
        <f>SUM(AH24/AG24)*AG29</f>
        <v>60359.170091994521</v>
      </c>
      <c r="AJ24" s="121">
        <v>2.3580000000000001</v>
      </c>
      <c r="AR24" s="59"/>
    </row>
    <row r="25" spans="1:45">
      <c r="N25" s="116"/>
      <c r="O25" s="117" t="s">
        <v>37</v>
      </c>
      <c r="P25" s="117" t="s">
        <v>38</v>
      </c>
      <c r="Q25" s="59"/>
      <c r="R25" s="59"/>
      <c r="S25" s="59"/>
      <c r="T25" s="59"/>
      <c r="AF25" s="117" t="s">
        <v>32</v>
      </c>
      <c r="AG25" s="116">
        <v>58028</v>
      </c>
      <c r="AH25" s="116">
        <v>16322</v>
      </c>
      <c r="AI25" s="122">
        <f>SUM(AH25/AG25)*AG30</f>
        <v>1265751.0167505343</v>
      </c>
      <c r="AJ25" s="120"/>
      <c r="AR25" s="59"/>
    </row>
    <row r="26" spans="1:45">
      <c r="N26" s="118" t="s">
        <v>30</v>
      </c>
      <c r="O26" s="116">
        <f>20*20*20</f>
        <v>8000</v>
      </c>
      <c r="P26" s="116">
        <v>8.0299999999999994</v>
      </c>
      <c r="Q26" s="59"/>
      <c r="R26" s="59"/>
      <c r="S26" s="59"/>
      <c r="T26" s="59"/>
      <c r="AI26" s="59"/>
      <c r="AJ26" s="59"/>
      <c r="AR26" s="59"/>
    </row>
    <row r="27" spans="1:45">
      <c r="N27" s="118" t="s">
        <v>31</v>
      </c>
      <c r="O27" s="116">
        <f>50*50*50</f>
        <v>125000</v>
      </c>
      <c r="P27" s="116">
        <v>3.16</v>
      </c>
      <c r="Q27" s="59"/>
      <c r="R27" s="59"/>
      <c r="S27" s="59"/>
      <c r="T27" s="59"/>
      <c r="AF27" s="116"/>
      <c r="AG27" s="117" t="s">
        <v>37</v>
      </c>
      <c r="AH27" s="117" t="s">
        <v>38</v>
      </c>
      <c r="AI27" s="59"/>
      <c r="AJ27" s="59"/>
      <c r="AR27" s="59"/>
    </row>
    <row r="28" spans="1:45">
      <c r="N28" s="118" t="s">
        <v>32</v>
      </c>
      <c r="O28" s="116">
        <f>300*150*100</f>
        <v>4500000</v>
      </c>
      <c r="P28" s="116">
        <v>0.56000000000000005</v>
      </c>
      <c r="Q28" s="59"/>
      <c r="R28" s="59"/>
      <c r="S28" s="59"/>
      <c r="T28" s="59"/>
      <c r="AF28" s="118" t="s">
        <v>30</v>
      </c>
      <c r="AG28" s="116">
        <f>20*20*20</f>
        <v>8000</v>
      </c>
      <c r="AH28" s="116">
        <v>3.33</v>
      </c>
      <c r="AI28" s="59"/>
      <c r="AJ28" s="59"/>
      <c r="AR28" s="59"/>
    </row>
    <row r="29" spans="1:45">
      <c r="Q29" s="59"/>
      <c r="R29" s="59"/>
      <c r="S29" s="59"/>
      <c r="T29" s="59"/>
      <c r="AF29" s="118" t="s">
        <v>31</v>
      </c>
      <c r="AG29" s="116">
        <f>50*50*50</f>
        <v>125000</v>
      </c>
      <c r="AH29" s="116">
        <v>1.27</v>
      </c>
      <c r="AI29" s="59"/>
      <c r="AJ29" s="59"/>
      <c r="AR29" s="59"/>
    </row>
    <row r="30" spans="1:45">
      <c r="Q30" s="59"/>
      <c r="R30" s="59"/>
      <c r="S30" s="59"/>
      <c r="T30" s="59"/>
      <c r="AF30" s="118" t="s">
        <v>32</v>
      </c>
      <c r="AG30" s="116">
        <f>300*150*100</f>
        <v>4500000</v>
      </c>
      <c r="AH30" s="116">
        <v>0.35</v>
      </c>
      <c r="AI30" s="59"/>
      <c r="AJ30" s="59"/>
      <c r="AR30" s="59"/>
    </row>
    <row r="31" spans="1:45">
      <c r="Q31" s="59"/>
      <c r="R31" s="59"/>
      <c r="S31" s="59"/>
      <c r="T31" s="59"/>
    </row>
    <row r="32" spans="1:45">
      <c r="Q32" s="59"/>
      <c r="R32" s="59"/>
      <c r="S32" s="59"/>
      <c r="T32" s="59"/>
    </row>
    <row r="33" spans="17:20">
      <c r="Q33" s="59"/>
      <c r="R33" s="59"/>
      <c r="S33" s="59"/>
      <c r="T33" s="59"/>
    </row>
    <row r="34" spans="17:20">
      <c r="Q34" s="59"/>
      <c r="R34" s="59"/>
      <c r="S34" s="59"/>
      <c r="T34" s="59"/>
    </row>
    <row r="35" spans="17:20">
      <c r="Q35" s="59"/>
      <c r="R35" s="59"/>
      <c r="S35" s="59"/>
      <c r="T35" s="59"/>
    </row>
    <row r="36" spans="17:20">
      <c r="Q36" s="59"/>
      <c r="R36" s="59"/>
      <c r="S36" s="59"/>
      <c r="T36" s="5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53"/>
  <sheetViews>
    <sheetView topLeftCell="A15" zoomScaleNormal="100" workbookViewId="0">
      <selection activeCell="Q22" sqref="Q22"/>
    </sheetView>
  </sheetViews>
  <sheetFormatPr defaultRowHeight="15"/>
  <cols>
    <col min="2" max="2" width="14.28515625" customWidth="1"/>
    <col min="3" max="3" width="15.85546875" customWidth="1"/>
    <col min="4" max="4" width="12.140625" customWidth="1"/>
    <col min="5" max="5" width="16.5703125" customWidth="1"/>
    <col min="7" max="7" width="14.28515625" customWidth="1"/>
    <col min="8" max="9" width="14.7109375" customWidth="1"/>
    <col min="10" max="10" width="13.5703125" customWidth="1"/>
    <col min="12" max="12" width="13.28515625" customWidth="1"/>
    <col min="13" max="13" width="15.28515625" customWidth="1"/>
    <col min="14" max="14" width="13.7109375" customWidth="1"/>
    <col min="15" max="15" width="14.42578125" customWidth="1"/>
    <col min="16" max="16" width="18.140625" customWidth="1"/>
    <col min="17" max="24" width="14.42578125" customWidth="1"/>
    <col min="25" max="25" width="16.5703125" customWidth="1"/>
    <col min="27" max="27" width="14.28515625" customWidth="1"/>
    <col min="28" max="29" width="14.5703125" customWidth="1"/>
    <col min="30" max="30" width="15.28515625" customWidth="1"/>
    <col min="32" max="32" width="13.5703125" customWidth="1"/>
    <col min="33" max="33" width="15" customWidth="1"/>
    <col min="34" max="34" width="13.85546875" customWidth="1"/>
    <col min="35" max="35" width="13.42578125" customWidth="1"/>
    <col min="36" max="36" width="17.5703125" customWidth="1"/>
    <col min="37" max="41" width="13.42578125" customWidth="1"/>
    <col min="42" max="42" width="14.85546875" customWidth="1"/>
    <col min="43" max="43" width="15.140625" customWidth="1"/>
    <col min="44" max="44" width="13.42578125" customWidth="1"/>
    <col min="45" max="45" width="16.5703125" customWidth="1"/>
    <col min="47" max="47" width="13.140625" customWidth="1"/>
    <col min="48" max="49" width="14.85546875" customWidth="1"/>
    <col min="50" max="50" width="13.5703125" customWidth="1"/>
    <col min="52" max="52" width="13.28515625" customWidth="1"/>
    <col min="53" max="53" width="15.28515625" customWidth="1"/>
    <col min="54" max="54" width="14.140625" customWidth="1"/>
    <col min="55" max="55" width="13.7109375" customWidth="1"/>
    <col min="56" max="56" width="17.7109375" customWidth="1"/>
  </cols>
  <sheetData>
    <row r="1" spans="1:56">
      <c r="A1" s="18" t="s">
        <v>23</v>
      </c>
      <c r="B1" s="19"/>
      <c r="C1" s="19"/>
      <c r="D1" s="19">
        <v>1.65</v>
      </c>
      <c r="E1" s="19"/>
      <c r="F1" s="18" t="s">
        <v>7</v>
      </c>
      <c r="G1" s="19"/>
      <c r="H1" s="19">
        <v>0.64</v>
      </c>
      <c r="I1" s="19"/>
      <c r="J1" s="19"/>
      <c r="K1" s="18" t="s">
        <v>9</v>
      </c>
      <c r="L1" s="19"/>
      <c r="M1" s="19">
        <v>0.26</v>
      </c>
      <c r="N1" s="19"/>
      <c r="O1" s="19"/>
      <c r="P1" s="19"/>
      <c r="Q1" s="59"/>
      <c r="R1" s="59"/>
      <c r="S1" s="59"/>
      <c r="T1" s="59"/>
      <c r="U1" s="25" t="s">
        <v>22</v>
      </c>
      <c r="V1" s="26"/>
      <c r="W1" s="26">
        <v>3.96</v>
      </c>
      <c r="X1" s="26"/>
      <c r="Y1" s="26"/>
      <c r="Z1" s="25" t="s">
        <v>10</v>
      </c>
      <c r="AA1" s="26"/>
      <c r="AB1" s="26">
        <v>1.51</v>
      </c>
      <c r="AC1" s="26"/>
      <c r="AD1" s="26"/>
      <c r="AE1" s="25" t="s">
        <v>11</v>
      </c>
      <c r="AF1" s="26"/>
      <c r="AG1" s="26">
        <v>0.45</v>
      </c>
      <c r="AH1" s="26"/>
      <c r="AI1" s="26"/>
      <c r="AJ1" s="26"/>
      <c r="AK1" s="59"/>
      <c r="AL1" s="59"/>
      <c r="AM1" s="59"/>
      <c r="AN1" s="59"/>
      <c r="AO1" s="34" t="s">
        <v>12</v>
      </c>
      <c r="AP1" s="35"/>
      <c r="AQ1" s="35">
        <v>4.3899999999999997</v>
      </c>
      <c r="AR1" s="35"/>
      <c r="AS1" s="35"/>
      <c r="AT1" s="34" t="s">
        <v>12</v>
      </c>
      <c r="AU1" s="35"/>
      <c r="AV1" s="35">
        <v>1.68</v>
      </c>
      <c r="AW1" s="35"/>
      <c r="AX1" s="35"/>
      <c r="AY1" s="34" t="s">
        <v>13</v>
      </c>
      <c r="AZ1" s="35"/>
      <c r="BA1" s="35">
        <v>0.64</v>
      </c>
      <c r="BB1" s="35"/>
      <c r="BC1" s="35"/>
      <c r="BD1" s="35"/>
    </row>
    <row r="2" spans="1:56">
      <c r="A2" s="20" t="s">
        <v>0</v>
      </c>
      <c r="B2" s="20" t="s">
        <v>1</v>
      </c>
      <c r="C2" s="20" t="s">
        <v>21</v>
      </c>
      <c r="D2" s="20" t="s">
        <v>20</v>
      </c>
      <c r="E2" s="20" t="s">
        <v>8</v>
      </c>
      <c r="F2" s="20" t="s">
        <v>0</v>
      </c>
      <c r="G2" s="20" t="s">
        <v>1</v>
      </c>
      <c r="H2" s="20" t="s">
        <v>21</v>
      </c>
      <c r="I2" s="20" t="s">
        <v>20</v>
      </c>
      <c r="J2" s="20" t="s">
        <v>8</v>
      </c>
      <c r="K2" s="20" t="s">
        <v>0</v>
      </c>
      <c r="L2" s="20" t="s">
        <v>1</v>
      </c>
      <c r="M2" s="20" t="s">
        <v>21</v>
      </c>
      <c r="N2" s="20" t="s">
        <v>20</v>
      </c>
      <c r="O2" s="20" t="s">
        <v>8</v>
      </c>
      <c r="P2" s="20" t="s">
        <v>19</v>
      </c>
      <c r="Q2" s="62"/>
      <c r="R2" s="62"/>
      <c r="S2" s="62"/>
      <c r="T2" s="62"/>
      <c r="U2" s="27" t="s">
        <v>0</v>
      </c>
      <c r="V2" s="27" t="s">
        <v>1</v>
      </c>
      <c r="W2" s="27" t="s">
        <v>21</v>
      </c>
      <c r="X2" s="27" t="s">
        <v>20</v>
      </c>
      <c r="Y2" s="27" t="s">
        <v>8</v>
      </c>
      <c r="Z2" s="27" t="s">
        <v>0</v>
      </c>
      <c r="AA2" s="27" t="s">
        <v>1</v>
      </c>
      <c r="AB2" s="27" t="s">
        <v>21</v>
      </c>
      <c r="AC2" s="27" t="s">
        <v>20</v>
      </c>
      <c r="AD2" s="27" t="s">
        <v>8</v>
      </c>
      <c r="AE2" s="27" t="s">
        <v>0</v>
      </c>
      <c r="AF2" s="27" t="s">
        <v>1</v>
      </c>
      <c r="AG2" s="27" t="s">
        <v>21</v>
      </c>
      <c r="AH2" s="27" t="s">
        <v>20</v>
      </c>
      <c r="AI2" s="27" t="s">
        <v>8</v>
      </c>
      <c r="AJ2" s="27" t="s">
        <v>19</v>
      </c>
      <c r="AK2" s="62"/>
      <c r="AL2" s="62"/>
      <c r="AM2" s="62"/>
      <c r="AN2" s="62"/>
      <c r="AO2" s="36" t="s">
        <v>0</v>
      </c>
      <c r="AP2" s="36" t="s">
        <v>1</v>
      </c>
      <c r="AQ2" s="36" t="s">
        <v>21</v>
      </c>
      <c r="AR2" s="36" t="s">
        <v>20</v>
      </c>
      <c r="AS2" s="95" t="s">
        <v>8</v>
      </c>
      <c r="AT2" s="36" t="s">
        <v>0</v>
      </c>
      <c r="AU2" s="36" t="s">
        <v>1</v>
      </c>
      <c r="AV2" s="36" t="s">
        <v>21</v>
      </c>
      <c r="AW2" s="36" t="s">
        <v>20</v>
      </c>
      <c r="AX2" s="36" t="s">
        <v>8</v>
      </c>
      <c r="AY2" s="36" t="s">
        <v>0</v>
      </c>
      <c r="AZ2" s="36" t="s">
        <v>1</v>
      </c>
      <c r="BA2" s="36" t="s">
        <v>21</v>
      </c>
      <c r="BB2" s="36" t="s">
        <v>20</v>
      </c>
      <c r="BC2" s="36" t="s">
        <v>8</v>
      </c>
      <c r="BD2" s="36" t="s">
        <v>19</v>
      </c>
    </row>
    <row r="3" spans="1:56">
      <c r="A3" s="21">
        <v>2</v>
      </c>
      <c r="B3" s="22">
        <f t="shared" ref="B3:B20" si="0">SUM(A3*6.15)</f>
        <v>12.3</v>
      </c>
      <c r="C3" s="22">
        <v>1</v>
      </c>
      <c r="D3" s="22">
        <v>13</v>
      </c>
      <c r="E3" s="69">
        <f>SUM(C3/D3)*400</f>
        <v>30.76923076923077</v>
      </c>
      <c r="F3" s="21">
        <v>5</v>
      </c>
      <c r="G3" s="22">
        <f t="shared" ref="G3:G20" si="1">SUM(F3*2.33)</f>
        <v>11.65</v>
      </c>
      <c r="H3" s="22">
        <v>8</v>
      </c>
      <c r="I3" s="22">
        <v>28</v>
      </c>
      <c r="J3" s="69">
        <f t="shared" ref="J3:J20" si="2">SUM(H3/I3)*2500</f>
        <v>714.28571428571422</v>
      </c>
      <c r="K3" s="22">
        <v>33</v>
      </c>
      <c r="L3" s="22">
        <f t="shared" ref="L3:L6" si="3">SUM(K3*0.396)</f>
        <v>13.068000000000001</v>
      </c>
      <c r="M3" s="22">
        <v>2</v>
      </c>
      <c r="N3" s="22">
        <v>60</v>
      </c>
      <c r="O3" s="69">
        <f t="shared" ref="O3:O20" si="4">SUM(M3/N3)*15000</f>
        <v>500</v>
      </c>
      <c r="P3" s="67">
        <v>1.524</v>
      </c>
      <c r="Q3" s="59"/>
      <c r="R3" s="59"/>
      <c r="S3" s="59"/>
      <c r="T3" s="59"/>
      <c r="U3" s="85">
        <v>1</v>
      </c>
      <c r="V3" s="29">
        <f>SUM(U3*10.4)</f>
        <v>10.4</v>
      </c>
      <c r="W3" s="89">
        <v>7</v>
      </c>
      <c r="X3" s="86">
        <v>18</v>
      </c>
      <c r="Y3" s="90">
        <f>SUM(W3/X3)*400</f>
        <v>155.55555555555557</v>
      </c>
      <c r="Z3" s="29">
        <v>3</v>
      </c>
      <c r="AA3" s="29">
        <f t="shared" ref="AA3:AA21" si="5">SUM(Z3*3.81)</f>
        <v>11.43</v>
      </c>
      <c r="AB3" s="29">
        <v>11</v>
      </c>
      <c r="AC3" s="29">
        <v>102</v>
      </c>
      <c r="AD3" s="90">
        <f>SUM(AB3/AC3)*2500</f>
        <v>269.60784313725492</v>
      </c>
      <c r="AE3" s="29">
        <v>9</v>
      </c>
      <c r="AF3" s="30">
        <f t="shared" ref="AF3:AF10" si="6">SUM(AE3*(195.726/150))</f>
        <v>11.74356</v>
      </c>
      <c r="AG3" s="29">
        <v>39</v>
      </c>
      <c r="AH3" s="29">
        <v>445</v>
      </c>
      <c r="AI3" s="90">
        <f>SUM(AG3/AH3)*30000</f>
        <v>2629.2134831460676</v>
      </c>
      <c r="AJ3" s="92">
        <v>1.3240000000000001</v>
      </c>
      <c r="AK3" s="59"/>
      <c r="AL3" s="59"/>
      <c r="AM3" s="59"/>
      <c r="AN3" s="59"/>
      <c r="AO3" s="87">
        <v>1</v>
      </c>
      <c r="AP3" s="37">
        <f>SUM(AO3*9.65)</f>
        <v>9.65</v>
      </c>
      <c r="AQ3" s="88">
        <v>4</v>
      </c>
      <c r="AR3" s="88">
        <v>6</v>
      </c>
      <c r="AS3" s="98">
        <f>SUM(AQ3/AR3)*400</f>
        <v>266.66666666666663</v>
      </c>
      <c r="AT3" s="68">
        <v>3</v>
      </c>
      <c r="AU3" s="37">
        <f t="shared" ref="AU3:AU19" si="7">SUM(AT3*3.66)</f>
        <v>10.98</v>
      </c>
      <c r="AV3" s="37">
        <v>6</v>
      </c>
      <c r="AW3" s="68">
        <v>22</v>
      </c>
      <c r="AX3" s="97">
        <f>SUM(AV3/AW3)*2500</f>
        <v>681.81818181818176</v>
      </c>
      <c r="AY3" s="37">
        <v>18</v>
      </c>
      <c r="AZ3" s="38">
        <f t="shared" ref="AZ3:AZ5" si="8">SUM(AY3*(183.223/300))</f>
        <v>10.993380000000002</v>
      </c>
      <c r="BA3" s="37">
        <v>5</v>
      </c>
      <c r="BB3" s="37">
        <v>36</v>
      </c>
      <c r="BC3" s="97">
        <f>SUM(BA3/BB3)*15000</f>
        <v>2083.3333333333335</v>
      </c>
      <c r="BD3" s="102">
        <v>1.0680000000000001</v>
      </c>
    </row>
    <row r="4" spans="1:56">
      <c r="A4" s="21">
        <v>3</v>
      </c>
      <c r="B4" s="22">
        <f t="shared" si="0"/>
        <v>18.450000000000003</v>
      </c>
      <c r="C4" s="22">
        <v>25</v>
      </c>
      <c r="D4" s="22">
        <v>35</v>
      </c>
      <c r="E4" s="69">
        <f t="shared" ref="E4:E20" si="9">SUM(C4/D4)*400</f>
        <v>285.71428571428572</v>
      </c>
      <c r="F4" s="21">
        <v>8</v>
      </c>
      <c r="G4" s="22">
        <f t="shared" si="1"/>
        <v>18.64</v>
      </c>
      <c r="H4" s="22">
        <v>45</v>
      </c>
      <c r="I4" s="22">
        <v>218</v>
      </c>
      <c r="J4" s="69">
        <f t="shared" si="2"/>
        <v>516.05504587155963</v>
      </c>
      <c r="K4" s="22">
        <v>47</v>
      </c>
      <c r="L4" s="22">
        <f t="shared" si="3"/>
        <v>18.612000000000002</v>
      </c>
      <c r="M4" s="22">
        <v>52</v>
      </c>
      <c r="N4" s="22">
        <v>243</v>
      </c>
      <c r="O4" s="69">
        <f t="shared" si="4"/>
        <v>3209.8765432098767</v>
      </c>
      <c r="P4" s="67">
        <v>1.3029999999999999</v>
      </c>
      <c r="Q4" s="59"/>
      <c r="R4" s="59"/>
      <c r="S4" s="59"/>
      <c r="T4" s="59"/>
      <c r="U4" s="28">
        <v>2</v>
      </c>
      <c r="V4" s="29">
        <f t="shared" ref="V4:V21" si="10">SUM(U4*10.4)</f>
        <v>20.8</v>
      </c>
      <c r="W4" s="89">
        <v>19</v>
      </c>
      <c r="X4" s="29">
        <v>37</v>
      </c>
      <c r="Y4" s="90">
        <f t="shared" ref="Y4:Y21" si="11">SUM(W4/X4)*400</f>
        <v>205.40540540540539</v>
      </c>
      <c r="Z4" s="29">
        <v>6</v>
      </c>
      <c r="AA4" s="29">
        <f t="shared" si="5"/>
        <v>22.86</v>
      </c>
      <c r="AB4" s="29">
        <v>36</v>
      </c>
      <c r="AC4" s="29">
        <v>158</v>
      </c>
      <c r="AD4" s="90">
        <f t="shared" ref="AD4:AD21" si="12">SUM(AB4/AC4)*2500</f>
        <v>569.62025316455697</v>
      </c>
      <c r="AE4" s="29">
        <v>17</v>
      </c>
      <c r="AF4" s="30">
        <f>SUM(AE4*(195.726/150))</f>
        <v>22.182279999999999</v>
      </c>
      <c r="AG4" s="29">
        <v>102</v>
      </c>
      <c r="AH4" s="29">
        <v>765</v>
      </c>
      <c r="AI4" s="90">
        <f t="shared" ref="AI4:AI21" si="13">SUM(AG4/AH4)*30000</f>
        <v>4000</v>
      </c>
      <c r="AJ4" s="93">
        <v>1.375</v>
      </c>
      <c r="AK4" s="59"/>
      <c r="AL4" s="59"/>
      <c r="AM4" s="59"/>
      <c r="AN4" s="59"/>
      <c r="AO4" s="39">
        <v>2</v>
      </c>
      <c r="AP4" s="37">
        <f t="shared" ref="AP4:AP19" si="14">SUM(AO4*9.65)</f>
        <v>19.3</v>
      </c>
      <c r="AQ4" s="37">
        <v>2</v>
      </c>
      <c r="AR4" s="37">
        <v>7</v>
      </c>
      <c r="AS4" s="99">
        <f t="shared" ref="AS4:AS19" si="15">SUM(AQ4/AR4)*400</f>
        <v>114.28571428571428</v>
      </c>
      <c r="AT4" s="37">
        <v>5</v>
      </c>
      <c r="AU4" s="37">
        <f t="shared" si="7"/>
        <v>18.3</v>
      </c>
      <c r="AV4" s="37">
        <v>5</v>
      </c>
      <c r="AW4" s="37">
        <v>23</v>
      </c>
      <c r="AX4" s="97">
        <f t="shared" ref="AX4:AX19" si="16">SUM(AV4/AW4)*2500</f>
        <v>543.47826086956525</v>
      </c>
      <c r="AY4" s="37">
        <v>30</v>
      </c>
      <c r="AZ4" s="38">
        <f t="shared" si="8"/>
        <v>18.322300000000002</v>
      </c>
      <c r="BA4" s="37">
        <v>2</v>
      </c>
      <c r="BB4" s="37">
        <v>51</v>
      </c>
      <c r="BC4" s="97">
        <f t="shared" ref="BC4:BC19" si="17">SUM(BA4/BB4)*15000</f>
        <v>588.23529411764707</v>
      </c>
      <c r="BD4" s="103">
        <v>0.85</v>
      </c>
    </row>
    <row r="5" spans="1:56">
      <c r="A5" s="21">
        <v>4</v>
      </c>
      <c r="B5" s="22">
        <f t="shared" si="0"/>
        <v>24.6</v>
      </c>
      <c r="C5" s="22">
        <v>57</v>
      </c>
      <c r="D5" s="22">
        <v>96</v>
      </c>
      <c r="E5" s="69">
        <f t="shared" si="9"/>
        <v>237.5</v>
      </c>
      <c r="F5" s="21">
        <v>11</v>
      </c>
      <c r="G5" s="22">
        <f t="shared" si="1"/>
        <v>25.630000000000003</v>
      </c>
      <c r="H5" s="22">
        <v>62</v>
      </c>
      <c r="I5" s="22">
        <v>114</v>
      </c>
      <c r="J5" s="69">
        <f t="shared" si="2"/>
        <v>1359.6491228070176</v>
      </c>
      <c r="K5" s="22">
        <v>65</v>
      </c>
      <c r="L5" s="22">
        <f t="shared" si="3"/>
        <v>25.740000000000002</v>
      </c>
      <c r="M5" s="22">
        <v>97</v>
      </c>
      <c r="N5" s="22">
        <v>176</v>
      </c>
      <c r="O5" s="69">
        <f t="shared" si="4"/>
        <v>8267.045454545454</v>
      </c>
      <c r="P5" s="67">
        <v>1.92</v>
      </c>
      <c r="Q5" s="59"/>
      <c r="R5" s="59"/>
      <c r="S5" s="59"/>
      <c r="T5" s="59"/>
      <c r="U5" s="28">
        <v>3</v>
      </c>
      <c r="V5" s="29">
        <f t="shared" si="10"/>
        <v>31.200000000000003</v>
      </c>
      <c r="W5" s="89">
        <v>34</v>
      </c>
      <c r="X5" s="29">
        <v>51</v>
      </c>
      <c r="Y5" s="90">
        <f t="shared" si="11"/>
        <v>266.66666666666663</v>
      </c>
      <c r="Z5" s="29">
        <v>8</v>
      </c>
      <c r="AA5" s="29">
        <f t="shared" si="5"/>
        <v>30.48</v>
      </c>
      <c r="AB5" s="29">
        <v>55</v>
      </c>
      <c r="AC5" s="29">
        <v>142</v>
      </c>
      <c r="AD5" s="90">
        <f t="shared" si="12"/>
        <v>968.30985915492954</v>
      </c>
      <c r="AE5" s="29">
        <v>23</v>
      </c>
      <c r="AF5" s="30">
        <f t="shared" si="6"/>
        <v>30.011320000000001</v>
      </c>
      <c r="AG5" s="29">
        <v>230</v>
      </c>
      <c r="AH5" s="29">
        <v>631</v>
      </c>
      <c r="AI5" s="90">
        <f t="shared" si="13"/>
        <v>10935.023771790809</v>
      </c>
      <c r="AJ5" s="93">
        <v>1.72</v>
      </c>
      <c r="AK5" s="59"/>
      <c r="AL5" s="59"/>
      <c r="AM5" s="59"/>
      <c r="AN5" s="59"/>
      <c r="AO5" s="39">
        <v>3</v>
      </c>
      <c r="AP5" s="37">
        <f t="shared" si="14"/>
        <v>28.950000000000003</v>
      </c>
      <c r="AQ5" s="37">
        <v>1</v>
      </c>
      <c r="AR5" s="37">
        <v>3</v>
      </c>
      <c r="AS5" s="99">
        <f t="shared" si="15"/>
        <v>133.33333333333331</v>
      </c>
      <c r="AT5" s="37">
        <v>8</v>
      </c>
      <c r="AU5" s="37">
        <f t="shared" si="7"/>
        <v>29.28</v>
      </c>
      <c r="AV5" s="37">
        <v>22</v>
      </c>
      <c r="AW5" s="37">
        <v>53</v>
      </c>
      <c r="AX5" s="97">
        <f t="shared" si="16"/>
        <v>1037.7358490566039</v>
      </c>
      <c r="AY5" s="37">
        <v>48</v>
      </c>
      <c r="AZ5" s="38">
        <f t="shared" si="8"/>
        <v>29.315680000000004</v>
      </c>
      <c r="BA5" s="37">
        <v>6</v>
      </c>
      <c r="BB5" s="37">
        <v>94</v>
      </c>
      <c r="BC5" s="97">
        <f t="shared" si="17"/>
        <v>957.44680851063822</v>
      </c>
      <c r="BD5" s="103">
        <v>1.0229999999999999</v>
      </c>
    </row>
    <row r="6" spans="1:56">
      <c r="A6" s="21">
        <v>5</v>
      </c>
      <c r="B6" s="22">
        <f t="shared" si="0"/>
        <v>30.75</v>
      </c>
      <c r="C6" s="22">
        <v>33</v>
      </c>
      <c r="D6" s="22">
        <v>39</v>
      </c>
      <c r="E6" s="69">
        <f t="shared" si="9"/>
        <v>338.46153846153845</v>
      </c>
      <c r="F6" s="21">
        <v>13</v>
      </c>
      <c r="G6" s="22">
        <f t="shared" si="1"/>
        <v>30.29</v>
      </c>
      <c r="H6" s="22">
        <v>61</v>
      </c>
      <c r="I6" s="22">
        <v>115</v>
      </c>
      <c r="J6" s="69">
        <f t="shared" si="2"/>
        <v>1326.0869565217392</v>
      </c>
      <c r="K6" s="22">
        <v>76</v>
      </c>
      <c r="L6" s="22">
        <f t="shared" si="3"/>
        <v>30.096</v>
      </c>
      <c r="M6" s="22">
        <v>109</v>
      </c>
      <c r="N6" s="22">
        <v>221</v>
      </c>
      <c r="O6" s="69">
        <f t="shared" si="4"/>
        <v>7398.190045248869</v>
      </c>
      <c r="P6" s="67">
        <v>1.667</v>
      </c>
      <c r="Q6" s="59"/>
      <c r="R6" s="59"/>
      <c r="S6" s="59"/>
      <c r="T6" s="59"/>
      <c r="U6" s="28">
        <v>4</v>
      </c>
      <c r="V6" s="29">
        <f t="shared" si="10"/>
        <v>41.6</v>
      </c>
      <c r="W6" s="89">
        <v>39</v>
      </c>
      <c r="X6" s="29">
        <v>48</v>
      </c>
      <c r="Y6" s="90">
        <f t="shared" si="11"/>
        <v>325</v>
      </c>
      <c r="Z6" s="29">
        <v>11</v>
      </c>
      <c r="AA6" s="29">
        <f t="shared" si="5"/>
        <v>41.910000000000004</v>
      </c>
      <c r="AB6" s="29">
        <v>35</v>
      </c>
      <c r="AC6" s="29">
        <v>97</v>
      </c>
      <c r="AD6" s="90">
        <f t="shared" si="12"/>
        <v>902.06185567010311</v>
      </c>
      <c r="AE6" s="29">
        <v>32</v>
      </c>
      <c r="AF6" s="30">
        <f t="shared" si="6"/>
        <v>41.75488</v>
      </c>
      <c r="AG6" s="29">
        <v>166</v>
      </c>
      <c r="AH6" s="29">
        <v>386</v>
      </c>
      <c r="AI6" s="90">
        <f t="shared" si="13"/>
        <v>12901.554404145078</v>
      </c>
      <c r="AJ6" s="93">
        <v>1.714</v>
      </c>
      <c r="AK6" s="59"/>
      <c r="AL6" s="59"/>
      <c r="AM6" s="59"/>
      <c r="AN6" s="59"/>
      <c r="AO6" s="39">
        <v>4</v>
      </c>
      <c r="AP6" s="37">
        <f t="shared" si="14"/>
        <v>38.6</v>
      </c>
      <c r="AQ6" s="37">
        <v>9</v>
      </c>
      <c r="AR6" s="37">
        <v>21</v>
      </c>
      <c r="AS6" s="99">
        <f t="shared" si="15"/>
        <v>171.42857142857142</v>
      </c>
      <c r="AT6" s="37">
        <v>11</v>
      </c>
      <c r="AU6" s="37">
        <f t="shared" si="7"/>
        <v>40.260000000000005</v>
      </c>
      <c r="AV6" s="37">
        <v>8</v>
      </c>
      <c r="AW6" s="37">
        <v>43</v>
      </c>
      <c r="AX6" s="97">
        <f t="shared" si="16"/>
        <v>465.11627906976742</v>
      </c>
      <c r="AY6" s="37">
        <v>66</v>
      </c>
      <c r="AZ6" s="38">
        <f t="shared" ref="AZ6:AZ10" si="18">SUM(AY6*(183.223/300))</f>
        <v>40.309060000000002</v>
      </c>
      <c r="BA6" s="37">
        <v>8</v>
      </c>
      <c r="BB6" s="37">
        <v>88</v>
      </c>
      <c r="BC6" s="97">
        <f t="shared" si="17"/>
        <v>1363.6363636363637</v>
      </c>
      <c r="BD6" s="103">
        <v>1.077</v>
      </c>
    </row>
    <row r="7" spans="1:56">
      <c r="A7" s="21">
        <v>6</v>
      </c>
      <c r="B7" s="22">
        <f t="shared" si="0"/>
        <v>36.900000000000006</v>
      </c>
      <c r="C7" s="22">
        <v>32</v>
      </c>
      <c r="D7" s="22">
        <v>41</v>
      </c>
      <c r="E7" s="69">
        <f t="shared" si="9"/>
        <v>312.19512195121951</v>
      </c>
      <c r="F7" s="21">
        <v>16</v>
      </c>
      <c r="G7" s="22">
        <f t="shared" si="1"/>
        <v>37.28</v>
      </c>
      <c r="H7" s="22">
        <v>41</v>
      </c>
      <c r="I7" s="22">
        <v>101</v>
      </c>
      <c r="J7" s="69">
        <f t="shared" si="2"/>
        <v>1014.8514851485149</v>
      </c>
      <c r="K7" s="22">
        <v>94</v>
      </c>
      <c r="L7" s="22">
        <f t="shared" ref="L7:L11" si="19">SUM(K7*0.396)</f>
        <v>37.224000000000004</v>
      </c>
      <c r="M7" s="22">
        <v>79</v>
      </c>
      <c r="N7" s="22">
        <v>203</v>
      </c>
      <c r="O7" s="69">
        <f t="shared" si="4"/>
        <v>5837.4384236453207</v>
      </c>
      <c r="P7" s="67">
        <v>1.5820000000000001</v>
      </c>
      <c r="Q7" s="59"/>
      <c r="R7" s="59"/>
      <c r="S7" s="59"/>
      <c r="T7" s="59"/>
      <c r="U7" s="28">
        <v>5</v>
      </c>
      <c r="V7" s="29">
        <f t="shared" si="10"/>
        <v>52</v>
      </c>
      <c r="W7" s="89">
        <v>32</v>
      </c>
      <c r="X7" s="29">
        <v>40</v>
      </c>
      <c r="Y7" s="90">
        <f t="shared" si="11"/>
        <v>320</v>
      </c>
      <c r="Z7" s="29">
        <v>14</v>
      </c>
      <c r="AA7" s="29">
        <f t="shared" si="5"/>
        <v>53.34</v>
      </c>
      <c r="AB7" s="29">
        <v>49</v>
      </c>
      <c r="AC7" s="29">
        <v>105</v>
      </c>
      <c r="AD7" s="90">
        <f t="shared" si="12"/>
        <v>1166.6666666666667</v>
      </c>
      <c r="AE7" s="29">
        <v>41</v>
      </c>
      <c r="AF7" s="30">
        <f t="shared" si="6"/>
        <v>53.498440000000002</v>
      </c>
      <c r="AG7" s="29">
        <v>162</v>
      </c>
      <c r="AH7" s="29">
        <v>512</v>
      </c>
      <c r="AI7" s="90">
        <f t="shared" si="13"/>
        <v>9492.1875</v>
      </c>
      <c r="AJ7" s="93">
        <v>1.5660000000000001</v>
      </c>
      <c r="AK7" s="59"/>
      <c r="AL7" s="59"/>
      <c r="AM7" s="59"/>
      <c r="AN7" s="59"/>
      <c r="AO7" s="39">
        <v>5</v>
      </c>
      <c r="AP7" s="37">
        <f t="shared" si="14"/>
        <v>48.25</v>
      </c>
      <c r="AQ7" s="37">
        <v>12</v>
      </c>
      <c r="AR7" s="37">
        <v>18</v>
      </c>
      <c r="AS7" s="99">
        <f t="shared" si="15"/>
        <v>266.66666666666663</v>
      </c>
      <c r="AT7" s="37">
        <v>13</v>
      </c>
      <c r="AU7" s="37">
        <f t="shared" si="7"/>
        <v>47.58</v>
      </c>
      <c r="AV7" s="37">
        <v>13</v>
      </c>
      <c r="AW7" s="37">
        <v>43</v>
      </c>
      <c r="AX7" s="97">
        <f t="shared" si="16"/>
        <v>755.81395348837202</v>
      </c>
      <c r="AY7" s="37">
        <v>78</v>
      </c>
      <c r="AZ7" s="38">
        <f t="shared" si="18"/>
        <v>47.637980000000006</v>
      </c>
      <c r="BA7" s="37">
        <v>9</v>
      </c>
      <c r="BB7" s="37">
        <v>58</v>
      </c>
      <c r="BC7" s="97">
        <f t="shared" si="17"/>
        <v>2327.5862068965516</v>
      </c>
      <c r="BD7" s="103">
        <v>1.125</v>
      </c>
    </row>
    <row r="8" spans="1:56">
      <c r="A8" s="21">
        <v>7</v>
      </c>
      <c r="B8" s="22">
        <f t="shared" si="0"/>
        <v>43.050000000000004</v>
      </c>
      <c r="C8" s="22">
        <v>45</v>
      </c>
      <c r="D8" s="22">
        <v>61</v>
      </c>
      <c r="E8" s="69">
        <f t="shared" si="9"/>
        <v>295.08196721311475</v>
      </c>
      <c r="F8" s="21">
        <v>19</v>
      </c>
      <c r="G8" s="22">
        <f t="shared" si="1"/>
        <v>44.27</v>
      </c>
      <c r="H8" s="22">
        <v>112</v>
      </c>
      <c r="I8" s="22">
        <v>130</v>
      </c>
      <c r="J8" s="69">
        <f t="shared" si="2"/>
        <v>2153.8461538461538</v>
      </c>
      <c r="K8" s="22">
        <v>112</v>
      </c>
      <c r="L8" s="22">
        <f t="shared" si="19"/>
        <v>44.352000000000004</v>
      </c>
      <c r="M8" s="22">
        <v>212</v>
      </c>
      <c r="N8" s="22">
        <v>224</v>
      </c>
      <c r="O8" s="69">
        <f t="shared" si="4"/>
        <v>14196.428571428571</v>
      </c>
      <c r="P8" s="67">
        <v>2.0960000000000001</v>
      </c>
      <c r="Q8" s="59"/>
      <c r="R8" s="59"/>
      <c r="S8" s="59"/>
      <c r="T8" s="59"/>
      <c r="U8" s="28">
        <v>6</v>
      </c>
      <c r="V8" s="29">
        <f t="shared" si="10"/>
        <v>62.400000000000006</v>
      </c>
      <c r="W8" s="89">
        <v>34</v>
      </c>
      <c r="X8" s="29">
        <v>46</v>
      </c>
      <c r="Y8" s="90">
        <f t="shared" si="11"/>
        <v>295.65217391304344</v>
      </c>
      <c r="Z8" s="29">
        <v>17</v>
      </c>
      <c r="AA8" s="29">
        <f t="shared" si="5"/>
        <v>64.77</v>
      </c>
      <c r="AB8" s="29">
        <v>34</v>
      </c>
      <c r="AC8" s="29">
        <v>96</v>
      </c>
      <c r="AD8" s="90">
        <f t="shared" si="12"/>
        <v>885.41666666666674</v>
      </c>
      <c r="AE8" s="29">
        <v>50</v>
      </c>
      <c r="AF8" s="30">
        <f t="shared" si="6"/>
        <v>65.242000000000004</v>
      </c>
      <c r="AG8" s="29">
        <v>194</v>
      </c>
      <c r="AH8" s="29">
        <v>497</v>
      </c>
      <c r="AI8" s="90">
        <f t="shared" si="13"/>
        <v>11710.2615694165</v>
      </c>
      <c r="AJ8" s="93">
        <v>1.5660000000000001</v>
      </c>
      <c r="AK8" s="59"/>
      <c r="AL8" s="59"/>
      <c r="AM8" s="59"/>
      <c r="AN8" s="59"/>
      <c r="AO8" s="39">
        <v>6</v>
      </c>
      <c r="AP8" s="37">
        <f t="shared" si="14"/>
        <v>57.900000000000006</v>
      </c>
      <c r="AQ8" s="37">
        <v>9</v>
      </c>
      <c r="AR8" s="37">
        <v>19</v>
      </c>
      <c r="AS8" s="99">
        <f t="shared" si="15"/>
        <v>189.4736842105263</v>
      </c>
      <c r="AT8" s="37">
        <v>16</v>
      </c>
      <c r="AU8" s="37">
        <f t="shared" si="7"/>
        <v>58.56</v>
      </c>
      <c r="AV8" s="37">
        <v>35</v>
      </c>
      <c r="AW8" s="37">
        <v>41</v>
      </c>
      <c r="AX8" s="97">
        <f t="shared" si="16"/>
        <v>2134.1463414634145</v>
      </c>
      <c r="AY8" s="37">
        <v>96</v>
      </c>
      <c r="AZ8" s="38">
        <f t="shared" si="18"/>
        <v>58.631360000000008</v>
      </c>
      <c r="BA8" s="37">
        <v>0</v>
      </c>
      <c r="BB8" s="37">
        <v>43</v>
      </c>
      <c r="BC8" s="97">
        <f t="shared" si="17"/>
        <v>0</v>
      </c>
      <c r="BD8" s="96"/>
    </row>
    <row r="9" spans="1:56">
      <c r="A9" s="21">
        <v>8</v>
      </c>
      <c r="B9" s="22">
        <f t="shared" si="0"/>
        <v>49.2</v>
      </c>
      <c r="C9" s="22">
        <v>40</v>
      </c>
      <c r="D9" s="22">
        <v>51</v>
      </c>
      <c r="E9" s="69">
        <f t="shared" si="9"/>
        <v>313.72549019607845</v>
      </c>
      <c r="F9" s="21">
        <v>21</v>
      </c>
      <c r="G9" s="22">
        <f t="shared" si="1"/>
        <v>48.93</v>
      </c>
      <c r="H9" s="22">
        <v>37</v>
      </c>
      <c r="I9" s="22">
        <v>118</v>
      </c>
      <c r="J9" s="69">
        <f t="shared" si="2"/>
        <v>783.89830508474574</v>
      </c>
      <c r="K9" s="22">
        <v>123</v>
      </c>
      <c r="L9" s="22">
        <f t="shared" si="19"/>
        <v>48.708000000000006</v>
      </c>
      <c r="M9" s="22">
        <v>59</v>
      </c>
      <c r="N9" s="22">
        <v>198</v>
      </c>
      <c r="O9" s="69">
        <f t="shared" si="4"/>
        <v>4469.6969696969691</v>
      </c>
      <c r="P9" s="67">
        <v>1.4339999999999999</v>
      </c>
      <c r="Q9" s="59"/>
      <c r="R9" s="59"/>
      <c r="S9" s="59"/>
      <c r="T9" s="59"/>
      <c r="U9" s="28">
        <v>7</v>
      </c>
      <c r="V9" s="29">
        <f t="shared" si="10"/>
        <v>72.8</v>
      </c>
      <c r="W9" s="89">
        <v>33</v>
      </c>
      <c r="X9" s="29">
        <v>46</v>
      </c>
      <c r="Y9" s="90">
        <f t="shared" si="11"/>
        <v>286.95652173913044</v>
      </c>
      <c r="Z9" s="29">
        <v>19</v>
      </c>
      <c r="AA9" s="29">
        <f t="shared" si="5"/>
        <v>72.39</v>
      </c>
      <c r="AB9" s="29">
        <v>27</v>
      </c>
      <c r="AC9" s="29">
        <v>68</v>
      </c>
      <c r="AD9" s="90">
        <f t="shared" si="12"/>
        <v>992.64705882352939</v>
      </c>
      <c r="AE9" s="29">
        <v>56</v>
      </c>
      <c r="AF9" s="30">
        <f t="shared" si="6"/>
        <v>73.071039999999996</v>
      </c>
      <c r="AG9" s="29">
        <v>80</v>
      </c>
      <c r="AH9" s="29">
        <v>264</v>
      </c>
      <c r="AI9" s="90">
        <f t="shared" si="13"/>
        <v>9090.9090909090919</v>
      </c>
      <c r="AJ9" s="93">
        <v>1.599</v>
      </c>
      <c r="AK9" s="59"/>
      <c r="AL9" s="59"/>
      <c r="AM9" s="59"/>
      <c r="AN9" s="59"/>
      <c r="AO9" s="39">
        <v>7</v>
      </c>
      <c r="AP9" s="37">
        <f t="shared" si="14"/>
        <v>67.55</v>
      </c>
      <c r="AQ9" s="37">
        <v>6</v>
      </c>
      <c r="AR9" s="37">
        <v>17</v>
      </c>
      <c r="AS9" s="99">
        <f t="shared" si="15"/>
        <v>141.1764705882353</v>
      </c>
      <c r="AT9" s="37">
        <v>19</v>
      </c>
      <c r="AU9" s="37">
        <f t="shared" si="7"/>
        <v>69.540000000000006</v>
      </c>
      <c r="AV9" s="37">
        <v>29</v>
      </c>
      <c r="AW9" s="37">
        <v>40</v>
      </c>
      <c r="AX9" s="97">
        <f t="shared" si="16"/>
        <v>1812.5</v>
      </c>
      <c r="AY9" s="37">
        <v>114</v>
      </c>
      <c r="AZ9" s="38">
        <f t="shared" si="18"/>
        <v>69.624740000000003</v>
      </c>
      <c r="BA9" s="37">
        <v>0</v>
      </c>
      <c r="BB9" s="37">
        <v>43</v>
      </c>
      <c r="BC9" s="97">
        <f t="shared" si="17"/>
        <v>0</v>
      </c>
      <c r="BD9" s="96"/>
    </row>
    <row r="10" spans="1:56">
      <c r="A10" s="21">
        <v>9</v>
      </c>
      <c r="B10" s="22">
        <f t="shared" si="0"/>
        <v>55.35</v>
      </c>
      <c r="C10" s="22">
        <v>30</v>
      </c>
      <c r="D10" s="22">
        <v>32</v>
      </c>
      <c r="E10" s="69">
        <f t="shared" si="9"/>
        <v>375</v>
      </c>
      <c r="F10" s="21">
        <v>24</v>
      </c>
      <c r="G10" s="22">
        <f t="shared" si="1"/>
        <v>55.92</v>
      </c>
      <c r="H10" s="22">
        <v>41</v>
      </c>
      <c r="I10" s="22">
        <v>83</v>
      </c>
      <c r="J10" s="69">
        <f t="shared" si="2"/>
        <v>1234.9397590361446</v>
      </c>
      <c r="K10" s="22">
        <v>141</v>
      </c>
      <c r="L10" s="22">
        <f t="shared" si="19"/>
        <v>55.836000000000006</v>
      </c>
      <c r="M10" s="22">
        <v>54</v>
      </c>
      <c r="N10" s="22">
        <v>163</v>
      </c>
      <c r="O10" s="69">
        <f t="shared" si="4"/>
        <v>4969.3251533742332</v>
      </c>
      <c r="P10" s="67">
        <v>1.397</v>
      </c>
      <c r="Q10" s="59"/>
      <c r="R10" s="59"/>
      <c r="S10" s="59"/>
      <c r="T10" s="59"/>
      <c r="U10" s="28">
        <v>8</v>
      </c>
      <c r="V10" s="29">
        <f t="shared" si="10"/>
        <v>83.2</v>
      </c>
      <c r="W10" s="89">
        <v>21</v>
      </c>
      <c r="X10" s="29">
        <v>30</v>
      </c>
      <c r="Y10" s="90">
        <f t="shared" si="11"/>
        <v>280</v>
      </c>
      <c r="Z10" s="29">
        <v>22</v>
      </c>
      <c r="AA10" s="29">
        <f t="shared" si="5"/>
        <v>83.820000000000007</v>
      </c>
      <c r="AB10" s="29">
        <v>21</v>
      </c>
      <c r="AC10" s="29">
        <v>93</v>
      </c>
      <c r="AD10" s="90">
        <f t="shared" si="12"/>
        <v>564.51612903225805</v>
      </c>
      <c r="AE10" s="29">
        <v>64</v>
      </c>
      <c r="AF10" s="30">
        <f t="shared" si="6"/>
        <v>83.50976</v>
      </c>
      <c r="AG10" s="29">
        <v>82</v>
      </c>
      <c r="AH10" s="29">
        <v>334</v>
      </c>
      <c r="AI10" s="90">
        <f t="shared" si="13"/>
        <v>7365.2694610778444</v>
      </c>
      <c r="AJ10" s="93">
        <v>1.5289999999999999</v>
      </c>
      <c r="AK10" s="59"/>
      <c r="AL10" s="59"/>
      <c r="AM10" s="59"/>
      <c r="AN10" s="59"/>
      <c r="AO10" s="39">
        <v>8</v>
      </c>
      <c r="AP10" s="37">
        <f t="shared" si="14"/>
        <v>77.2</v>
      </c>
      <c r="AQ10" s="37">
        <v>3</v>
      </c>
      <c r="AR10" s="37">
        <v>18</v>
      </c>
      <c r="AS10" s="99">
        <f t="shared" si="15"/>
        <v>66.666666666666657</v>
      </c>
      <c r="AT10" s="37">
        <v>21</v>
      </c>
      <c r="AU10" s="37">
        <f t="shared" si="7"/>
        <v>76.86</v>
      </c>
      <c r="AV10" s="37">
        <v>12</v>
      </c>
      <c r="AW10" s="37">
        <v>31</v>
      </c>
      <c r="AX10" s="97">
        <f t="shared" si="16"/>
        <v>967.74193548387098</v>
      </c>
      <c r="AY10" s="37">
        <v>126</v>
      </c>
      <c r="AZ10" s="38">
        <f t="shared" si="18"/>
        <v>76.953660000000013</v>
      </c>
      <c r="BA10" s="37">
        <v>3</v>
      </c>
      <c r="BB10" s="37">
        <v>59</v>
      </c>
      <c r="BC10" s="97">
        <f t="shared" si="17"/>
        <v>762.71186440677968</v>
      </c>
      <c r="BD10" s="103">
        <v>1.264</v>
      </c>
    </row>
    <row r="11" spans="1:56">
      <c r="A11" s="21">
        <v>10</v>
      </c>
      <c r="B11" s="22">
        <f t="shared" si="0"/>
        <v>61.5</v>
      </c>
      <c r="C11" s="22">
        <v>30</v>
      </c>
      <c r="D11" s="22">
        <v>34</v>
      </c>
      <c r="E11" s="69">
        <f t="shared" si="9"/>
        <v>352.94117647058823</v>
      </c>
      <c r="F11" s="21">
        <v>26</v>
      </c>
      <c r="G11" s="22">
        <f t="shared" si="1"/>
        <v>60.58</v>
      </c>
      <c r="H11" s="22">
        <v>65</v>
      </c>
      <c r="I11" s="22">
        <v>90</v>
      </c>
      <c r="J11" s="69">
        <f t="shared" si="2"/>
        <v>1805.5555555555554</v>
      </c>
      <c r="K11" s="22">
        <v>153</v>
      </c>
      <c r="L11" s="22">
        <f t="shared" si="19"/>
        <v>60.588000000000001</v>
      </c>
      <c r="M11" s="22">
        <v>144</v>
      </c>
      <c r="N11" s="22">
        <v>155</v>
      </c>
      <c r="O11" s="69">
        <f t="shared" si="4"/>
        <v>13935.483870967742</v>
      </c>
      <c r="P11" s="67">
        <v>1.9870000000000001</v>
      </c>
      <c r="Q11" s="59"/>
      <c r="R11" s="59"/>
      <c r="S11" s="59"/>
      <c r="T11" s="59"/>
      <c r="U11" s="28">
        <v>9</v>
      </c>
      <c r="V11" s="29">
        <f t="shared" si="10"/>
        <v>93.600000000000009</v>
      </c>
      <c r="W11" s="89">
        <v>20</v>
      </c>
      <c r="X11" s="29">
        <v>29</v>
      </c>
      <c r="Y11" s="90">
        <f t="shared" si="11"/>
        <v>275.86206896551727</v>
      </c>
      <c r="Z11" s="29">
        <v>25</v>
      </c>
      <c r="AA11" s="29">
        <f t="shared" si="5"/>
        <v>95.25</v>
      </c>
      <c r="AB11" s="29">
        <v>16</v>
      </c>
      <c r="AC11" s="29">
        <v>99</v>
      </c>
      <c r="AD11" s="90">
        <f t="shared" si="12"/>
        <v>404.0404040404041</v>
      </c>
      <c r="AE11" s="29">
        <v>73</v>
      </c>
      <c r="AF11" s="30">
        <f t="shared" ref="AF11:AF18" si="20">SUM(AE11*(195.726/150))</f>
        <v>95.253320000000002</v>
      </c>
      <c r="AG11" s="29">
        <v>174</v>
      </c>
      <c r="AH11" s="29">
        <v>406</v>
      </c>
      <c r="AI11" s="90">
        <f t="shared" si="13"/>
        <v>12857.142857142857</v>
      </c>
      <c r="AJ11" s="93">
        <v>1.8120000000000001</v>
      </c>
      <c r="AK11" s="59"/>
      <c r="AL11" s="59"/>
      <c r="AM11" s="59"/>
      <c r="AN11" s="59"/>
      <c r="AO11" s="39">
        <v>9</v>
      </c>
      <c r="AP11" s="37">
        <f t="shared" si="14"/>
        <v>86.850000000000009</v>
      </c>
      <c r="AQ11" s="37">
        <v>7</v>
      </c>
      <c r="AR11" s="37">
        <v>19</v>
      </c>
      <c r="AS11" s="99">
        <f t="shared" si="15"/>
        <v>147.36842105263156</v>
      </c>
      <c r="AT11" s="37">
        <v>24</v>
      </c>
      <c r="AU11" s="37">
        <f t="shared" si="7"/>
        <v>87.84</v>
      </c>
      <c r="AV11" s="37">
        <v>8</v>
      </c>
      <c r="AW11" s="37">
        <v>101</v>
      </c>
      <c r="AX11" s="97">
        <f t="shared" si="16"/>
        <v>198.01980198019803</v>
      </c>
      <c r="AY11" s="37">
        <v>144</v>
      </c>
      <c r="AZ11" s="38">
        <f t="shared" ref="AZ11:AZ14" si="21">SUM(AY11*(183.223/300))</f>
        <v>87.947040000000015</v>
      </c>
      <c r="BA11" s="37">
        <v>12</v>
      </c>
      <c r="BB11" s="37">
        <v>145</v>
      </c>
      <c r="BC11" s="97">
        <f t="shared" si="17"/>
        <v>1241.3793103448277</v>
      </c>
      <c r="BD11" s="103">
        <v>1.107</v>
      </c>
    </row>
    <row r="12" spans="1:56">
      <c r="A12" s="21">
        <v>11</v>
      </c>
      <c r="B12" s="22">
        <f t="shared" si="0"/>
        <v>67.650000000000006</v>
      </c>
      <c r="C12" s="22">
        <v>33</v>
      </c>
      <c r="D12" s="22">
        <v>37</v>
      </c>
      <c r="E12" s="69">
        <f t="shared" si="9"/>
        <v>356.75675675675677</v>
      </c>
      <c r="F12" s="21">
        <v>29</v>
      </c>
      <c r="G12" s="22">
        <f t="shared" si="1"/>
        <v>67.570000000000007</v>
      </c>
      <c r="H12" s="22">
        <v>69</v>
      </c>
      <c r="I12" s="22">
        <v>138</v>
      </c>
      <c r="J12" s="69">
        <f t="shared" si="2"/>
        <v>1250</v>
      </c>
      <c r="K12" s="22">
        <v>171</v>
      </c>
      <c r="L12" s="22">
        <f t="shared" ref="L12:L15" si="22">SUM(K12*0.396)</f>
        <v>67.716000000000008</v>
      </c>
      <c r="M12" s="22">
        <v>129</v>
      </c>
      <c r="N12" s="22">
        <v>225</v>
      </c>
      <c r="O12" s="69">
        <f t="shared" si="4"/>
        <v>8600</v>
      </c>
      <c r="P12" s="67">
        <v>1.7190000000000001</v>
      </c>
      <c r="Q12" s="59"/>
      <c r="R12" s="59"/>
      <c r="S12" s="59"/>
      <c r="T12" s="59"/>
      <c r="U12" s="28">
        <v>10</v>
      </c>
      <c r="V12" s="29">
        <f t="shared" si="10"/>
        <v>104</v>
      </c>
      <c r="W12" s="89">
        <v>25</v>
      </c>
      <c r="X12" s="29">
        <v>33</v>
      </c>
      <c r="Y12" s="90">
        <f t="shared" si="11"/>
        <v>303.030303030303</v>
      </c>
      <c r="Z12" s="29">
        <v>27</v>
      </c>
      <c r="AA12" s="29">
        <f t="shared" si="5"/>
        <v>102.87</v>
      </c>
      <c r="AB12" s="29">
        <v>7</v>
      </c>
      <c r="AC12" s="29">
        <v>95</v>
      </c>
      <c r="AD12" s="90">
        <f t="shared" si="12"/>
        <v>184.21052631578945</v>
      </c>
      <c r="AE12" s="29">
        <v>79</v>
      </c>
      <c r="AF12" s="30">
        <f t="shared" si="20"/>
        <v>103.08235999999999</v>
      </c>
      <c r="AG12" s="29">
        <v>83</v>
      </c>
      <c r="AH12" s="29">
        <v>355</v>
      </c>
      <c r="AI12" s="90">
        <f t="shared" si="13"/>
        <v>7014.0845070422538</v>
      </c>
      <c r="AJ12" s="93">
        <v>1.51</v>
      </c>
      <c r="AK12" s="59"/>
      <c r="AL12" s="59"/>
      <c r="AM12" s="59"/>
      <c r="AN12" s="59"/>
      <c r="AO12" s="39">
        <v>10</v>
      </c>
      <c r="AP12" s="37">
        <f t="shared" si="14"/>
        <v>96.5</v>
      </c>
      <c r="AQ12" s="37">
        <v>2</v>
      </c>
      <c r="AR12" s="37">
        <v>14</v>
      </c>
      <c r="AS12" s="99">
        <f t="shared" si="15"/>
        <v>57.142857142857139</v>
      </c>
      <c r="AT12" s="37">
        <v>26</v>
      </c>
      <c r="AU12" s="37">
        <f t="shared" si="7"/>
        <v>95.16</v>
      </c>
      <c r="AV12" s="37">
        <v>3</v>
      </c>
      <c r="AW12" s="37">
        <v>83</v>
      </c>
      <c r="AX12" s="97">
        <f t="shared" si="16"/>
        <v>90.361445783132524</v>
      </c>
      <c r="AY12" s="37">
        <v>156</v>
      </c>
      <c r="AZ12" s="38">
        <f t="shared" si="21"/>
        <v>95.275960000000012</v>
      </c>
      <c r="BA12" s="37">
        <v>3</v>
      </c>
      <c r="BB12" s="37">
        <v>132</v>
      </c>
      <c r="BC12" s="97">
        <f t="shared" si="17"/>
        <v>340.90909090909093</v>
      </c>
      <c r="BD12" s="103">
        <v>0.92800000000000005</v>
      </c>
    </row>
    <row r="13" spans="1:56">
      <c r="A13" s="21">
        <v>12</v>
      </c>
      <c r="B13" s="22">
        <f t="shared" si="0"/>
        <v>73.800000000000011</v>
      </c>
      <c r="C13" s="22">
        <v>42</v>
      </c>
      <c r="D13" s="22">
        <v>51</v>
      </c>
      <c r="E13" s="69">
        <f t="shared" si="9"/>
        <v>329.41176470588232</v>
      </c>
      <c r="F13" s="21">
        <v>32</v>
      </c>
      <c r="G13" s="22">
        <f t="shared" si="1"/>
        <v>74.56</v>
      </c>
      <c r="H13" s="22">
        <v>54</v>
      </c>
      <c r="I13" s="22">
        <v>186</v>
      </c>
      <c r="J13" s="69">
        <f t="shared" si="2"/>
        <v>725.80645161290329</v>
      </c>
      <c r="K13" s="22">
        <v>188</v>
      </c>
      <c r="L13" s="22">
        <f t="shared" si="22"/>
        <v>74.448000000000008</v>
      </c>
      <c r="M13" s="22">
        <v>92</v>
      </c>
      <c r="N13" s="22">
        <v>326</v>
      </c>
      <c r="O13" s="69">
        <f t="shared" si="4"/>
        <v>4233.1288343558281</v>
      </c>
      <c r="P13" s="67">
        <v>1.377</v>
      </c>
      <c r="Q13" s="59"/>
      <c r="R13" s="59"/>
      <c r="S13" s="59"/>
      <c r="T13" s="59"/>
      <c r="U13" s="28">
        <v>11</v>
      </c>
      <c r="V13" s="29">
        <f t="shared" si="10"/>
        <v>114.4</v>
      </c>
      <c r="W13" s="89">
        <v>15</v>
      </c>
      <c r="X13" s="29">
        <v>42</v>
      </c>
      <c r="Y13" s="90">
        <f t="shared" si="11"/>
        <v>142.85714285714286</v>
      </c>
      <c r="Z13" s="29">
        <v>30</v>
      </c>
      <c r="AA13" s="29">
        <f t="shared" si="5"/>
        <v>114.3</v>
      </c>
      <c r="AB13" s="29">
        <v>63</v>
      </c>
      <c r="AC13" s="29">
        <v>171</v>
      </c>
      <c r="AD13" s="90">
        <f t="shared" si="12"/>
        <v>921.05263157894728</v>
      </c>
      <c r="AE13" s="29">
        <v>82</v>
      </c>
      <c r="AF13" s="30">
        <f t="shared" si="20"/>
        <v>106.99688</v>
      </c>
      <c r="AG13" s="29">
        <v>79</v>
      </c>
      <c r="AH13" s="29">
        <v>312</v>
      </c>
      <c r="AI13" s="90">
        <f t="shared" si="13"/>
        <v>7596.1538461538457</v>
      </c>
      <c r="AJ13" s="93">
        <v>1.8240000000000001</v>
      </c>
      <c r="AK13" s="59"/>
      <c r="AL13" s="59"/>
      <c r="AM13" s="59"/>
      <c r="AN13" s="59"/>
      <c r="AO13" s="39">
        <v>11</v>
      </c>
      <c r="AP13" s="37">
        <f t="shared" si="14"/>
        <v>106.15</v>
      </c>
      <c r="AQ13" s="37">
        <v>11</v>
      </c>
      <c r="AR13" s="37">
        <v>40</v>
      </c>
      <c r="AS13" s="99">
        <f t="shared" si="15"/>
        <v>110.00000000000001</v>
      </c>
      <c r="AT13" s="37">
        <v>29</v>
      </c>
      <c r="AU13" s="37">
        <f t="shared" si="7"/>
        <v>106.14</v>
      </c>
      <c r="AV13" s="37">
        <v>12</v>
      </c>
      <c r="AW13" s="37">
        <v>79</v>
      </c>
      <c r="AX13" s="97">
        <f t="shared" si="16"/>
        <v>379.74683544303798</v>
      </c>
      <c r="AY13" s="37">
        <v>174</v>
      </c>
      <c r="AZ13" s="38">
        <f t="shared" si="21"/>
        <v>106.26934000000001</v>
      </c>
      <c r="BA13" s="37">
        <v>0</v>
      </c>
      <c r="BB13" s="37">
        <v>156</v>
      </c>
      <c r="BC13" s="97">
        <f t="shared" si="17"/>
        <v>0</v>
      </c>
      <c r="BD13" s="103"/>
    </row>
    <row r="14" spans="1:56">
      <c r="A14" s="21">
        <v>13</v>
      </c>
      <c r="B14" s="22">
        <f t="shared" si="0"/>
        <v>79.95</v>
      </c>
      <c r="C14" s="22">
        <v>39</v>
      </c>
      <c r="D14" s="22">
        <v>68</v>
      </c>
      <c r="E14" s="69">
        <f t="shared" si="9"/>
        <v>229.41176470588235</v>
      </c>
      <c r="F14" s="21">
        <v>34</v>
      </c>
      <c r="G14" s="22">
        <f t="shared" si="1"/>
        <v>79.22</v>
      </c>
      <c r="H14" s="22">
        <v>46</v>
      </c>
      <c r="I14" s="22">
        <v>142</v>
      </c>
      <c r="J14" s="69">
        <f t="shared" si="2"/>
        <v>809.85915492957747</v>
      </c>
      <c r="K14" s="22">
        <v>200</v>
      </c>
      <c r="L14" s="22">
        <f t="shared" si="22"/>
        <v>79.2</v>
      </c>
      <c r="M14" s="22">
        <v>57</v>
      </c>
      <c r="N14" s="22">
        <v>251</v>
      </c>
      <c r="O14" s="69">
        <f t="shared" si="4"/>
        <v>3406.3745019920316</v>
      </c>
      <c r="P14" s="67">
        <v>1.4590000000000001</v>
      </c>
      <c r="Q14" s="59"/>
      <c r="R14" s="59"/>
      <c r="S14" s="59"/>
      <c r="T14" s="59"/>
      <c r="U14" s="28">
        <v>12</v>
      </c>
      <c r="V14" s="29">
        <f t="shared" si="10"/>
        <v>124.80000000000001</v>
      </c>
      <c r="W14" s="89">
        <v>35</v>
      </c>
      <c r="X14" s="29">
        <v>62</v>
      </c>
      <c r="Y14" s="90">
        <f t="shared" si="11"/>
        <v>225.80645161290326</v>
      </c>
      <c r="Z14" s="29">
        <v>33</v>
      </c>
      <c r="AA14" s="29">
        <f t="shared" si="5"/>
        <v>125.73</v>
      </c>
      <c r="AB14" s="29">
        <v>57</v>
      </c>
      <c r="AC14" s="29">
        <v>100</v>
      </c>
      <c r="AD14" s="90">
        <f t="shared" si="12"/>
        <v>1424.9999999999998</v>
      </c>
      <c r="AE14" s="29">
        <v>88</v>
      </c>
      <c r="AF14" s="30">
        <f t="shared" si="20"/>
        <v>114.82592</v>
      </c>
      <c r="AG14" s="29">
        <v>202</v>
      </c>
      <c r="AH14" s="29">
        <v>666</v>
      </c>
      <c r="AI14" s="90">
        <f t="shared" si="13"/>
        <v>9099.0990990990995</v>
      </c>
      <c r="AJ14" s="93">
        <v>1.6930000000000001</v>
      </c>
      <c r="AK14" s="59"/>
      <c r="AL14" s="59"/>
      <c r="AM14" s="59"/>
      <c r="AN14" s="59"/>
      <c r="AO14" s="39">
        <v>12</v>
      </c>
      <c r="AP14" s="37">
        <f t="shared" si="14"/>
        <v>115.80000000000001</v>
      </c>
      <c r="AQ14" s="37">
        <v>21</v>
      </c>
      <c r="AR14" s="37">
        <v>26</v>
      </c>
      <c r="AS14" s="99">
        <f t="shared" si="15"/>
        <v>323.07692307692309</v>
      </c>
      <c r="AT14" s="37">
        <v>32</v>
      </c>
      <c r="AU14" s="37">
        <f t="shared" si="7"/>
        <v>117.12</v>
      </c>
      <c r="AV14" s="37">
        <v>6</v>
      </c>
      <c r="AW14" s="37">
        <v>32</v>
      </c>
      <c r="AX14" s="97">
        <f t="shared" si="16"/>
        <v>468.75</v>
      </c>
      <c r="AY14" s="37">
        <v>192</v>
      </c>
      <c r="AZ14" s="38">
        <f t="shared" si="21"/>
        <v>117.26272000000002</v>
      </c>
      <c r="BA14" s="37">
        <v>12</v>
      </c>
      <c r="BB14" s="37">
        <v>62</v>
      </c>
      <c r="BC14" s="97">
        <f t="shared" si="17"/>
        <v>2903.2258064516127</v>
      </c>
      <c r="BD14" s="103">
        <v>1.141</v>
      </c>
    </row>
    <row r="15" spans="1:56">
      <c r="A15" s="21">
        <v>14</v>
      </c>
      <c r="B15" s="22">
        <f t="shared" si="0"/>
        <v>86.100000000000009</v>
      </c>
      <c r="C15" s="22">
        <v>30</v>
      </c>
      <c r="D15" s="22">
        <v>44</v>
      </c>
      <c r="E15" s="69">
        <f t="shared" si="9"/>
        <v>272.72727272727269</v>
      </c>
      <c r="F15" s="21">
        <v>37</v>
      </c>
      <c r="G15" s="22">
        <f t="shared" si="1"/>
        <v>86.210000000000008</v>
      </c>
      <c r="H15" s="22">
        <v>57</v>
      </c>
      <c r="I15" s="22">
        <v>138</v>
      </c>
      <c r="J15" s="69">
        <f t="shared" si="2"/>
        <v>1032.608695652174</v>
      </c>
      <c r="K15" s="22">
        <v>218</v>
      </c>
      <c r="L15" s="22">
        <f t="shared" si="22"/>
        <v>86.328000000000003</v>
      </c>
      <c r="M15" s="22">
        <v>119</v>
      </c>
      <c r="N15" s="22">
        <v>229</v>
      </c>
      <c r="O15" s="69">
        <f t="shared" si="4"/>
        <v>7794.759825327511</v>
      </c>
      <c r="P15" s="67">
        <v>1.8109999999999999</v>
      </c>
      <c r="Q15" s="59"/>
      <c r="R15" s="59"/>
      <c r="S15" s="59"/>
      <c r="T15" s="59"/>
      <c r="U15" s="28">
        <v>13</v>
      </c>
      <c r="V15" s="29">
        <f t="shared" si="10"/>
        <v>135.20000000000002</v>
      </c>
      <c r="W15" s="89">
        <v>53</v>
      </c>
      <c r="X15" s="29">
        <v>63</v>
      </c>
      <c r="Y15" s="90">
        <f t="shared" si="11"/>
        <v>336.50793650793651</v>
      </c>
      <c r="Z15" s="29">
        <v>35</v>
      </c>
      <c r="AA15" s="29">
        <f t="shared" si="5"/>
        <v>133.35</v>
      </c>
      <c r="AB15" s="29">
        <v>26</v>
      </c>
      <c r="AC15" s="29">
        <v>62</v>
      </c>
      <c r="AD15" s="90">
        <f t="shared" si="12"/>
        <v>1048.3870967741937</v>
      </c>
      <c r="AE15" s="29">
        <v>102</v>
      </c>
      <c r="AF15" s="30">
        <f t="shared" si="20"/>
        <v>133.09368000000001</v>
      </c>
      <c r="AG15" s="29">
        <v>64</v>
      </c>
      <c r="AH15" s="29">
        <v>306</v>
      </c>
      <c r="AI15" s="90">
        <f t="shared" si="13"/>
        <v>6274.5098039215691</v>
      </c>
      <c r="AJ15" s="93">
        <v>1.351</v>
      </c>
      <c r="AK15" s="59"/>
      <c r="AL15" s="59"/>
      <c r="AM15" s="59"/>
      <c r="AN15" s="59"/>
      <c r="AO15" s="39">
        <v>13</v>
      </c>
      <c r="AP15" s="37">
        <f t="shared" si="14"/>
        <v>125.45</v>
      </c>
      <c r="AQ15" s="37">
        <v>10</v>
      </c>
      <c r="AR15" s="37">
        <v>33</v>
      </c>
      <c r="AS15" s="99">
        <f t="shared" si="15"/>
        <v>121.21212121212122</v>
      </c>
      <c r="AT15" s="37">
        <v>34</v>
      </c>
      <c r="AU15" s="37">
        <f t="shared" si="7"/>
        <v>124.44</v>
      </c>
      <c r="AV15" s="37">
        <v>14</v>
      </c>
      <c r="AW15" s="37">
        <v>63</v>
      </c>
      <c r="AX15" s="97">
        <f t="shared" si="16"/>
        <v>555.55555555555554</v>
      </c>
      <c r="AY15" s="37">
        <v>204</v>
      </c>
      <c r="AZ15" s="38">
        <f t="shared" ref="AZ15:AZ18" si="23">SUM(AY15*(183.223/300))</f>
        <v>124.59164000000001</v>
      </c>
      <c r="BA15" s="37">
        <v>12</v>
      </c>
      <c r="BB15" s="37">
        <v>120</v>
      </c>
      <c r="BC15" s="97">
        <f t="shared" si="17"/>
        <v>1500</v>
      </c>
      <c r="BD15" s="103">
        <v>1.306</v>
      </c>
    </row>
    <row r="16" spans="1:56">
      <c r="A16" s="21">
        <v>15</v>
      </c>
      <c r="B16" s="22">
        <f t="shared" si="0"/>
        <v>92.25</v>
      </c>
      <c r="C16" s="22">
        <v>37</v>
      </c>
      <c r="D16" s="22">
        <v>47</v>
      </c>
      <c r="E16" s="69">
        <f t="shared" si="9"/>
        <v>314.89361702127661</v>
      </c>
      <c r="F16" s="21">
        <v>40</v>
      </c>
      <c r="G16" s="22">
        <f t="shared" si="1"/>
        <v>93.2</v>
      </c>
      <c r="H16" s="22">
        <v>36</v>
      </c>
      <c r="I16" s="22">
        <v>103</v>
      </c>
      <c r="J16" s="69">
        <f t="shared" si="2"/>
        <v>873.78640776699035</v>
      </c>
      <c r="K16" s="22">
        <v>235</v>
      </c>
      <c r="L16" s="22">
        <f t="shared" ref="L16:L18" si="24">SUM(K16*0.396)</f>
        <v>93.06</v>
      </c>
      <c r="M16" s="22">
        <v>37</v>
      </c>
      <c r="N16" s="22">
        <v>231</v>
      </c>
      <c r="O16" s="69">
        <f t="shared" si="4"/>
        <v>2402.5974025974024</v>
      </c>
      <c r="P16" s="67">
        <v>1.1000000000000001</v>
      </c>
      <c r="Q16" s="59"/>
      <c r="R16" s="59"/>
      <c r="S16" s="59"/>
      <c r="T16" s="59"/>
      <c r="U16" s="28">
        <v>14</v>
      </c>
      <c r="V16" s="29">
        <f t="shared" si="10"/>
        <v>145.6</v>
      </c>
      <c r="W16" s="89">
        <v>20</v>
      </c>
      <c r="X16" s="29">
        <v>21</v>
      </c>
      <c r="Y16" s="90">
        <f t="shared" si="11"/>
        <v>380.95238095238091</v>
      </c>
      <c r="Z16" s="29">
        <v>38</v>
      </c>
      <c r="AA16" s="29">
        <f t="shared" si="5"/>
        <v>144.78</v>
      </c>
      <c r="AB16" s="29">
        <v>9</v>
      </c>
      <c r="AC16" s="29">
        <v>43</v>
      </c>
      <c r="AD16" s="90">
        <f t="shared" si="12"/>
        <v>523.25581395348843</v>
      </c>
      <c r="AE16" s="29">
        <v>111</v>
      </c>
      <c r="AF16" s="30">
        <f t="shared" si="20"/>
        <v>144.83724000000001</v>
      </c>
      <c r="AG16" s="29">
        <v>40</v>
      </c>
      <c r="AH16" s="29">
        <v>225</v>
      </c>
      <c r="AI16" s="90">
        <f t="shared" si="13"/>
        <v>5333.3333333333339</v>
      </c>
      <c r="AJ16" s="93">
        <v>1.2430000000000001</v>
      </c>
      <c r="AK16" s="59"/>
      <c r="AL16" s="59"/>
      <c r="AM16" s="59"/>
      <c r="AN16" s="59"/>
      <c r="AO16" s="39">
        <v>14</v>
      </c>
      <c r="AP16" s="37">
        <f t="shared" si="14"/>
        <v>135.1</v>
      </c>
      <c r="AQ16" s="37">
        <v>10</v>
      </c>
      <c r="AR16" s="37">
        <v>26</v>
      </c>
      <c r="AS16" s="99">
        <f t="shared" si="15"/>
        <v>153.84615384615387</v>
      </c>
      <c r="AT16" s="37">
        <v>37</v>
      </c>
      <c r="AU16" s="37">
        <f t="shared" si="7"/>
        <v>135.42000000000002</v>
      </c>
      <c r="AV16" s="37">
        <v>16</v>
      </c>
      <c r="AW16" s="37">
        <v>83</v>
      </c>
      <c r="AX16" s="97">
        <f t="shared" si="16"/>
        <v>481.92771084337352</v>
      </c>
      <c r="AY16" s="37">
        <v>222</v>
      </c>
      <c r="AZ16" s="38">
        <f t="shared" si="23"/>
        <v>135.58502000000001</v>
      </c>
      <c r="BA16" s="37">
        <v>9</v>
      </c>
      <c r="BB16" s="37">
        <v>170</v>
      </c>
      <c r="BC16" s="97">
        <f t="shared" si="17"/>
        <v>794.11764705882354</v>
      </c>
      <c r="BD16" s="103">
        <v>0.85199999999999998</v>
      </c>
    </row>
    <row r="17" spans="1:56">
      <c r="A17" s="21">
        <v>16</v>
      </c>
      <c r="B17" s="22">
        <f t="shared" si="0"/>
        <v>98.4</v>
      </c>
      <c r="C17" s="22">
        <v>17</v>
      </c>
      <c r="D17" s="22">
        <v>37</v>
      </c>
      <c r="E17" s="69">
        <f t="shared" si="9"/>
        <v>183.7837837837838</v>
      </c>
      <c r="F17" s="21">
        <v>42</v>
      </c>
      <c r="G17" s="22">
        <f t="shared" si="1"/>
        <v>97.86</v>
      </c>
      <c r="H17" s="22">
        <v>25</v>
      </c>
      <c r="I17" s="22">
        <v>96</v>
      </c>
      <c r="J17" s="69">
        <f t="shared" si="2"/>
        <v>651.04166666666674</v>
      </c>
      <c r="K17" s="22">
        <v>247</v>
      </c>
      <c r="L17" s="22">
        <f t="shared" si="24"/>
        <v>97.811999999999998</v>
      </c>
      <c r="M17" s="22">
        <v>17</v>
      </c>
      <c r="N17" s="22">
        <v>134</v>
      </c>
      <c r="O17" s="69">
        <f t="shared" si="4"/>
        <v>1902.9850746268658</v>
      </c>
      <c r="P17" s="67">
        <v>1.266</v>
      </c>
      <c r="Q17" s="59"/>
      <c r="R17" s="59"/>
      <c r="S17" s="59"/>
      <c r="T17" s="59"/>
      <c r="U17" s="28">
        <v>15</v>
      </c>
      <c r="V17" s="29">
        <f t="shared" si="10"/>
        <v>156</v>
      </c>
      <c r="W17" s="89">
        <v>9</v>
      </c>
      <c r="X17" s="29">
        <v>24</v>
      </c>
      <c r="Y17" s="90">
        <f t="shared" si="11"/>
        <v>150</v>
      </c>
      <c r="Z17" s="29">
        <v>41</v>
      </c>
      <c r="AA17" s="29">
        <f t="shared" si="5"/>
        <v>156.21</v>
      </c>
      <c r="AB17" s="29">
        <v>9</v>
      </c>
      <c r="AC17" s="29">
        <v>24</v>
      </c>
      <c r="AD17" s="90">
        <f t="shared" si="12"/>
        <v>937.5</v>
      </c>
      <c r="AE17" s="29">
        <v>120</v>
      </c>
      <c r="AF17" s="30">
        <f t="shared" si="20"/>
        <v>156.58080000000001</v>
      </c>
      <c r="AG17" s="29">
        <v>23</v>
      </c>
      <c r="AH17" s="29">
        <v>109</v>
      </c>
      <c r="AI17" s="90">
        <f t="shared" si="13"/>
        <v>6330.2752293577987</v>
      </c>
      <c r="AJ17" s="93">
        <v>1.7150000000000001</v>
      </c>
      <c r="AK17" s="59"/>
      <c r="AL17" s="59"/>
      <c r="AM17" s="59"/>
      <c r="AN17" s="59"/>
      <c r="AO17" s="39">
        <v>15</v>
      </c>
      <c r="AP17" s="37">
        <f t="shared" si="14"/>
        <v>144.75</v>
      </c>
      <c r="AQ17" s="37">
        <v>27</v>
      </c>
      <c r="AR17" s="37">
        <v>25</v>
      </c>
      <c r="AS17" s="99">
        <f t="shared" si="15"/>
        <v>432</v>
      </c>
      <c r="AT17" s="37">
        <v>39</v>
      </c>
      <c r="AU17" s="37">
        <f t="shared" si="7"/>
        <v>142.74</v>
      </c>
      <c r="AV17" s="37">
        <v>8</v>
      </c>
      <c r="AW17" s="37">
        <v>119</v>
      </c>
      <c r="AX17" s="97">
        <f t="shared" si="16"/>
        <v>168.0672268907563</v>
      </c>
      <c r="AY17" s="37">
        <v>234</v>
      </c>
      <c r="AZ17" s="38">
        <f t="shared" si="23"/>
        <v>142.91394000000003</v>
      </c>
      <c r="BA17" s="37">
        <v>0</v>
      </c>
      <c r="BB17" s="37">
        <v>151</v>
      </c>
      <c r="BC17" s="97">
        <f t="shared" si="17"/>
        <v>0</v>
      </c>
      <c r="BD17" s="103"/>
    </row>
    <row r="18" spans="1:56">
      <c r="A18" s="21">
        <v>17</v>
      </c>
      <c r="B18" s="22">
        <f t="shared" si="0"/>
        <v>104.55000000000001</v>
      </c>
      <c r="C18" s="22">
        <v>27</v>
      </c>
      <c r="D18" s="22">
        <v>39</v>
      </c>
      <c r="E18" s="69">
        <f t="shared" si="9"/>
        <v>276.92307692307691</v>
      </c>
      <c r="F18" s="21">
        <v>45</v>
      </c>
      <c r="G18" s="22">
        <f t="shared" si="1"/>
        <v>104.85000000000001</v>
      </c>
      <c r="H18" s="22">
        <v>18</v>
      </c>
      <c r="I18" s="22">
        <v>115</v>
      </c>
      <c r="J18" s="69">
        <f t="shared" si="2"/>
        <v>391.304347826087</v>
      </c>
      <c r="K18" s="22">
        <v>265</v>
      </c>
      <c r="L18" s="22">
        <f t="shared" si="24"/>
        <v>104.94000000000001</v>
      </c>
      <c r="M18" s="22">
        <v>12</v>
      </c>
      <c r="N18" s="22">
        <v>165</v>
      </c>
      <c r="O18" s="69">
        <f t="shared" si="4"/>
        <v>1090.9090909090908</v>
      </c>
      <c r="P18" s="67">
        <v>0.73899999999999999</v>
      </c>
      <c r="Q18" s="59"/>
      <c r="R18" s="59"/>
      <c r="S18" s="59"/>
      <c r="T18" s="59"/>
      <c r="U18" s="28">
        <v>16</v>
      </c>
      <c r="V18" s="29">
        <f t="shared" si="10"/>
        <v>166.4</v>
      </c>
      <c r="W18" s="89">
        <v>4</v>
      </c>
      <c r="X18" s="29">
        <v>9</v>
      </c>
      <c r="Y18" s="90">
        <f t="shared" si="11"/>
        <v>177.77777777777777</v>
      </c>
      <c r="Z18" s="29">
        <v>44</v>
      </c>
      <c r="AA18" s="29">
        <f t="shared" si="5"/>
        <v>167.64000000000001</v>
      </c>
      <c r="AB18" s="29">
        <v>11</v>
      </c>
      <c r="AC18" s="29">
        <v>41</v>
      </c>
      <c r="AD18" s="90">
        <f t="shared" si="12"/>
        <v>670.73170731707319</v>
      </c>
      <c r="AE18" s="29">
        <v>128</v>
      </c>
      <c r="AF18" s="30">
        <f t="shared" si="20"/>
        <v>167.01952</v>
      </c>
      <c r="AG18" s="29">
        <v>47</v>
      </c>
      <c r="AH18" s="29">
        <v>90</v>
      </c>
      <c r="AI18" s="90">
        <f t="shared" si="13"/>
        <v>15666.666666666668</v>
      </c>
      <c r="AJ18" s="93">
        <v>2.0819999999999999</v>
      </c>
      <c r="AK18" s="59"/>
      <c r="AL18" s="59"/>
      <c r="AM18" s="59"/>
      <c r="AN18" s="59"/>
      <c r="AO18" s="39">
        <v>16</v>
      </c>
      <c r="AP18" s="37">
        <f t="shared" si="14"/>
        <v>154.4</v>
      </c>
      <c r="AQ18" s="37">
        <v>15</v>
      </c>
      <c r="AR18" s="37">
        <v>34</v>
      </c>
      <c r="AS18" s="99">
        <f t="shared" si="15"/>
        <v>176.47058823529412</v>
      </c>
      <c r="AT18" s="37">
        <v>42</v>
      </c>
      <c r="AU18" s="37">
        <f t="shared" si="7"/>
        <v>153.72</v>
      </c>
      <c r="AV18" s="37">
        <v>9</v>
      </c>
      <c r="AW18" s="37">
        <v>122</v>
      </c>
      <c r="AX18" s="97">
        <f t="shared" si="16"/>
        <v>184.42622950819671</v>
      </c>
      <c r="AY18" s="37">
        <v>252</v>
      </c>
      <c r="AZ18" s="38">
        <f t="shared" si="23"/>
        <v>153.90732000000003</v>
      </c>
      <c r="BA18" s="37">
        <v>3</v>
      </c>
      <c r="BB18" s="37">
        <v>172</v>
      </c>
      <c r="BC18" s="97">
        <f t="shared" si="17"/>
        <v>261.62790697674416</v>
      </c>
      <c r="BD18" s="103">
        <v>0.92800000000000005</v>
      </c>
    </row>
    <row r="19" spans="1:56">
      <c r="A19" s="21">
        <v>18</v>
      </c>
      <c r="B19" s="22">
        <f t="shared" si="0"/>
        <v>110.7</v>
      </c>
      <c r="C19" s="22">
        <v>17</v>
      </c>
      <c r="D19" s="22">
        <v>42</v>
      </c>
      <c r="E19" s="69">
        <f t="shared" si="9"/>
        <v>161.9047619047619</v>
      </c>
      <c r="F19" s="21">
        <v>49</v>
      </c>
      <c r="G19" s="22">
        <f t="shared" si="1"/>
        <v>114.17</v>
      </c>
      <c r="H19" s="22">
        <v>10</v>
      </c>
      <c r="I19" s="22">
        <v>46</v>
      </c>
      <c r="J19" s="69">
        <f t="shared" si="2"/>
        <v>543.47826086956525</v>
      </c>
      <c r="K19" s="22">
        <v>289</v>
      </c>
      <c r="L19" s="22">
        <f t="shared" ref="L19:L20" si="25">SUM(K19*0.396)</f>
        <v>114.444</v>
      </c>
      <c r="M19" s="22">
        <v>8</v>
      </c>
      <c r="N19" s="22">
        <v>90</v>
      </c>
      <c r="O19" s="69">
        <f t="shared" si="4"/>
        <v>1333.3333333333335</v>
      </c>
      <c r="P19" s="67">
        <v>1.1419999999999999</v>
      </c>
      <c r="Q19" s="59"/>
      <c r="R19" s="59"/>
      <c r="S19" s="59"/>
      <c r="T19" s="59"/>
      <c r="U19" s="28">
        <v>17</v>
      </c>
      <c r="V19" s="29">
        <f t="shared" si="10"/>
        <v>176.8</v>
      </c>
      <c r="W19" s="89">
        <v>6</v>
      </c>
      <c r="X19" s="29">
        <v>15</v>
      </c>
      <c r="Y19" s="90">
        <f t="shared" si="11"/>
        <v>160</v>
      </c>
      <c r="Z19" s="29">
        <v>46</v>
      </c>
      <c r="AA19" s="29">
        <f t="shared" si="5"/>
        <v>175.26</v>
      </c>
      <c r="AB19" s="29">
        <v>20</v>
      </c>
      <c r="AC19" s="29">
        <v>51</v>
      </c>
      <c r="AD19" s="90">
        <f t="shared" si="12"/>
        <v>980.39215686274508</v>
      </c>
      <c r="AE19" s="29">
        <v>134</v>
      </c>
      <c r="AF19" s="30">
        <f t="shared" ref="AF19:AF21" si="26">SUM(AE19*(195.726/150))</f>
        <v>174.84855999999999</v>
      </c>
      <c r="AG19" s="29">
        <v>45</v>
      </c>
      <c r="AH19" s="29">
        <v>204</v>
      </c>
      <c r="AI19" s="90">
        <f t="shared" si="13"/>
        <v>6617.6470588235288</v>
      </c>
      <c r="AJ19" s="93">
        <v>1.706</v>
      </c>
      <c r="AK19" s="59"/>
      <c r="AL19" s="59"/>
      <c r="AM19" s="59"/>
      <c r="AN19" s="59"/>
      <c r="AO19" s="40">
        <v>17</v>
      </c>
      <c r="AP19" s="41">
        <f t="shared" si="14"/>
        <v>164.05</v>
      </c>
      <c r="AQ19" s="41">
        <v>19</v>
      </c>
      <c r="AR19" s="41">
        <v>53</v>
      </c>
      <c r="AS19" s="100">
        <f t="shared" si="15"/>
        <v>143.39622641509433</v>
      </c>
      <c r="AT19" s="41">
        <v>43</v>
      </c>
      <c r="AU19" s="41">
        <f t="shared" si="7"/>
        <v>157.38</v>
      </c>
      <c r="AV19" s="41">
        <v>12</v>
      </c>
      <c r="AW19" s="41">
        <v>119</v>
      </c>
      <c r="AX19" s="101">
        <f t="shared" si="16"/>
        <v>252.10084033613447</v>
      </c>
      <c r="AY19" s="41">
        <v>258</v>
      </c>
      <c r="AZ19" s="42">
        <f t="shared" ref="AZ19" si="27">SUM(AY19*(183.223/300))</f>
        <v>157.57178000000002</v>
      </c>
      <c r="BA19" s="41">
        <v>9</v>
      </c>
      <c r="BB19" s="41">
        <v>165</v>
      </c>
      <c r="BC19" s="101">
        <f t="shared" si="17"/>
        <v>818.18181818181813</v>
      </c>
      <c r="BD19" s="104">
        <v>0.20499999999999999</v>
      </c>
    </row>
    <row r="20" spans="1:56">
      <c r="A20" s="23">
        <v>19</v>
      </c>
      <c r="B20" s="24">
        <f t="shared" si="0"/>
        <v>116.85000000000001</v>
      </c>
      <c r="C20" s="24">
        <v>6</v>
      </c>
      <c r="D20" s="24">
        <v>21</v>
      </c>
      <c r="E20" s="70">
        <f t="shared" si="9"/>
        <v>114.28571428571428</v>
      </c>
      <c r="F20" s="23">
        <v>50</v>
      </c>
      <c r="G20" s="24">
        <f t="shared" si="1"/>
        <v>116.5</v>
      </c>
      <c r="H20" s="24">
        <v>3</v>
      </c>
      <c r="I20" s="24">
        <v>53</v>
      </c>
      <c r="J20" s="70">
        <f t="shared" si="2"/>
        <v>141.50943396226415</v>
      </c>
      <c r="K20" s="24">
        <v>294</v>
      </c>
      <c r="L20" s="24">
        <f t="shared" si="25"/>
        <v>116.42400000000001</v>
      </c>
      <c r="M20" s="24">
        <v>6</v>
      </c>
      <c r="N20" s="24">
        <v>72</v>
      </c>
      <c r="O20" s="70">
        <f t="shared" si="4"/>
        <v>1250</v>
      </c>
      <c r="P20" s="71">
        <v>1.2849999999999999</v>
      </c>
      <c r="Q20" s="59"/>
      <c r="R20" s="59"/>
      <c r="S20" s="59"/>
      <c r="T20" s="59"/>
      <c r="U20" s="28">
        <v>18</v>
      </c>
      <c r="V20" s="29">
        <f t="shared" si="10"/>
        <v>187.20000000000002</v>
      </c>
      <c r="W20" s="89">
        <v>11</v>
      </c>
      <c r="X20" s="29">
        <v>22</v>
      </c>
      <c r="Y20" s="90">
        <f t="shared" si="11"/>
        <v>200</v>
      </c>
      <c r="Z20" s="29">
        <v>49</v>
      </c>
      <c r="AA20" s="29">
        <f t="shared" si="5"/>
        <v>186.69</v>
      </c>
      <c r="AB20" s="29">
        <v>4</v>
      </c>
      <c r="AC20" s="29">
        <v>51</v>
      </c>
      <c r="AD20" s="90">
        <f t="shared" si="12"/>
        <v>196.07843137254901</v>
      </c>
      <c r="AE20" s="29">
        <v>143</v>
      </c>
      <c r="AF20" s="30">
        <f t="shared" si="26"/>
        <v>186.59211999999999</v>
      </c>
      <c r="AG20" s="29">
        <v>0</v>
      </c>
      <c r="AH20" s="29">
        <v>267</v>
      </c>
      <c r="AI20" s="90">
        <f t="shared" si="13"/>
        <v>0</v>
      </c>
      <c r="AJ20" s="93"/>
      <c r="AK20" s="59"/>
      <c r="AL20" s="59"/>
      <c r="AM20" s="59"/>
      <c r="AN20" s="59"/>
      <c r="AO20" s="59"/>
      <c r="AP20" s="59"/>
      <c r="AQ20" s="59"/>
      <c r="AR20" s="59"/>
      <c r="AS20" s="59"/>
      <c r="BC20" s="34" t="s">
        <v>28</v>
      </c>
      <c r="BD20" s="34">
        <f>SUM(BD3:BD19)/13</f>
        <v>0.99030769230769233</v>
      </c>
    </row>
    <row r="21" spans="1:56">
      <c r="O21" s="18" t="s">
        <v>28</v>
      </c>
      <c r="P21" s="18">
        <f>SUM(P3:P20)/18</f>
        <v>1.4893333333333332</v>
      </c>
      <c r="Q21" s="59"/>
      <c r="R21" s="59"/>
      <c r="S21" s="59"/>
      <c r="T21" s="59"/>
      <c r="U21" s="31">
        <v>19</v>
      </c>
      <c r="V21" s="32">
        <f t="shared" si="10"/>
        <v>197.6</v>
      </c>
      <c r="W21" s="32">
        <v>9</v>
      </c>
      <c r="X21" s="32">
        <v>29</v>
      </c>
      <c r="Y21" s="91">
        <f t="shared" si="11"/>
        <v>124.13793103448276</v>
      </c>
      <c r="Z21" s="32">
        <v>51</v>
      </c>
      <c r="AA21" s="32">
        <f t="shared" si="5"/>
        <v>194.31</v>
      </c>
      <c r="AB21" s="32">
        <v>5</v>
      </c>
      <c r="AC21" s="32">
        <v>23</v>
      </c>
      <c r="AD21" s="91">
        <f t="shared" si="12"/>
        <v>543.47826086956525</v>
      </c>
      <c r="AE21" s="32">
        <v>149</v>
      </c>
      <c r="AF21" s="33">
        <f t="shared" si="26"/>
        <v>194.42115999999999</v>
      </c>
      <c r="AG21" s="32">
        <v>16</v>
      </c>
      <c r="AH21" s="32">
        <v>110</v>
      </c>
      <c r="AI21" s="91">
        <f t="shared" si="13"/>
        <v>4363.6363636363631</v>
      </c>
      <c r="AJ21" s="94">
        <v>1.64</v>
      </c>
      <c r="AK21" s="59"/>
      <c r="AL21" s="59"/>
      <c r="AM21" s="59"/>
      <c r="AN21" s="59"/>
      <c r="AO21" s="59"/>
      <c r="AP21" s="59"/>
      <c r="AQ21" s="59"/>
      <c r="AR21" s="59"/>
      <c r="AS21" s="59"/>
    </row>
    <row r="22" spans="1:56">
      <c r="A22" s="116"/>
      <c r="B22" s="117" t="s">
        <v>33</v>
      </c>
      <c r="C22" s="117" t="s">
        <v>40</v>
      </c>
      <c r="D22" s="117" t="s">
        <v>36</v>
      </c>
      <c r="E22" s="117" t="s">
        <v>35</v>
      </c>
      <c r="Q22" s="59"/>
      <c r="R22" s="59"/>
      <c r="S22" s="59"/>
      <c r="T22" s="59"/>
      <c r="U22" s="59"/>
      <c r="V22" s="59"/>
      <c r="W22" s="59"/>
      <c r="X22" s="59"/>
      <c r="Y22" s="59"/>
      <c r="AI22" s="25" t="s">
        <v>28</v>
      </c>
      <c r="AJ22" s="25">
        <f>SUM(AJ3:AJ21)/18</f>
        <v>1.6093888888888888</v>
      </c>
      <c r="AK22" s="59"/>
      <c r="AL22" s="59"/>
      <c r="AM22" s="59"/>
      <c r="AN22" s="59"/>
      <c r="AO22" s="59"/>
      <c r="AP22" s="59"/>
      <c r="AQ22" s="59"/>
      <c r="AR22" s="59"/>
      <c r="AS22" s="59"/>
    </row>
    <row r="23" spans="1:56">
      <c r="A23" s="117" t="s">
        <v>39</v>
      </c>
      <c r="B23" s="116">
        <v>811</v>
      </c>
      <c r="C23" s="116">
        <v>539</v>
      </c>
      <c r="D23" s="122">
        <f>SUM(C23/B23)*B28</f>
        <v>5316.8927250308261</v>
      </c>
      <c r="E23" s="128"/>
      <c r="Q23" s="59"/>
      <c r="R23" s="59"/>
      <c r="S23" s="59"/>
      <c r="T23" s="59"/>
      <c r="U23" s="118"/>
      <c r="V23" s="118" t="s">
        <v>33</v>
      </c>
      <c r="W23" s="118" t="s">
        <v>40</v>
      </c>
      <c r="X23" s="118" t="s">
        <v>36</v>
      </c>
      <c r="Y23" s="118" t="s">
        <v>35</v>
      </c>
      <c r="AK23" s="59"/>
      <c r="AL23" s="59"/>
      <c r="AM23" s="59"/>
      <c r="AN23" s="59"/>
      <c r="AO23" s="124"/>
      <c r="AP23" s="118" t="s">
        <v>33</v>
      </c>
      <c r="AQ23" s="118" t="s">
        <v>40</v>
      </c>
      <c r="AR23" s="118" t="s">
        <v>36</v>
      </c>
      <c r="AS23" s="118" t="s">
        <v>35</v>
      </c>
    </row>
    <row r="24" spans="1:56">
      <c r="A24" s="117" t="s">
        <v>31</v>
      </c>
      <c r="B24" s="116">
        <v>5383</v>
      </c>
      <c r="C24" s="116">
        <v>3288</v>
      </c>
      <c r="D24" s="122">
        <f>SUM(C24/B24)*B29</f>
        <v>76351.476871632927</v>
      </c>
      <c r="E24" s="130">
        <v>2.109</v>
      </c>
      <c r="Q24" s="59"/>
      <c r="R24" s="59"/>
      <c r="S24" s="59"/>
      <c r="T24" s="59"/>
      <c r="U24" s="118" t="s">
        <v>39</v>
      </c>
      <c r="V24" s="124">
        <v>678</v>
      </c>
      <c r="W24" s="124">
        <v>430</v>
      </c>
      <c r="X24" s="125">
        <f>SUM(W24/V24)*V29</f>
        <v>5073.746312684365</v>
      </c>
      <c r="Y24" s="119"/>
      <c r="AK24" s="59"/>
      <c r="AL24" s="59"/>
      <c r="AM24" s="59"/>
      <c r="AN24" s="59"/>
      <c r="AO24" s="118" t="s">
        <v>39</v>
      </c>
      <c r="AP24" s="124">
        <v>499</v>
      </c>
      <c r="AQ24" s="124">
        <v>168</v>
      </c>
      <c r="AR24" s="125">
        <f>SUM(AQ24/AP24)*AP29</f>
        <v>2693.3867735470944</v>
      </c>
      <c r="AS24" s="119"/>
    </row>
    <row r="25" spans="1:56">
      <c r="A25" s="117" t="s">
        <v>32</v>
      </c>
      <c r="B25" s="116">
        <v>52913</v>
      </c>
      <c r="C25" s="116">
        <v>22008</v>
      </c>
      <c r="D25" s="122">
        <f>SUM(C25/B25)*B30</f>
        <v>1871676.1476385763</v>
      </c>
      <c r="E25" s="129"/>
      <c r="Q25" s="59"/>
      <c r="R25" s="59"/>
      <c r="S25" s="59"/>
      <c r="T25" s="59"/>
      <c r="U25" s="118" t="s">
        <v>31</v>
      </c>
      <c r="V25" s="124">
        <v>4300</v>
      </c>
      <c r="W25" s="124">
        <v>2004</v>
      </c>
      <c r="X25" s="131">
        <f>SUM(W25/V25)*V30</f>
        <v>58255.813953488374</v>
      </c>
      <c r="Y25" s="121">
        <v>2.7149999999999999</v>
      </c>
      <c r="AK25" s="59"/>
      <c r="AL25" s="59"/>
      <c r="AM25" s="59"/>
      <c r="AN25" s="59"/>
      <c r="AO25" s="118" t="s">
        <v>31</v>
      </c>
      <c r="AP25" s="124">
        <v>2913</v>
      </c>
      <c r="AQ25" s="124">
        <v>894</v>
      </c>
      <c r="AR25" s="131">
        <f>SUM(AQ25/AP25)*AP30</f>
        <v>38362.512873326465</v>
      </c>
      <c r="AS25" s="121">
        <v>2.0659999999999998</v>
      </c>
    </row>
    <row r="26" spans="1:56">
      <c r="Q26" s="59"/>
      <c r="R26" s="59"/>
      <c r="S26" s="59"/>
      <c r="T26" s="59"/>
      <c r="U26" s="118" t="s">
        <v>32</v>
      </c>
      <c r="V26" s="124">
        <v>51774</v>
      </c>
      <c r="W26" s="124">
        <v>13774</v>
      </c>
      <c r="X26" s="125">
        <f>SUM(W26/V26)*V31</f>
        <v>1197183.9147062232</v>
      </c>
      <c r="Y26" s="120"/>
      <c r="AK26" s="59"/>
      <c r="AL26" s="59"/>
      <c r="AM26" s="59"/>
      <c r="AN26" s="59"/>
      <c r="AO26" s="118" t="s">
        <v>32</v>
      </c>
      <c r="AP26" s="124">
        <v>29238</v>
      </c>
      <c r="AQ26" s="124">
        <v>5374</v>
      </c>
      <c r="AR26" s="125">
        <f>SUM(AQ26/AP26)*AP31</f>
        <v>827108.55735686433</v>
      </c>
      <c r="AS26" s="120"/>
    </row>
    <row r="27" spans="1:56">
      <c r="A27" s="116"/>
      <c r="B27" s="117" t="s">
        <v>37</v>
      </c>
      <c r="C27" s="117" t="s">
        <v>38</v>
      </c>
      <c r="Q27" s="59"/>
      <c r="R27" s="59"/>
      <c r="S27" s="59"/>
      <c r="T27" s="59"/>
      <c r="U27" s="60"/>
      <c r="V27" s="59"/>
      <c r="W27" s="59"/>
      <c r="X27" s="59"/>
      <c r="Y27" s="59"/>
      <c r="AK27" s="59"/>
      <c r="AL27" s="59"/>
      <c r="AM27" s="59"/>
      <c r="AN27" s="59"/>
      <c r="AO27" s="59"/>
      <c r="AP27" s="59"/>
      <c r="AQ27" s="59"/>
      <c r="AR27" s="59"/>
      <c r="AS27" s="59"/>
    </row>
    <row r="28" spans="1:56">
      <c r="A28" s="117" t="s">
        <v>30</v>
      </c>
      <c r="B28" s="116">
        <v>8000</v>
      </c>
      <c r="C28" s="116">
        <v>7.08</v>
      </c>
      <c r="Q28" s="59"/>
      <c r="R28" s="59"/>
      <c r="S28" s="59"/>
      <c r="T28" s="59"/>
      <c r="U28" s="118"/>
      <c r="V28" s="118" t="s">
        <v>37</v>
      </c>
      <c r="W28" s="118" t="s">
        <v>38</v>
      </c>
      <c r="X28" s="59"/>
      <c r="Y28" s="59"/>
      <c r="AK28" s="59"/>
      <c r="AL28" s="59"/>
      <c r="AM28" s="59"/>
      <c r="AN28" s="59"/>
      <c r="AO28" s="124"/>
      <c r="AP28" s="118" t="s">
        <v>37</v>
      </c>
      <c r="AQ28" s="118" t="s">
        <v>38</v>
      </c>
      <c r="AR28" s="59"/>
      <c r="AS28" s="59"/>
    </row>
    <row r="29" spans="1:56">
      <c r="A29" s="117" t="s">
        <v>31</v>
      </c>
      <c r="B29" s="116">
        <v>125000</v>
      </c>
      <c r="C29" s="116">
        <v>2.83</v>
      </c>
      <c r="Q29" s="59"/>
      <c r="R29" s="59"/>
      <c r="S29" s="59"/>
      <c r="T29" s="59"/>
      <c r="U29" s="118" t="s">
        <v>30</v>
      </c>
      <c r="V29" s="124">
        <v>8000</v>
      </c>
      <c r="W29" s="124">
        <v>9.06</v>
      </c>
      <c r="X29" s="59"/>
      <c r="Y29" s="59"/>
      <c r="AK29" s="59"/>
      <c r="AL29" s="59"/>
      <c r="AM29" s="59"/>
      <c r="AN29" s="59"/>
      <c r="AO29" s="118" t="s">
        <v>30</v>
      </c>
      <c r="AP29" s="124">
        <v>8000</v>
      </c>
      <c r="AQ29" s="124">
        <v>9.08</v>
      </c>
      <c r="AR29" s="59"/>
      <c r="AS29" s="59"/>
    </row>
    <row r="30" spans="1:56">
      <c r="A30" s="117" t="s">
        <v>32</v>
      </c>
      <c r="B30" s="116">
        <v>4500000</v>
      </c>
      <c r="C30" s="116">
        <v>0.47</v>
      </c>
      <c r="Q30" s="59"/>
      <c r="R30" s="59"/>
      <c r="S30" s="59"/>
      <c r="T30" s="59"/>
      <c r="U30" s="118" t="s">
        <v>31</v>
      </c>
      <c r="V30" s="124">
        <v>125000</v>
      </c>
      <c r="W30" s="124">
        <v>3.63</v>
      </c>
      <c r="X30" s="59"/>
      <c r="Y30" s="59"/>
      <c r="AK30" s="59"/>
      <c r="AL30" s="59"/>
      <c r="AM30" s="59"/>
      <c r="AN30" s="59"/>
      <c r="AO30" s="118" t="s">
        <v>31</v>
      </c>
      <c r="AP30" s="124">
        <v>125000</v>
      </c>
      <c r="AQ30" s="124">
        <v>3.63</v>
      </c>
      <c r="AR30" s="59"/>
      <c r="AS30" s="59"/>
    </row>
    <row r="31" spans="1:56">
      <c r="Q31" s="59"/>
      <c r="R31" s="59"/>
      <c r="S31" s="59"/>
      <c r="T31" s="59"/>
      <c r="U31" s="118" t="s">
        <v>32</v>
      </c>
      <c r="V31" s="124">
        <v>4500000</v>
      </c>
      <c r="W31" s="124">
        <v>1.21</v>
      </c>
      <c r="X31" s="59"/>
      <c r="Y31" s="59"/>
      <c r="AK31" s="59"/>
      <c r="AL31" s="59"/>
      <c r="AM31" s="59"/>
      <c r="AN31" s="59"/>
      <c r="AO31" s="118" t="s">
        <v>32</v>
      </c>
      <c r="AP31" s="124">
        <v>4500000</v>
      </c>
      <c r="AQ31" s="124">
        <v>0.61</v>
      </c>
      <c r="AR31" s="59"/>
      <c r="AS31" s="59"/>
    </row>
    <row r="32" spans="1:56">
      <c r="Q32" s="59"/>
      <c r="R32" s="59"/>
      <c r="S32" s="59"/>
      <c r="T32" s="59"/>
      <c r="U32" s="59"/>
      <c r="V32" s="59"/>
      <c r="W32" s="59"/>
      <c r="X32" s="59"/>
      <c r="Y32" s="59"/>
      <c r="AK32" s="59"/>
      <c r="AL32" s="59"/>
      <c r="AM32" s="59"/>
      <c r="AN32" s="59"/>
      <c r="AO32" s="59"/>
      <c r="AP32" s="59"/>
      <c r="AQ32" s="59"/>
      <c r="AR32" s="59"/>
      <c r="AS32" s="59"/>
    </row>
    <row r="33" spans="17:45">
      <c r="Q33" s="59"/>
      <c r="R33" s="59"/>
      <c r="S33" s="59"/>
      <c r="T33" s="59"/>
      <c r="U33" s="59"/>
      <c r="V33" s="59"/>
      <c r="W33" s="59"/>
      <c r="X33" s="59"/>
      <c r="Y33" s="59"/>
      <c r="AK33" s="59"/>
      <c r="AL33" s="59"/>
      <c r="AM33" s="59"/>
      <c r="AN33" s="59"/>
      <c r="AO33" s="59"/>
      <c r="AP33" s="59"/>
      <c r="AQ33" s="59"/>
      <c r="AR33" s="59"/>
      <c r="AS33" s="59"/>
    </row>
    <row r="34" spans="17:45">
      <c r="Q34" s="59"/>
      <c r="R34" s="59"/>
      <c r="S34" s="59"/>
      <c r="T34" s="59"/>
      <c r="U34" s="59"/>
      <c r="V34" s="59"/>
      <c r="W34" s="59"/>
      <c r="X34" s="59"/>
      <c r="Y34" s="59"/>
      <c r="AK34" s="59"/>
      <c r="AL34" s="59"/>
      <c r="AM34" s="59"/>
      <c r="AN34" s="59"/>
      <c r="AO34" s="59"/>
      <c r="AP34" s="59"/>
      <c r="AQ34" s="59"/>
      <c r="AR34" s="59"/>
      <c r="AS34" s="59"/>
    </row>
    <row r="35" spans="17:45">
      <c r="Q35" s="59"/>
      <c r="R35" s="59"/>
      <c r="S35" s="59"/>
      <c r="T35" s="59"/>
      <c r="U35" s="59"/>
      <c r="V35" s="59"/>
      <c r="W35" s="59"/>
      <c r="X35" s="59"/>
      <c r="Y35" s="59"/>
      <c r="AK35" s="59"/>
      <c r="AL35" s="59"/>
      <c r="AM35" s="59"/>
      <c r="AN35" s="59"/>
      <c r="AO35" s="59"/>
      <c r="AP35" s="59"/>
      <c r="AQ35" s="59"/>
      <c r="AR35" s="59"/>
      <c r="AS35" s="59"/>
    </row>
    <row r="36" spans="17:45">
      <c r="Q36" s="59"/>
      <c r="R36" s="59"/>
      <c r="S36" s="59"/>
      <c r="T36" s="59"/>
      <c r="U36" s="59"/>
      <c r="V36" s="59"/>
      <c r="W36" s="59"/>
      <c r="X36" s="59"/>
      <c r="Y36" s="59"/>
      <c r="AK36" s="59"/>
      <c r="AL36" s="59"/>
      <c r="AM36" s="59"/>
      <c r="AN36" s="59"/>
      <c r="AO36" s="59"/>
      <c r="AP36" s="59"/>
      <c r="AQ36" s="59"/>
      <c r="AR36" s="59"/>
      <c r="AS36" s="59"/>
    </row>
    <row r="37" spans="17:45">
      <c r="Q37" s="59"/>
      <c r="R37" s="59"/>
      <c r="S37" s="59"/>
      <c r="T37" s="59"/>
      <c r="U37" s="59"/>
      <c r="V37" s="59"/>
      <c r="W37" s="59"/>
      <c r="X37" s="59"/>
      <c r="Y37" s="59"/>
      <c r="AK37" s="59"/>
      <c r="AL37" s="59"/>
      <c r="AM37" s="59"/>
      <c r="AN37" s="59"/>
      <c r="AO37" s="59"/>
      <c r="AP37" s="59"/>
      <c r="AQ37" s="59"/>
      <c r="AR37" s="59"/>
      <c r="AS37" s="59"/>
    </row>
    <row r="38" spans="17:45">
      <c r="Q38" s="59"/>
      <c r="R38" s="59"/>
      <c r="S38" s="59"/>
      <c r="T38" s="59"/>
      <c r="U38" s="59"/>
      <c r="V38" s="59"/>
      <c r="W38" s="59"/>
      <c r="X38" s="59"/>
      <c r="Y38" s="59"/>
      <c r="AK38" s="59"/>
      <c r="AL38" s="59"/>
      <c r="AM38" s="59"/>
      <c r="AN38" s="59"/>
      <c r="AO38" s="59"/>
      <c r="AP38" s="59"/>
      <c r="AQ38" s="59"/>
      <c r="AR38" s="59"/>
      <c r="AS38" s="59"/>
    </row>
    <row r="39" spans="17:45">
      <c r="Q39" s="59"/>
      <c r="R39" s="59"/>
      <c r="S39" s="59"/>
      <c r="T39" s="59"/>
      <c r="U39" s="59"/>
      <c r="V39" s="59"/>
      <c r="W39" s="59"/>
      <c r="X39" s="59"/>
      <c r="Y39" s="59"/>
      <c r="AK39" s="59"/>
      <c r="AL39" s="59"/>
      <c r="AM39" s="59"/>
      <c r="AN39" s="59"/>
      <c r="AO39" s="59"/>
      <c r="AP39" s="59"/>
      <c r="AQ39" s="59"/>
      <c r="AR39" s="59"/>
      <c r="AS39" s="59"/>
    </row>
    <row r="40" spans="17:45">
      <c r="Q40" s="59"/>
      <c r="R40" s="59"/>
      <c r="S40" s="59"/>
      <c r="T40" s="59"/>
      <c r="U40" s="59"/>
      <c r="V40" s="59"/>
      <c r="W40" s="59"/>
      <c r="X40" s="59"/>
      <c r="Y40" s="59"/>
      <c r="AK40" s="59"/>
      <c r="AL40" s="59"/>
      <c r="AM40" s="59"/>
      <c r="AN40" s="59"/>
      <c r="AO40" s="59"/>
      <c r="AP40" s="59"/>
      <c r="AQ40" s="59"/>
      <c r="AR40" s="59"/>
      <c r="AS40" s="59"/>
    </row>
    <row r="41" spans="17:45">
      <c r="Q41" s="59"/>
      <c r="R41" s="59"/>
      <c r="S41" s="59"/>
      <c r="T41" s="59"/>
      <c r="U41" s="59"/>
      <c r="V41" s="59"/>
      <c r="W41" s="59"/>
      <c r="X41" s="59"/>
      <c r="Y41" s="59"/>
      <c r="AK41" s="59"/>
      <c r="AL41" s="59"/>
      <c r="AM41" s="59"/>
      <c r="AN41" s="59"/>
      <c r="AO41" s="59"/>
      <c r="AP41" s="59"/>
      <c r="AQ41" s="59"/>
      <c r="AR41" s="59"/>
      <c r="AS41" s="59"/>
    </row>
    <row r="42" spans="17:45">
      <c r="Q42" s="59"/>
      <c r="R42" s="59"/>
      <c r="S42" s="59"/>
      <c r="T42" s="59"/>
      <c r="U42" s="59"/>
      <c r="V42" s="59"/>
      <c r="W42" s="59"/>
      <c r="X42" s="59"/>
      <c r="Y42" s="59"/>
      <c r="AK42" s="59"/>
      <c r="AL42" s="59"/>
      <c r="AM42" s="59"/>
      <c r="AN42" s="59"/>
      <c r="AO42" s="59"/>
      <c r="AP42" s="59"/>
      <c r="AQ42" s="59"/>
      <c r="AR42" s="59"/>
      <c r="AS42" s="59"/>
    </row>
    <row r="43" spans="17:45">
      <c r="Q43" s="59"/>
      <c r="R43" s="59"/>
      <c r="S43" s="59"/>
      <c r="T43" s="59"/>
      <c r="U43" s="59"/>
      <c r="V43" s="59"/>
      <c r="W43" s="59"/>
      <c r="X43" s="59"/>
      <c r="Y43" s="59"/>
      <c r="AK43" s="59"/>
      <c r="AL43" s="59"/>
      <c r="AM43" s="59"/>
      <c r="AN43" s="59"/>
      <c r="AO43" s="59"/>
      <c r="AP43" s="59"/>
      <c r="AQ43" s="59"/>
      <c r="AR43" s="59"/>
      <c r="AS43" s="59"/>
    </row>
    <row r="44" spans="17:45">
      <c r="Q44" s="59"/>
      <c r="R44" s="59"/>
      <c r="S44" s="59"/>
      <c r="T44" s="59"/>
      <c r="U44" s="59"/>
      <c r="V44" s="59"/>
      <c r="W44" s="59"/>
      <c r="X44" s="59"/>
      <c r="Y44" s="59"/>
      <c r="AK44" s="59"/>
      <c r="AL44" s="59"/>
      <c r="AM44" s="59"/>
      <c r="AN44" s="59"/>
      <c r="AO44" s="59"/>
      <c r="AP44" s="59"/>
      <c r="AQ44" s="59"/>
      <c r="AR44" s="59"/>
      <c r="AS44" s="59"/>
    </row>
    <row r="45" spans="17:45">
      <c r="Q45" s="59"/>
      <c r="R45" s="59"/>
      <c r="S45" s="59"/>
      <c r="T45" s="59"/>
      <c r="U45" s="59"/>
      <c r="V45" s="59"/>
      <c r="W45" s="59"/>
      <c r="X45" s="59"/>
      <c r="Y45" s="59"/>
      <c r="AK45" s="59"/>
      <c r="AL45" s="59"/>
      <c r="AM45" s="59"/>
      <c r="AN45" s="59"/>
      <c r="AO45" s="59"/>
      <c r="AP45" s="59"/>
      <c r="AQ45" s="59"/>
      <c r="AR45" s="59"/>
      <c r="AS45" s="59"/>
    </row>
    <row r="46" spans="17:45">
      <c r="Q46" s="59"/>
      <c r="R46" s="59"/>
      <c r="S46" s="59"/>
      <c r="T46" s="59"/>
      <c r="AK46" s="59"/>
      <c r="AL46" s="59"/>
      <c r="AM46" s="59"/>
      <c r="AN46" s="59"/>
      <c r="AO46" s="59"/>
      <c r="AP46" s="59"/>
      <c r="AQ46" s="59"/>
      <c r="AR46" s="59"/>
      <c r="AS46" s="59"/>
    </row>
    <row r="47" spans="17:45">
      <c r="AK47" s="59"/>
      <c r="AL47" s="59"/>
      <c r="AM47" s="59"/>
      <c r="AN47" s="59"/>
      <c r="AO47" s="59"/>
      <c r="AP47" s="59"/>
      <c r="AQ47" s="59"/>
      <c r="AS47" s="59"/>
    </row>
    <row r="48" spans="17:45">
      <c r="AK48" s="59"/>
      <c r="AL48" s="59"/>
      <c r="AM48" s="59"/>
      <c r="AN48" s="59"/>
      <c r="AO48" s="59"/>
      <c r="AP48" s="59"/>
      <c r="AQ48" s="59"/>
      <c r="AS48" s="59"/>
    </row>
    <row r="49" spans="37:45">
      <c r="AK49" s="59"/>
      <c r="AL49" s="59"/>
      <c r="AM49" s="59"/>
      <c r="AN49" s="59"/>
      <c r="AO49" s="59"/>
      <c r="AP49" s="59"/>
      <c r="AQ49" s="59"/>
      <c r="AS49" s="59"/>
    </row>
    <row r="50" spans="37:45">
      <c r="AK50" s="59"/>
      <c r="AL50" s="59"/>
      <c r="AM50" s="59"/>
      <c r="AN50" s="59"/>
    </row>
    <row r="51" spans="37:45">
      <c r="AK51" s="59"/>
      <c r="AL51" s="59"/>
      <c r="AM51" s="59"/>
      <c r="AN51" s="59"/>
    </row>
    <row r="52" spans="37:45">
      <c r="AK52" s="59"/>
      <c r="AL52" s="59"/>
      <c r="AM52" s="59"/>
      <c r="AN52" s="59"/>
    </row>
    <row r="53" spans="37:45">
      <c r="AK53" s="59"/>
      <c r="AL53" s="59"/>
      <c r="AM53" s="59"/>
      <c r="AN53" s="59"/>
    </row>
  </sheetData>
  <sortState ref="AT3:AT43">
    <sortCondition ref="AT3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47"/>
  <sheetViews>
    <sheetView topLeftCell="C1" zoomScale="91" zoomScaleNormal="91" workbookViewId="0">
      <selection activeCell="AM28" sqref="AM28"/>
    </sheetView>
  </sheetViews>
  <sheetFormatPr defaultRowHeight="15"/>
  <cols>
    <col min="1" max="1" width="13.85546875" customWidth="1"/>
    <col min="2" max="2" width="14.140625" customWidth="1"/>
    <col min="3" max="4" width="15" customWidth="1"/>
    <col min="5" max="5" width="16.85546875" customWidth="1"/>
    <col min="7" max="7" width="14.5703125" customWidth="1"/>
    <col min="8" max="9" width="15.42578125" customWidth="1"/>
    <col min="10" max="10" width="14.5703125" customWidth="1"/>
    <col min="12" max="12" width="13.140625" customWidth="1"/>
    <col min="13" max="14" width="15.140625" customWidth="1"/>
    <col min="15" max="15" width="13.42578125" customWidth="1"/>
    <col min="16" max="16" width="17.7109375" customWidth="1"/>
    <col min="17" max="21" width="13.42578125" customWidth="1"/>
    <col min="22" max="22" width="14.7109375" customWidth="1"/>
    <col min="23" max="23" width="15.7109375" customWidth="1"/>
    <col min="24" max="24" width="13.42578125" customWidth="1"/>
    <col min="25" max="25" width="16.28515625" customWidth="1"/>
    <col min="27" max="27" width="13.28515625" customWidth="1"/>
    <col min="28" max="29" width="14.85546875" customWidth="1"/>
    <col min="30" max="30" width="14.28515625" customWidth="1"/>
    <col min="32" max="32" width="13.5703125" customWidth="1"/>
    <col min="33" max="33" width="15" customWidth="1"/>
    <col min="34" max="34" width="14" customWidth="1"/>
    <col min="35" max="35" width="13.28515625" customWidth="1"/>
    <col min="36" max="36" width="19" customWidth="1"/>
  </cols>
  <sheetData>
    <row r="1" spans="1:36">
      <c r="A1" s="43" t="s">
        <v>24</v>
      </c>
      <c r="B1" s="44"/>
      <c r="C1" s="44"/>
      <c r="D1" s="44"/>
      <c r="E1" s="44">
        <v>8.02</v>
      </c>
      <c r="F1" s="43" t="s">
        <v>14</v>
      </c>
      <c r="G1" s="44"/>
      <c r="H1" s="44"/>
      <c r="I1" s="44"/>
      <c r="J1" s="44">
        <v>3.44</v>
      </c>
      <c r="K1" s="43" t="s">
        <v>15</v>
      </c>
      <c r="L1" s="44"/>
      <c r="M1" s="44"/>
      <c r="N1" s="44"/>
      <c r="O1" s="44">
        <v>1.1599999999999999</v>
      </c>
      <c r="P1" s="44"/>
      <c r="Q1" s="59"/>
      <c r="R1" s="59"/>
      <c r="S1" s="59"/>
      <c r="T1" s="59"/>
      <c r="U1" s="50" t="s">
        <v>25</v>
      </c>
      <c r="V1" s="51"/>
      <c r="W1" s="51"/>
      <c r="X1" s="51"/>
      <c r="Y1" s="51">
        <v>3.31</v>
      </c>
      <c r="Z1" s="50" t="s">
        <v>16</v>
      </c>
      <c r="AA1" s="51"/>
      <c r="AB1" s="51"/>
      <c r="AC1" s="51"/>
      <c r="AD1" s="51">
        <v>1.04</v>
      </c>
      <c r="AE1" s="50" t="s">
        <v>17</v>
      </c>
      <c r="AF1" s="51"/>
      <c r="AG1" s="51"/>
      <c r="AH1" s="51"/>
      <c r="AI1" s="51">
        <v>0.37</v>
      </c>
      <c r="AJ1" s="51"/>
    </row>
    <row r="2" spans="1:36">
      <c r="A2" s="45" t="s">
        <v>0</v>
      </c>
      <c r="B2" s="45" t="s">
        <v>1</v>
      </c>
      <c r="C2" s="45" t="s">
        <v>21</v>
      </c>
      <c r="D2" s="45" t="s">
        <v>20</v>
      </c>
      <c r="E2" s="45" t="s">
        <v>8</v>
      </c>
      <c r="F2" s="45" t="s">
        <v>0</v>
      </c>
      <c r="G2" s="45" t="s">
        <v>1</v>
      </c>
      <c r="H2" s="45" t="s">
        <v>21</v>
      </c>
      <c r="I2" s="45" t="s">
        <v>20</v>
      </c>
      <c r="J2" s="45" t="s">
        <v>8</v>
      </c>
      <c r="K2" s="45" t="s">
        <v>0</v>
      </c>
      <c r="L2" s="45" t="s">
        <v>1</v>
      </c>
      <c r="M2" s="45" t="s">
        <v>21</v>
      </c>
      <c r="N2" s="45" t="s">
        <v>20</v>
      </c>
      <c r="O2" s="45" t="s">
        <v>8</v>
      </c>
      <c r="P2" s="45" t="s">
        <v>19</v>
      </c>
      <c r="Q2" s="62"/>
      <c r="R2" s="62"/>
      <c r="S2" s="62"/>
      <c r="T2" s="62"/>
      <c r="U2" s="52" t="s">
        <v>0</v>
      </c>
      <c r="V2" s="52" t="s">
        <v>1</v>
      </c>
      <c r="W2" s="52" t="s">
        <v>21</v>
      </c>
      <c r="X2" s="52" t="s">
        <v>20</v>
      </c>
      <c r="Y2" s="52" t="s">
        <v>8</v>
      </c>
      <c r="Z2" s="52" t="s">
        <v>0</v>
      </c>
      <c r="AA2" s="52" t="s">
        <v>1</v>
      </c>
      <c r="AB2" s="52" t="s">
        <v>21</v>
      </c>
      <c r="AC2" s="52" t="s">
        <v>20</v>
      </c>
      <c r="AD2" s="52" t="s">
        <v>8</v>
      </c>
      <c r="AE2" s="52" t="s">
        <v>0</v>
      </c>
      <c r="AF2" s="52" t="s">
        <v>1</v>
      </c>
      <c r="AG2" s="52" t="s">
        <v>21</v>
      </c>
      <c r="AH2" s="52" t="s">
        <v>20</v>
      </c>
      <c r="AI2" s="52" t="s">
        <v>8</v>
      </c>
      <c r="AJ2" s="52" t="s">
        <v>19</v>
      </c>
    </row>
    <row r="3" spans="1:36">
      <c r="A3" s="47">
        <v>2</v>
      </c>
      <c r="B3" s="47">
        <f t="shared" ref="B3:B19" si="0">SUM(A3*19.3)</f>
        <v>38.6</v>
      </c>
      <c r="C3" s="47">
        <v>15</v>
      </c>
      <c r="D3" s="47">
        <v>20</v>
      </c>
      <c r="E3" s="80">
        <f t="shared" ref="E3:E19" si="1">SUM(C3/D3)*400</f>
        <v>300</v>
      </c>
      <c r="F3" s="47">
        <v>6</v>
      </c>
      <c r="G3" s="47">
        <v>36.75</v>
      </c>
      <c r="H3" s="47">
        <v>14</v>
      </c>
      <c r="I3" s="47">
        <v>39</v>
      </c>
      <c r="J3" s="80">
        <f t="shared" ref="J3:J19" si="2">SUM(H3/I3)*2500</f>
        <v>897.43589743589746</v>
      </c>
      <c r="K3" s="47">
        <v>28</v>
      </c>
      <c r="L3" s="47">
        <f t="shared" ref="L3:L6" si="3">SUM(K3*1.29)</f>
        <v>36.120000000000005</v>
      </c>
      <c r="M3" s="47">
        <v>0</v>
      </c>
      <c r="N3" s="47">
        <v>67</v>
      </c>
      <c r="O3" s="80">
        <f t="shared" ref="O3:O19" si="4">SUM(M3/N3)*15000</f>
        <v>0</v>
      </c>
      <c r="P3" s="105"/>
      <c r="Q3" s="59"/>
      <c r="R3" s="59"/>
      <c r="S3" s="59"/>
      <c r="T3" s="59"/>
      <c r="U3" s="108">
        <v>1</v>
      </c>
      <c r="V3" s="109">
        <f>SUM(U3*9.55)</f>
        <v>9.5500000000000007</v>
      </c>
      <c r="W3" s="109">
        <v>0</v>
      </c>
      <c r="X3" s="109">
        <v>21</v>
      </c>
      <c r="Y3" s="110">
        <f>SUM(W3/X3)*400</f>
        <v>0</v>
      </c>
      <c r="Z3" s="54">
        <v>3</v>
      </c>
      <c r="AA3" s="54">
        <f t="shared" ref="AA3:AA16" si="5">SUM(Z3*3.05)</f>
        <v>9.1499999999999986</v>
      </c>
      <c r="AB3" s="54">
        <v>3</v>
      </c>
      <c r="AC3" s="54">
        <v>130</v>
      </c>
      <c r="AD3" s="82">
        <f t="shared" ref="AD3:AD16" si="6">SUM(AB3/AC3)*2500</f>
        <v>57.692307692307693</v>
      </c>
      <c r="AE3" s="54">
        <v>15</v>
      </c>
      <c r="AF3" s="55">
        <f t="shared" ref="AF3:AF5" si="7">SUM(AE3*(181.673/300))</f>
        <v>9.0836500000000004</v>
      </c>
      <c r="AG3" s="54">
        <v>5</v>
      </c>
      <c r="AH3" s="54">
        <v>194</v>
      </c>
      <c r="AI3" s="82">
        <f t="shared" ref="AI3:AI16" si="8">SUM(AG3/AH3)*15000</f>
        <v>386.59793814432987</v>
      </c>
      <c r="AJ3" s="111"/>
    </row>
    <row r="4" spans="1:36">
      <c r="A4" s="47">
        <v>3</v>
      </c>
      <c r="B4" s="47">
        <f t="shared" si="0"/>
        <v>57.900000000000006</v>
      </c>
      <c r="C4" s="47">
        <v>14</v>
      </c>
      <c r="D4" s="47">
        <v>17</v>
      </c>
      <c r="E4" s="80">
        <f t="shared" si="1"/>
        <v>329.41176470588232</v>
      </c>
      <c r="F4" s="47">
        <v>9</v>
      </c>
      <c r="G4" s="47">
        <v>58.800000000000004</v>
      </c>
      <c r="H4" s="47">
        <v>11</v>
      </c>
      <c r="I4" s="47">
        <v>27</v>
      </c>
      <c r="J4" s="80">
        <f t="shared" si="2"/>
        <v>1018.5185185185185</v>
      </c>
      <c r="K4" s="47">
        <v>45</v>
      </c>
      <c r="L4" s="47">
        <f t="shared" si="3"/>
        <v>58.050000000000004</v>
      </c>
      <c r="M4" s="47">
        <v>7</v>
      </c>
      <c r="N4" s="47">
        <v>40</v>
      </c>
      <c r="O4" s="80">
        <f t="shared" si="4"/>
        <v>2625</v>
      </c>
      <c r="P4" s="106">
        <v>1.0640000000000001</v>
      </c>
      <c r="Q4" s="59"/>
      <c r="R4" s="59"/>
      <c r="S4" s="59"/>
      <c r="T4" s="59"/>
      <c r="U4" s="53">
        <v>2</v>
      </c>
      <c r="V4" s="54">
        <f t="shared" ref="V4:V16" si="9">SUM(U4*9.55)</f>
        <v>19.100000000000001</v>
      </c>
      <c r="W4" s="54">
        <v>0</v>
      </c>
      <c r="X4" s="54">
        <v>52</v>
      </c>
      <c r="Y4" s="82">
        <f t="shared" ref="Y4:Y16" si="10">SUM(W4/X4)*400</f>
        <v>0</v>
      </c>
      <c r="Z4" s="54">
        <v>6</v>
      </c>
      <c r="AA4" s="54">
        <f t="shared" si="5"/>
        <v>18.299999999999997</v>
      </c>
      <c r="AB4" s="54">
        <v>13</v>
      </c>
      <c r="AC4" s="54">
        <v>145</v>
      </c>
      <c r="AD4" s="82">
        <f t="shared" si="6"/>
        <v>224.13793103448276</v>
      </c>
      <c r="AE4" s="54">
        <v>30</v>
      </c>
      <c r="AF4" s="55">
        <f t="shared" si="7"/>
        <v>18.167300000000001</v>
      </c>
      <c r="AG4" s="54">
        <v>0</v>
      </c>
      <c r="AH4" s="54">
        <v>194</v>
      </c>
      <c r="AI4" s="82">
        <f t="shared" si="8"/>
        <v>0</v>
      </c>
      <c r="AJ4" s="112"/>
    </row>
    <row r="5" spans="1:36">
      <c r="A5" s="47">
        <v>4</v>
      </c>
      <c r="B5" s="47">
        <f t="shared" si="0"/>
        <v>77.2</v>
      </c>
      <c r="C5" s="47">
        <v>10</v>
      </c>
      <c r="D5" s="47">
        <v>14</v>
      </c>
      <c r="E5" s="80">
        <f t="shared" si="1"/>
        <v>285.71428571428572</v>
      </c>
      <c r="F5" s="47">
        <v>12</v>
      </c>
      <c r="G5" s="47">
        <v>80.849999999999994</v>
      </c>
      <c r="H5" s="47">
        <v>19</v>
      </c>
      <c r="I5" s="47">
        <v>32</v>
      </c>
      <c r="J5" s="80">
        <f t="shared" si="2"/>
        <v>1484.375</v>
      </c>
      <c r="K5" s="47">
        <v>62</v>
      </c>
      <c r="L5" s="47">
        <f t="shared" si="3"/>
        <v>79.98</v>
      </c>
      <c r="M5" s="47">
        <v>14</v>
      </c>
      <c r="N5" s="47">
        <v>53</v>
      </c>
      <c r="O5" s="80">
        <f t="shared" si="4"/>
        <v>3962.2641509433961</v>
      </c>
      <c r="P5" s="106">
        <v>1.339</v>
      </c>
      <c r="Q5" s="59"/>
      <c r="R5" s="59"/>
      <c r="S5" s="59"/>
      <c r="T5" s="59"/>
      <c r="U5" s="53">
        <v>3</v>
      </c>
      <c r="V5" s="54">
        <f t="shared" si="9"/>
        <v>28.650000000000002</v>
      </c>
      <c r="W5" s="54">
        <v>0</v>
      </c>
      <c r="X5" s="54">
        <v>51</v>
      </c>
      <c r="Y5" s="82">
        <f t="shared" si="10"/>
        <v>0</v>
      </c>
      <c r="Z5" s="54">
        <v>9</v>
      </c>
      <c r="AA5" s="54">
        <f t="shared" si="5"/>
        <v>27.45</v>
      </c>
      <c r="AB5" s="54">
        <v>25</v>
      </c>
      <c r="AC5" s="54">
        <v>92</v>
      </c>
      <c r="AD5" s="82">
        <f t="shared" si="6"/>
        <v>679.3478260869565</v>
      </c>
      <c r="AE5" s="54">
        <v>45</v>
      </c>
      <c r="AF5" s="55">
        <f t="shared" si="7"/>
        <v>27.25095</v>
      </c>
      <c r="AG5" s="54">
        <v>108</v>
      </c>
      <c r="AH5" s="54">
        <v>214</v>
      </c>
      <c r="AI5" s="82">
        <f t="shared" si="8"/>
        <v>7570.0934579439245</v>
      </c>
      <c r="AJ5" s="112"/>
    </row>
    <row r="6" spans="1:36">
      <c r="A6" s="47">
        <v>5</v>
      </c>
      <c r="B6" s="47">
        <f t="shared" si="0"/>
        <v>96.5</v>
      </c>
      <c r="C6" s="47">
        <v>10</v>
      </c>
      <c r="D6" s="47">
        <v>13</v>
      </c>
      <c r="E6" s="80">
        <f t="shared" si="1"/>
        <v>307.69230769230774</v>
      </c>
      <c r="F6" s="47">
        <v>14</v>
      </c>
      <c r="G6" s="47">
        <v>95.549999999999983</v>
      </c>
      <c r="H6" s="47">
        <v>23</v>
      </c>
      <c r="I6" s="47">
        <v>27</v>
      </c>
      <c r="J6" s="80">
        <f t="shared" si="2"/>
        <v>2129.6296296296296</v>
      </c>
      <c r="K6" s="47">
        <v>74</v>
      </c>
      <c r="L6" s="47">
        <f t="shared" si="3"/>
        <v>95.460000000000008</v>
      </c>
      <c r="M6" s="47">
        <v>14</v>
      </c>
      <c r="N6" s="47">
        <v>30</v>
      </c>
      <c r="O6" s="80">
        <f t="shared" si="4"/>
        <v>7000</v>
      </c>
      <c r="P6" s="106">
        <v>1.5920000000000001</v>
      </c>
      <c r="Q6" s="59"/>
      <c r="R6" s="59"/>
      <c r="S6" s="59"/>
      <c r="T6" s="59"/>
      <c r="U6" s="53">
        <v>4</v>
      </c>
      <c r="V6" s="54">
        <f t="shared" si="9"/>
        <v>38.200000000000003</v>
      </c>
      <c r="W6" s="54">
        <v>8</v>
      </c>
      <c r="X6" s="54">
        <v>48</v>
      </c>
      <c r="Y6" s="82">
        <f t="shared" si="10"/>
        <v>66.666666666666657</v>
      </c>
      <c r="Z6" s="54">
        <v>13</v>
      </c>
      <c r="AA6" s="54">
        <f t="shared" si="5"/>
        <v>39.65</v>
      </c>
      <c r="AB6" s="54">
        <v>47</v>
      </c>
      <c r="AC6" s="54">
        <v>100</v>
      </c>
      <c r="AD6" s="82">
        <f t="shared" si="6"/>
        <v>1175</v>
      </c>
      <c r="AE6" s="54">
        <v>65</v>
      </c>
      <c r="AF6" s="55">
        <f t="shared" ref="AF6:AF10" si="11">SUM(AE6*(181.673/300))</f>
        <v>39.36248333333333</v>
      </c>
      <c r="AG6" s="54">
        <v>83</v>
      </c>
      <c r="AH6" s="54">
        <v>182</v>
      </c>
      <c r="AI6" s="82">
        <f t="shared" si="8"/>
        <v>6840.6593406593402</v>
      </c>
      <c r="AJ6" s="112">
        <v>2.121</v>
      </c>
    </row>
    <row r="7" spans="1:36">
      <c r="A7" s="47">
        <v>6</v>
      </c>
      <c r="B7" s="47">
        <f t="shared" si="0"/>
        <v>115.80000000000001</v>
      </c>
      <c r="C7" s="47">
        <v>11</v>
      </c>
      <c r="D7" s="47">
        <v>12</v>
      </c>
      <c r="E7" s="80">
        <f t="shared" si="1"/>
        <v>366.66666666666663</v>
      </c>
      <c r="F7" s="47">
        <v>17</v>
      </c>
      <c r="G7" s="47">
        <v>117.59999999999997</v>
      </c>
      <c r="H7" s="47">
        <v>19</v>
      </c>
      <c r="I7" s="47">
        <v>23</v>
      </c>
      <c r="J7" s="80">
        <f t="shared" si="2"/>
        <v>2065.217391304348</v>
      </c>
      <c r="K7" s="47">
        <v>91</v>
      </c>
      <c r="L7" s="47">
        <f t="shared" ref="L7:L11" si="12">SUM(K7*1.29)</f>
        <v>117.39</v>
      </c>
      <c r="M7" s="47">
        <v>42</v>
      </c>
      <c r="N7" s="47">
        <v>53</v>
      </c>
      <c r="O7" s="80">
        <f t="shared" si="4"/>
        <v>11886.79245283019</v>
      </c>
      <c r="P7" s="106">
        <v>1.79</v>
      </c>
      <c r="Q7" s="59"/>
      <c r="R7" s="59"/>
      <c r="S7" s="59"/>
      <c r="T7" s="59"/>
      <c r="U7" s="53">
        <v>5</v>
      </c>
      <c r="V7" s="54">
        <f t="shared" si="9"/>
        <v>47.75</v>
      </c>
      <c r="W7" s="54">
        <v>8</v>
      </c>
      <c r="X7" s="54">
        <v>47</v>
      </c>
      <c r="Y7" s="82">
        <f t="shared" si="10"/>
        <v>68.085106382978722</v>
      </c>
      <c r="Z7" s="54">
        <v>16</v>
      </c>
      <c r="AA7" s="54">
        <f t="shared" si="5"/>
        <v>48.8</v>
      </c>
      <c r="AB7" s="54">
        <v>29</v>
      </c>
      <c r="AC7" s="54">
        <v>69</v>
      </c>
      <c r="AD7" s="82">
        <f t="shared" si="6"/>
        <v>1050.7246376811593</v>
      </c>
      <c r="AE7" s="54">
        <v>80</v>
      </c>
      <c r="AF7" s="55">
        <f t="shared" si="11"/>
        <v>48.446133333333336</v>
      </c>
      <c r="AG7" s="54">
        <v>62</v>
      </c>
      <c r="AH7" s="54">
        <v>124</v>
      </c>
      <c r="AI7" s="82">
        <f t="shared" si="8"/>
        <v>7500</v>
      </c>
      <c r="AJ7" s="112">
        <v>2.15</v>
      </c>
    </row>
    <row r="8" spans="1:36">
      <c r="A8" s="47">
        <v>7</v>
      </c>
      <c r="B8" s="47">
        <f t="shared" si="0"/>
        <v>135.1</v>
      </c>
      <c r="C8" s="47">
        <v>10</v>
      </c>
      <c r="D8" s="47">
        <v>10</v>
      </c>
      <c r="E8" s="80">
        <f t="shared" si="1"/>
        <v>400</v>
      </c>
      <c r="F8" s="47">
        <v>19</v>
      </c>
      <c r="G8" s="47">
        <v>132.29999999999995</v>
      </c>
      <c r="H8" s="47">
        <v>31</v>
      </c>
      <c r="I8" s="47">
        <v>47</v>
      </c>
      <c r="J8" s="80">
        <f t="shared" si="2"/>
        <v>1648.9361702127658</v>
      </c>
      <c r="K8" s="47">
        <v>103</v>
      </c>
      <c r="L8" s="47">
        <f t="shared" si="12"/>
        <v>132.87</v>
      </c>
      <c r="M8" s="47">
        <v>24</v>
      </c>
      <c r="N8" s="47">
        <v>44</v>
      </c>
      <c r="O8" s="80">
        <f t="shared" si="4"/>
        <v>8181.8181818181811</v>
      </c>
      <c r="P8" s="106">
        <v>1.5569999999999999</v>
      </c>
      <c r="Q8" s="59"/>
      <c r="R8" s="59"/>
      <c r="S8" s="59"/>
      <c r="T8" s="59"/>
      <c r="U8" s="53">
        <v>6</v>
      </c>
      <c r="V8" s="54">
        <f t="shared" si="9"/>
        <v>57.300000000000004</v>
      </c>
      <c r="W8" s="54">
        <v>25</v>
      </c>
      <c r="X8" s="54">
        <v>38</v>
      </c>
      <c r="Y8" s="82">
        <f t="shared" si="10"/>
        <v>263.15789473684214</v>
      </c>
      <c r="Z8" s="54">
        <v>19</v>
      </c>
      <c r="AA8" s="54">
        <f t="shared" si="5"/>
        <v>57.949999999999996</v>
      </c>
      <c r="AB8" s="54">
        <v>38</v>
      </c>
      <c r="AC8" s="54">
        <v>56</v>
      </c>
      <c r="AD8" s="82">
        <f t="shared" si="6"/>
        <v>1696.4285714285716</v>
      </c>
      <c r="AE8" s="54">
        <v>95</v>
      </c>
      <c r="AF8" s="55">
        <f t="shared" si="11"/>
        <v>57.529783333333334</v>
      </c>
      <c r="AG8" s="54">
        <v>21</v>
      </c>
      <c r="AH8" s="54">
        <v>135</v>
      </c>
      <c r="AI8" s="82">
        <f t="shared" si="8"/>
        <v>2333.3333333333335</v>
      </c>
      <c r="AJ8" s="112">
        <v>1.008</v>
      </c>
    </row>
    <row r="9" spans="1:36">
      <c r="A9" s="47">
        <v>8</v>
      </c>
      <c r="B9" s="47">
        <f t="shared" si="0"/>
        <v>154.4</v>
      </c>
      <c r="C9" s="47">
        <v>20</v>
      </c>
      <c r="D9" s="47">
        <v>22</v>
      </c>
      <c r="E9" s="80">
        <f t="shared" si="1"/>
        <v>363.63636363636363</v>
      </c>
      <c r="F9" s="47">
        <v>22</v>
      </c>
      <c r="G9" s="47">
        <v>154.34999999999994</v>
      </c>
      <c r="H9" s="47">
        <v>62</v>
      </c>
      <c r="I9" s="47">
        <v>82</v>
      </c>
      <c r="J9" s="80">
        <f t="shared" si="2"/>
        <v>1890.2439024390244</v>
      </c>
      <c r="K9" s="47">
        <v>120</v>
      </c>
      <c r="L9" s="47">
        <f t="shared" si="12"/>
        <v>154.80000000000001</v>
      </c>
      <c r="M9" s="47">
        <v>20</v>
      </c>
      <c r="N9" s="47">
        <v>55</v>
      </c>
      <c r="O9" s="80">
        <f t="shared" si="4"/>
        <v>5454.545454545455</v>
      </c>
      <c r="P9" s="106">
        <v>1.381</v>
      </c>
      <c r="Q9" s="59"/>
      <c r="R9" s="59"/>
      <c r="S9" s="59"/>
      <c r="T9" s="59"/>
      <c r="U9" s="53">
        <v>7</v>
      </c>
      <c r="V9" s="54">
        <f t="shared" si="9"/>
        <v>66.850000000000009</v>
      </c>
      <c r="W9" s="54">
        <v>23</v>
      </c>
      <c r="X9" s="54">
        <v>25</v>
      </c>
      <c r="Y9" s="82">
        <f t="shared" si="10"/>
        <v>368</v>
      </c>
      <c r="Z9" s="53">
        <v>22</v>
      </c>
      <c r="AA9" s="54">
        <f t="shared" si="5"/>
        <v>67.099999999999994</v>
      </c>
      <c r="AB9" s="54">
        <v>44</v>
      </c>
      <c r="AC9" s="54">
        <v>85</v>
      </c>
      <c r="AD9" s="82">
        <f t="shared" si="6"/>
        <v>1294.1176470588236</v>
      </c>
      <c r="AE9" s="54">
        <v>111</v>
      </c>
      <c r="AF9" s="55">
        <f t="shared" si="11"/>
        <v>67.219009999999997</v>
      </c>
      <c r="AG9" s="54">
        <v>41</v>
      </c>
      <c r="AH9" s="54">
        <v>101</v>
      </c>
      <c r="AI9" s="82">
        <f t="shared" si="8"/>
        <v>6089.1089108910892</v>
      </c>
      <c r="AJ9" s="112">
        <v>1.2769999999999999</v>
      </c>
    </row>
    <row r="10" spans="1:36">
      <c r="A10" s="47">
        <v>9</v>
      </c>
      <c r="B10" s="47">
        <f t="shared" si="0"/>
        <v>173.70000000000002</v>
      </c>
      <c r="C10" s="47">
        <v>31</v>
      </c>
      <c r="D10" s="47">
        <v>31</v>
      </c>
      <c r="E10" s="80">
        <f t="shared" si="1"/>
        <v>400</v>
      </c>
      <c r="F10" s="47">
        <v>25</v>
      </c>
      <c r="G10" s="47">
        <v>176.39999999999992</v>
      </c>
      <c r="H10" s="47">
        <v>24</v>
      </c>
      <c r="I10" s="47">
        <v>44</v>
      </c>
      <c r="J10" s="80">
        <f t="shared" si="2"/>
        <v>1363.6363636363635</v>
      </c>
      <c r="K10" s="47">
        <v>137</v>
      </c>
      <c r="L10" s="47">
        <f t="shared" si="12"/>
        <v>176.73000000000002</v>
      </c>
      <c r="M10" s="47">
        <v>43</v>
      </c>
      <c r="N10" s="47">
        <v>103</v>
      </c>
      <c r="O10" s="80">
        <f t="shared" si="4"/>
        <v>6262.1359223300969</v>
      </c>
      <c r="P10" s="106">
        <v>1.4219999999999999</v>
      </c>
      <c r="Q10" s="59"/>
      <c r="R10" s="59"/>
      <c r="S10" s="59"/>
      <c r="T10" s="59"/>
      <c r="U10" s="53">
        <v>8</v>
      </c>
      <c r="V10" s="54">
        <f t="shared" si="9"/>
        <v>76.400000000000006</v>
      </c>
      <c r="W10" s="54">
        <v>15</v>
      </c>
      <c r="X10" s="54">
        <v>25</v>
      </c>
      <c r="Y10" s="82">
        <f t="shared" si="10"/>
        <v>240</v>
      </c>
      <c r="Z10" s="53">
        <v>25</v>
      </c>
      <c r="AA10" s="54">
        <f t="shared" si="5"/>
        <v>76.25</v>
      </c>
      <c r="AB10" s="54">
        <v>27</v>
      </c>
      <c r="AC10" s="54">
        <v>55</v>
      </c>
      <c r="AD10" s="82">
        <f t="shared" si="6"/>
        <v>1227.2727272727273</v>
      </c>
      <c r="AE10" s="54">
        <v>126</v>
      </c>
      <c r="AF10" s="55">
        <f t="shared" si="11"/>
        <v>76.302660000000003</v>
      </c>
      <c r="AG10" s="54">
        <v>57</v>
      </c>
      <c r="AH10" s="54">
        <v>117</v>
      </c>
      <c r="AI10" s="82">
        <f t="shared" si="8"/>
        <v>7307.6923076923076</v>
      </c>
      <c r="AJ10" s="112">
        <v>1.556</v>
      </c>
    </row>
    <row r="11" spans="1:36">
      <c r="A11" s="47">
        <v>10</v>
      </c>
      <c r="B11" s="47">
        <f t="shared" si="0"/>
        <v>193</v>
      </c>
      <c r="C11" s="47">
        <v>26</v>
      </c>
      <c r="D11" s="47">
        <v>25</v>
      </c>
      <c r="E11" s="80">
        <f t="shared" si="1"/>
        <v>416</v>
      </c>
      <c r="F11" s="46">
        <v>27</v>
      </c>
      <c r="G11" s="47">
        <v>191.09999999999991</v>
      </c>
      <c r="H11" s="47">
        <v>7</v>
      </c>
      <c r="I11" s="47">
        <v>19</v>
      </c>
      <c r="J11" s="80">
        <f t="shared" si="2"/>
        <v>921.05263157894728</v>
      </c>
      <c r="K11" s="47">
        <v>148</v>
      </c>
      <c r="L11" s="47">
        <f t="shared" si="12"/>
        <v>190.92000000000002</v>
      </c>
      <c r="M11" s="47">
        <v>34</v>
      </c>
      <c r="N11" s="47">
        <v>80</v>
      </c>
      <c r="O11" s="80">
        <f t="shared" si="4"/>
        <v>6375</v>
      </c>
      <c r="P11" s="106">
        <v>1.429</v>
      </c>
      <c r="Q11" s="59"/>
      <c r="R11" s="59"/>
      <c r="S11" s="59"/>
      <c r="T11" s="59"/>
      <c r="U11" s="53">
        <v>9</v>
      </c>
      <c r="V11" s="54">
        <f t="shared" si="9"/>
        <v>85.95</v>
      </c>
      <c r="W11" s="54">
        <v>15</v>
      </c>
      <c r="X11" s="54">
        <v>31</v>
      </c>
      <c r="Y11" s="82">
        <f t="shared" si="10"/>
        <v>193.54838709677421</v>
      </c>
      <c r="Z11" s="53">
        <v>28</v>
      </c>
      <c r="AA11" s="54">
        <f t="shared" si="5"/>
        <v>85.399999999999991</v>
      </c>
      <c r="AB11" s="54">
        <v>11</v>
      </c>
      <c r="AC11" s="54">
        <v>49</v>
      </c>
      <c r="AD11" s="82">
        <f t="shared" si="6"/>
        <v>561.22448979591832</v>
      </c>
      <c r="AE11" s="54">
        <v>141</v>
      </c>
      <c r="AF11" s="55">
        <f t="shared" ref="AF11:AF14" si="13">SUM(AE11*(181.673/300))</f>
        <v>85.386309999999995</v>
      </c>
      <c r="AG11" s="54">
        <v>32</v>
      </c>
      <c r="AH11" s="54">
        <v>99</v>
      </c>
      <c r="AI11" s="82">
        <f t="shared" si="8"/>
        <v>4848.484848484849</v>
      </c>
      <c r="AJ11" s="112">
        <v>1.4590000000000001</v>
      </c>
    </row>
    <row r="12" spans="1:36">
      <c r="A12" s="47">
        <v>11</v>
      </c>
      <c r="B12" s="47">
        <f t="shared" si="0"/>
        <v>212.3</v>
      </c>
      <c r="C12" s="47">
        <v>7</v>
      </c>
      <c r="D12" s="47">
        <v>13</v>
      </c>
      <c r="E12" s="80">
        <f t="shared" si="1"/>
        <v>215.38461538461539</v>
      </c>
      <c r="F12" s="46">
        <v>30</v>
      </c>
      <c r="G12" s="47">
        <v>213.14999999999989</v>
      </c>
      <c r="H12" s="47">
        <v>12</v>
      </c>
      <c r="I12" s="47">
        <v>27</v>
      </c>
      <c r="J12" s="80">
        <f t="shared" si="2"/>
        <v>1111.1111111111111</v>
      </c>
      <c r="K12" s="47">
        <v>165</v>
      </c>
      <c r="L12" s="47">
        <f t="shared" ref="L12:L15" si="14">SUM(K12*1.29)</f>
        <v>212.85</v>
      </c>
      <c r="M12" s="47">
        <v>29</v>
      </c>
      <c r="N12" s="47">
        <v>58</v>
      </c>
      <c r="O12" s="80">
        <f t="shared" si="4"/>
        <v>7500</v>
      </c>
      <c r="P12" s="106">
        <v>1.8320000000000001</v>
      </c>
      <c r="Q12" s="59"/>
      <c r="R12" s="59"/>
      <c r="S12" s="59"/>
      <c r="T12" s="59"/>
      <c r="U12" s="53">
        <v>10</v>
      </c>
      <c r="V12" s="54">
        <f t="shared" si="9"/>
        <v>95.5</v>
      </c>
      <c r="W12" s="54">
        <v>9</v>
      </c>
      <c r="X12" s="54">
        <v>19</v>
      </c>
      <c r="Y12" s="82">
        <f t="shared" si="10"/>
        <v>189.4736842105263</v>
      </c>
      <c r="Z12" s="53">
        <v>31</v>
      </c>
      <c r="AA12" s="54">
        <f t="shared" si="5"/>
        <v>94.55</v>
      </c>
      <c r="AB12" s="54">
        <v>18</v>
      </c>
      <c r="AC12" s="54">
        <v>36</v>
      </c>
      <c r="AD12" s="82">
        <f t="shared" si="6"/>
        <v>1250</v>
      </c>
      <c r="AE12" s="54">
        <v>156</v>
      </c>
      <c r="AF12" s="55">
        <f t="shared" si="13"/>
        <v>94.46996</v>
      </c>
      <c r="AG12" s="54">
        <v>63</v>
      </c>
      <c r="AH12" s="54">
        <v>107</v>
      </c>
      <c r="AI12" s="82">
        <f t="shared" si="8"/>
        <v>8831.7757009345787</v>
      </c>
      <c r="AJ12" s="112">
        <v>1.7509999999999999</v>
      </c>
    </row>
    <row r="13" spans="1:36">
      <c r="A13" s="47">
        <v>12</v>
      </c>
      <c r="B13" s="47">
        <f t="shared" si="0"/>
        <v>231.60000000000002</v>
      </c>
      <c r="C13" s="47">
        <v>12</v>
      </c>
      <c r="D13" s="47">
        <v>15</v>
      </c>
      <c r="E13" s="80">
        <f t="shared" si="1"/>
        <v>320</v>
      </c>
      <c r="F13" s="46">
        <v>32</v>
      </c>
      <c r="G13" s="47">
        <v>227.84999999999988</v>
      </c>
      <c r="H13" s="47">
        <v>22</v>
      </c>
      <c r="I13" s="47">
        <v>28</v>
      </c>
      <c r="J13" s="80">
        <f t="shared" si="2"/>
        <v>1964.2857142857142</v>
      </c>
      <c r="K13" s="47">
        <v>177</v>
      </c>
      <c r="L13" s="47">
        <f t="shared" si="14"/>
        <v>228.33</v>
      </c>
      <c r="M13" s="47">
        <v>7</v>
      </c>
      <c r="N13" s="47">
        <v>34</v>
      </c>
      <c r="O13" s="80">
        <f t="shared" si="4"/>
        <v>3088.2352941176468</v>
      </c>
      <c r="P13" s="106">
        <v>1.137</v>
      </c>
      <c r="Q13" s="59"/>
      <c r="R13" s="59"/>
      <c r="S13" s="59"/>
      <c r="T13" s="59"/>
      <c r="U13" s="53">
        <v>11</v>
      </c>
      <c r="V13" s="54">
        <f t="shared" si="9"/>
        <v>105.05000000000001</v>
      </c>
      <c r="W13" s="54">
        <v>11</v>
      </c>
      <c r="X13" s="54">
        <v>24</v>
      </c>
      <c r="Y13" s="82">
        <f t="shared" si="10"/>
        <v>183.33333333333331</v>
      </c>
      <c r="Z13" s="53">
        <v>35</v>
      </c>
      <c r="AA13" s="54">
        <f t="shared" si="5"/>
        <v>106.75</v>
      </c>
      <c r="AB13" s="54">
        <v>0</v>
      </c>
      <c r="AC13" s="54">
        <v>21</v>
      </c>
      <c r="AD13" s="82">
        <f t="shared" si="6"/>
        <v>0</v>
      </c>
      <c r="AE13" s="54">
        <v>176</v>
      </c>
      <c r="AF13" s="55">
        <f t="shared" si="13"/>
        <v>106.58149333333333</v>
      </c>
      <c r="AG13" s="54">
        <v>22</v>
      </c>
      <c r="AH13" s="54">
        <v>56</v>
      </c>
      <c r="AI13" s="82">
        <f t="shared" si="8"/>
        <v>5892.8571428571431</v>
      </c>
      <c r="AJ13" s="112"/>
    </row>
    <row r="14" spans="1:36">
      <c r="A14" s="47">
        <v>13</v>
      </c>
      <c r="B14" s="47">
        <f t="shared" si="0"/>
        <v>250.9</v>
      </c>
      <c r="C14" s="47">
        <v>12</v>
      </c>
      <c r="D14" s="47">
        <v>14</v>
      </c>
      <c r="E14" s="80">
        <f t="shared" si="1"/>
        <v>342.85714285714283</v>
      </c>
      <c r="F14" s="46">
        <v>35</v>
      </c>
      <c r="G14" s="47">
        <v>249.89999999999986</v>
      </c>
      <c r="H14" s="47">
        <v>23</v>
      </c>
      <c r="I14" s="47">
        <v>33</v>
      </c>
      <c r="J14" s="80">
        <f t="shared" si="2"/>
        <v>1742.4242424242425</v>
      </c>
      <c r="K14" s="47">
        <v>193</v>
      </c>
      <c r="L14" s="47">
        <f t="shared" si="14"/>
        <v>248.97</v>
      </c>
      <c r="M14" s="47">
        <v>3</v>
      </c>
      <c r="N14" s="47">
        <v>21</v>
      </c>
      <c r="O14" s="80">
        <f t="shared" si="4"/>
        <v>2142.8571428571427</v>
      </c>
      <c r="P14" s="106">
        <v>0.91300000000000003</v>
      </c>
      <c r="Q14" s="59"/>
      <c r="R14" s="59"/>
      <c r="S14" s="59"/>
      <c r="T14" s="59"/>
      <c r="U14" s="53">
        <v>12</v>
      </c>
      <c r="V14" s="54">
        <f t="shared" si="9"/>
        <v>114.60000000000001</v>
      </c>
      <c r="W14" s="54">
        <v>13</v>
      </c>
      <c r="X14" s="54">
        <v>15</v>
      </c>
      <c r="Y14" s="82">
        <f t="shared" si="10"/>
        <v>346.66666666666669</v>
      </c>
      <c r="Z14" s="53">
        <v>37</v>
      </c>
      <c r="AA14" s="54">
        <f t="shared" si="5"/>
        <v>112.85</v>
      </c>
      <c r="AB14" s="54">
        <v>8</v>
      </c>
      <c r="AC14" s="54">
        <v>22</v>
      </c>
      <c r="AD14" s="82">
        <f t="shared" si="6"/>
        <v>909.09090909090912</v>
      </c>
      <c r="AE14" s="54">
        <v>186</v>
      </c>
      <c r="AF14" s="55">
        <f t="shared" si="13"/>
        <v>112.63726</v>
      </c>
      <c r="AG14" s="54">
        <v>25</v>
      </c>
      <c r="AH14" s="54">
        <v>52</v>
      </c>
      <c r="AI14" s="82">
        <f t="shared" si="8"/>
        <v>7211.5384615384619</v>
      </c>
      <c r="AJ14" s="112">
        <v>1.3740000000000001</v>
      </c>
    </row>
    <row r="15" spans="1:36">
      <c r="A15" s="47">
        <v>14</v>
      </c>
      <c r="B15" s="47">
        <f t="shared" si="0"/>
        <v>270.2</v>
      </c>
      <c r="C15" s="47">
        <v>11</v>
      </c>
      <c r="D15" s="47">
        <v>11</v>
      </c>
      <c r="E15" s="80">
        <f t="shared" si="1"/>
        <v>400</v>
      </c>
      <c r="F15" s="46">
        <v>38</v>
      </c>
      <c r="G15" s="47">
        <v>271.94999999999993</v>
      </c>
      <c r="H15" s="47">
        <v>18</v>
      </c>
      <c r="I15" s="47">
        <v>23</v>
      </c>
      <c r="J15" s="80">
        <f t="shared" si="2"/>
        <v>1956.521739130435</v>
      </c>
      <c r="K15" s="47">
        <v>210</v>
      </c>
      <c r="L15" s="47">
        <f t="shared" si="14"/>
        <v>270.90000000000003</v>
      </c>
      <c r="M15" s="47">
        <v>11</v>
      </c>
      <c r="N15" s="47">
        <v>33</v>
      </c>
      <c r="O15" s="80">
        <f t="shared" si="4"/>
        <v>5000</v>
      </c>
      <c r="P15" s="106">
        <v>1.286</v>
      </c>
      <c r="Q15" s="59"/>
      <c r="R15" s="59"/>
      <c r="S15" s="59"/>
      <c r="T15" s="59"/>
      <c r="U15" s="53">
        <v>13</v>
      </c>
      <c r="V15" s="54">
        <f t="shared" si="9"/>
        <v>124.15</v>
      </c>
      <c r="W15" s="54">
        <v>17</v>
      </c>
      <c r="X15" s="54">
        <v>8</v>
      </c>
      <c r="Y15" s="82">
        <f t="shared" si="10"/>
        <v>850</v>
      </c>
      <c r="Z15" s="53">
        <v>40</v>
      </c>
      <c r="AA15" s="54">
        <f t="shared" si="5"/>
        <v>122</v>
      </c>
      <c r="AB15" s="54">
        <v>0</v>
      </c>
      <c r="AC15" s="54">
        <v>31</v>
      </c>
      <c r="AD15" s="82">
        <f t="shared" si="6"/>
        <v>0</v>
      </c>
      <c r="AE15" s="54">
        <v>202</v>
      </c>
      <c r="AF15" s="55">
        <f t="shared" ref="AF15:AF16" si="15">SUM(AE15*(181.673/300))</f>
        <v>122.32648666666667</v>
      </c>
      <c r="AG15" s="54">
        <v>0</v>
      </c>
      <c r="AH15" s="54">
        <v>39</v>
      </c>
      <c r="AI15" s="82">
        <f t="shared" si="8"/>
        <v>0</v>
      </c>
      <c r="AJ15" s="112"/>
    </row>
    <row r="16" spans="1:36">
      <c r="A16" s="47">
        <v>15</v>
      </c>
      <c r="B16" s="47">
        <f t="shared" si="0"/>
        <v>289.5</v>
      </c>
      <c r="C16" s="47">
        <v>14</v>
      </c>
      <c r="D16" s="47">
        <v>11</v>
      </c>
      <c r="E16" s="80">
        <f t="shared" si="1"/>
        <v>509.09090909090907</v>
      </c>
      <c r="F16" s="46">
        <v>40</v>
      </c>
      <c r="G16" s="47">
        <v>286.64999999999998</v>
      </c>
      <c r="H16" s="47">
        <v>21</v>
      </c>
      <c r="I16" s="47">
        <v>26</v>
      </c>
      <c r="J16" s="80">
        <f t="shared" si="2"/>
        <v>2019.2307692307693</v>
      </c>
      <c r="K16" s="47">
        <v>222</v>
      </c>
      <c r="L16" s="47">
        <f t="shared" ref="L16:L19" si="16">SUM(K16*1.29)</f>
        <v>286.38</v>
      </c>
      <c r="M16" s="47">
        <v>12</v>
      </c>
      <c r="N16" s="47">
        <v>19</v>
      </c>
      <c r="O16" s="80">
        <f t="shared" si="4"/>
        <v>9473.6842105263149</v>
      </c>
      <c r="P16" s="106">
        <v>1.508</v>
      </c>
      <c r="Q16" s="59"/>
      <c r="R16" s="59"/>
      <c r="S16" s="59"/>
      <c r="T16" s="59"/>
      <c r="U16" s="56">
        <v>14</v>
      </c>
      <c r="V16" s="57">
        <f t="shared" si="9"/>
        <v>133.70000000000002</v>
      </c>
      <c r="W16" s="57">
        <v>14</v>
      </c>
      <c r="X16" s="57">
        <v>8</v>
      </c>
      <c r="Y16" s="83">
        <f t="shared" si="10"/>
        <v>700</v>
      </c>
      <c r="Z16" s="56">
        <v>44</v>
      </c>
      <c r="AA16" s="57">
        <f t="shared" si="5"/>
        <v>134.19999999999999</v>
      </c>
      <c r="AB16" s="57">
        <v>14</v>
      </c>
      <c r="AC16" s="57">
        <v>43</v>
      </c>
      <c r="AD16" s="83">
        <f t="shared" si="6"/>
        <v>813.95348837209303</v>
      </c>
      <c r="AE16" s="57">
        <v>222</v>
      </c>
      <c r="AF16" s="58">
        <f t="shared" si="15"/>
        <v>134.43801999999999</v>
      </c>
      <c r="AG16" s="57">
        <v>22</v>
      </c>
      <c r="AH16" s="57">
        <v>41</v>
      </c>
      <c r="AI16" s="83">
        <f t="shared" si="8"/>
        <v>8048.7804878048782</v>
      </c>
      <c r="AJ16" s="113">
        <v>1.095</v>
      </c>
    </row>
    <row r="17" spans="1:36">
      <c r="A17" s="47">
        <v>16</v>
      </c>
      <c r="B17" s="47">
        <f t="shared" si="0"/>
        <v>308.8</v>
      </c>
      <c r="C17" s="47">
        <v>13</v>
      </c>
      <c r="D17" s="47">
        <v>15</v>
      </c>
      <c r="E17" s="80">
        <f t="shared" si="1"/>
        <v>346.66666666666669</v>
      </c>
      <c r="F17" s="46">
        <v>43</v>
      </c>
      <c r="G17" s="47">
        <v>308.70000000000005</v>
      </c>
      <c r="H17" s="47">
        <v>25</v>
      </c>
      <c r="I17" s="47">
        <v>36</v>
      </c>
      <c r="J17" s="80">
        <f t="shared" si="2"/>
        <v>1736.1111111111111</v>
      </c>
      <c r="K17" s="47">
        <v>239</v>
      </c>
      <c r="L17" s="47">
        <f t="shared" si="16"/>
        <v>308.31</v>
      </c>
      <c r="M17" s="47">
        <v>14</v>
      </c>
      <c r="N17" s="47">
        <v>39</v>
      </c>
      <c r="O17" s="80">
        <f t="shared" si="4"/>
        <v>5384.6153846153848</v>
      </c>
      <c r="P17" s="106">
        <v>1.401</v>
      </c>
      <c r="Q17" s="59"/>
      <c r="R17" s="59"/>
      <c r="S17" s="59"/>
      <c r="T17" s="59"/>
      <c r="U17" s="59"/>
      <c r="V17" s="59"/>
      <c r="W17" s="59"/>
      <c r="X17" s="59"/>
      <c r="Y17" s="59"/>
      <c r="AI17" s="50" t="s">
        <v>28</v>
      </c>
      <c r="AJ17" s="50">
        <f>SUM(AJ6:AJ16)/9</f>
        <v>1.5323333333333333</v>
      </c>
    </row>
    <row r="18" spans="1:36">
      <c r="A18" s="47">
        <v>17</v>
      </c>
      <c r="B18" s="47">
        <f t="shared" si="0"/>
        <v>328.1</v>
      </c>
      <c r="C18" s="47">
        <v>17</v>
      </c>
      <c r="D18" s="47">
        <v>17</v>
      </c>
      <c r="E18" s="80">
        <f t="shared" si="1"/>
        <v>400</v>
      </c>
      <c r="F18" s="46">
        <v>46</v>
      </c>
      <c r="G18" s="47">
        <v>330.75000000000011</v>
      </c>
      <c r="H18" s="47">
        <v>26</v>
      </c>
      <c r="I18" s="47">
        <v>32</v>
      </c>
      <c r="J18" s="80">
        <f t="shared" si="2"/>
        <v>2031.25</v>
      </c>
      <c r="K18" s="47">
        <v>256</v>
      </c>
      <c r="L18" s="47">
        <f t="shared" si="16"/>
        <v>330.24</v>
      </c>
      <c r="M18" s="47">
        <v>37</v>
      </c>
      <c r="N18" s="47">
        <v>58</v>
      </c>
      <c r="O18" s="80">
        <f t="shared" si="4"/>
        <v>9568.9655172413804</v>
      </c>
      <c r="P18" s="106">
        <v>1.401</v>
      </c>
      <c r="Q18" s="59"/>
      <c r="R18" s="59"/>
      <c r="S18" s="59"/>
      <c r="T18" s="59"/>
      <c r="U18" s="59"/>
      <c r="V18" s="59"/>
      <c r="W18" s="59"/>
      <c r="X18" s="59"/>
      <c r="Y18" s="59"/>
    </row>
    <row r="19" spans="1:36">
      <c r="A19" s="49">
        <v>18</v>
      </c>
      <c r="B19" s="49">
        <f t="shared" si="0"/>
        <v>347.40000000000003</v>
      </c>
      <c r="C19" s="49">
        <v>16</v>
      </c>
      <c r="D19" s="49">
        <v>15</v>
      </c>
      <c r="E19" s="81">
        <f t="shared" si="1"/>
        <v>426.66666666666669</v>
      </c>
      <c r="F19" s="48">
        <v>48</v>
      </c>
      <c r="G19" s="49">
        <v>345.45000000000016</v>
      </c>
      <c r="H19" s="49">
        <v>34</v>
      </c>
      <c r="I19" s="49">
        <v>28</v>
      </c>
      <c r="J19" s="81">
        <f t="shared" si="2"/>
        <v>3035.7142857142853</v>
      </c>
      <c r="K19" s="49">
        <v>268</v>
      </c>
      <c r="L19" s="49">
        <f t="shared" si="16"/>
        <v>345.72</v>
      </c>
      <c r="M19" s="49">
        <v>52</v>
      </c>
      <c r="N19" s="49">
        <v>53</v>
      </c>
      <c r="O19" s="81">
        <f t="shared" si="4"/>
        <v>14716.981132075472</v>
      </c>
      <c r="P19" s="107">
        <v>1.8140000000000001</v>
      </c>
      <c r="Q19" s="59"/>
      <c r="R19" s="59"/>
      <c r="S19" s="59"/>
      <c r="T19" s="59"/>
      <c r="U19" s="59"/>
      <c r="V19" s="59"/>
      <c r="W19" s="59"/>
      <c r="X19" s="59"/>
      <c r="Y19" s="59"/>
    </row>
    <row r="20" spans="1:36">
      <c r="C20">
        <f>SUM(C3:C19)</f>
        <v>249</v>
      </c>
      <c r="I20" s="59"/>
      <c r="O20" s="43" t="s">
        <v>28</v>
      </c>
      <c r="P20" s="43">
        <f>SUM(P4:P19)/16</f>
        <v>1.4291250000000002</v>
      </c>
      <c r="Q20" s="59"/>
      <c r="R20" s="59"/>
      <c r="S20" s="59"/>
      <c r="T20" s="59"/>
      <c r="U20" s="59"/>
      <c r="V20" s="59"/>
      <c r="W20" s="59"/>
      <c r="X20" s="59"/>
      <c r="Y20" s="59"/>
    </row>
    <row r="21" spans="1:36">
      <c r="A21" s="116"/>
      <c r="B21" s="117" t="s">
        <v>33</v>
      </c>
      <c r="C21" s="117" t="s">
        <v>40</v>
      </c>
      <c r="D21" s="117" t="s">
        <v>36</v>
      </c>
      <c r="E21" s="117" t="s">
        <v>35</v>
      </c>
      <c r="I21" s="72"/>
      <c r="Q21" s="59"/>
      <c r="R21" s="59"/>
      <c r="S21" s="59"/>
      <c r="T21" s="59"/>
      <c r="U21" s="124"/>
      <c r="V21" s="118" t="s">
        <v>33</v>
      </c>
      <c r="W21" s="118" t="s">
        <v>40</v>
      </c>
      <c r="X21" s="118" t="s">
        <v>36</v>
      </c>
      <c r="Y21" s="118" t="s">
        <v>35</v>
      </c>
    </row>
    <row r="22" spans="1:36">
      <c r="A22" s="117" t="s">
        <v>39</v>
      </c>
      <c r="B22" s="116">
        <v>598</v>
      </c>
      <c r="C22" s="116">
        <v>249</v>
      </c>
      <c r="D22" s="122">
        <f>SUM(C22/B22)*B27</f>
        <v>3331.1036789297659</v>
      </c>
      <c r="E22" s="128"/>
      <c r="I22" s="59"/>
      <c r="Q22" s="59"/>
      <c r="R22" s="59"/>
      <c r="S22" s="59"/>
      <c r="T22" s="59"/>
      <c r="U22" s="118" t="s">
        <v>39</v>
      </c>
      <c r="V22" s="124">
        <v>703</v>
      </c>
      <c r="W22" s="124">
        <v>266</v>
      </c>
      <c r="X22" s="125">
        <f>SUM(W22/V22)*V27</f>
        <v>3027.0270270270271</v>
      </c>
      <c r="Y22" s="119"/>
    </row>
    <row r="23" spans="1:36">
      <c r="A23" s="117" t="s">
        <v>31</v>
      </c>
      <c r="B23" s="116">
        <v>1778</v>
      </c>
      <c r="C23" s="116">
        <v>1239</v>
      </c>
      <c r="D23" s="123">
        <f>SUM(C23/B23)*B28</f>
        <v>87106.299212598416</v>
      </c>
      <c r="E23" s="130">
        <v>2.3210000000000002</v>
      </c>
      <c r="Q23" s="59"/>
      <c r="R23" s="59"/>
      <c r="S23" s="59"/>
      <c r="T23" s="59"/>
      <c r="U23" s="118" t="s">
        <v>31</v>
      </c>
      <c r="V23" s="124">
        <v>2995</v>
      </c>
      <c r="W23" s="124">
        <v>1404</v>
      </c>
      <c r="X23" s="131">
        <f>SUM(W23/V23)*V28</f>
        <v>58597.662771285475</v>
      </c>
      <c r="Y23" s="121">
        <v>2.1850000000000001</v>
      </c>
    </row>
    <row r="24" spans="1:36">
      <c r="A24" s="117" t="s">
        <v>32</v>
      </c>
      <c r="B24" s="116">
        <v>14275</v>
      </c>
      <c r="C24" s="116">
        <v>7028</v>
      </c>
      <c r="D24" s="122">
        <f>(C24/B24)*B29</f>
        <v>2215481.6112084063</v>
      </c>
      <c r="E24" s="129"/>
      <c r="Q24" s="59"/>
      <c r="R24" s="59"/>
      <c r="S24" s="59"/>
      <c r="T24" s="59"/>
      <c r="U24" s="118" t="s">
        <v>32</v>
      </c>
      <c r="V24" s="124">
        <v>29596</v>
      </c>
      <c r="W24" s="124">
        <v>8759</v>
      </c>
      <c r="X24" s="125">
        <f>SUM(W24/V24)*V29</f>
        <v>1331784.7006352211</v>
      </c>
      <c r="Y24" s="120"/>
    </row>
    <row r="25" spans="1:36">
      <c r="Q25" s="59"/>
      <c r="R25" s="59"/>
      <c r="S25" s="59"/>
      <c r="T25" s="59"/>
      <c r="U25" s="59"/>
      <c r="V25" s="59"/>
      <c r="W25" s="59"/>
      <c r="X25" s="59"/>
      <c r="Y25" s="59"/>
    </row>
    <row r="26" spans="1:36">
      <c r="A26" s="117"/>
      <c r="B26" s="117" t="s">
        <v>37</v>
      </c>
      <c r="C26" s="117" t="s">
        <v>38</v>
      </c>
      <c r="Q26" s="59"/>
      <c r="R26" s="59"/>
      <c r="S26" s="59"/>
      <c r="T26" s="59"/>
      <c r="U26" s="124"/>
      <c r="V26" s="118" t="s">
        <v>37</v>
      </c>
      <c r="W26" s="118" t="s">
        <v>38</v>
      </c>
      <c r="X26" s="59"/>
      <c r="Y26" s="59"/>
    </row>
    <row r="27" spans="1:36">
      <c r="A27" s="117" t="s">
        <v>30</v>
      </c>
      <c r="B27" s="126">
        <v>8000</v>
      </c>
      <c r="C27" s="126">
        <v>18.989999999999998</v>
      </c>
      <c r="Q27" s="59"/>
      <c r="R27" s="59"/>
      <c r="S27" s="59"/>
      <c r="T27" s="59"/>
      <c r="U27" s="118" t="s">
        <v>30</v>
      </c>
      <c r="V27" s="124">
        <v>8000</v>
      </c>
      <c r="W27" s="124">
        <v>9.08</v>
      </c>
      <c r="X27" s="59"/>
      <c r="Y27" s="59"/>
    </row>
    <row r="28" spans="1:36">
      <c r="A28" s="117" t="s">
        <v>31</v>
      </c>
      <c r="B28" s="126">
        <v>125000</v>
      </c>
      <c r="C28" s="126">
        <v>7.6</v>
      </c>
      <c r="Q28" s="59"/>
      <c r="R28" s="59"/>
      <c r="S28" s="59"/>
      <c r="T28" s="59"/>
      <c r="U28" s="118" t="s">
        <v>31</v>
      </c>
      <c r="V28" s="124">
        <v>125000</v>
      </c>
      <c r="W28" s="124">
        <v>3.63</v>
      </c>
      <c r="X28" s="59"/>
      <c r="Y28" s="59"/>
    </row>
    <row r="29" spans="1:36">
      <c r="A29" s="117" t="s">
        <v>32</v>
      </c>
      <c r="B29" s="126">
        <v>4500000</v>
      </c>
      <c r="C29" s="126">
        <v>1.27</v>
      </c>
      <c r="Q29" s="59"/>
      <c r="R29" s="59"/>
      <c r="S29" s="59"/>
      <c r="T29" s="59"/>
      <c r="U29" s="118" t="s">
        <v>32</v>
      </c>
      <c r="V29" s="124">
        <v>4500000</v>
      </c>
      <c r="W29" s="124">
        <v>0.61</v>
      </c>
      <c r="X29" s="59"/>
      <c r="Y29" s="59"/>
    </row>
    <row r="30" spans="1:36">
      <c r="Q30" s="59"/>
      <c r="R30" s="59"/>
      <c r="S30" s="59"/>
      <c r="T30" s="59"/>
      <c r="U30" s="59"/>
      <c r="V30" s="59"/>
      <c r="W30" s="59"/>
      <c r="X30" s="59"/>
      <c r="Y30" s="59"/>
    </row>
    <row r="31" spans="1:36">
      <c r="Q31" s="59"/>
      <c r="R31" s="59"/>
      <c r="S31" s="59"/>
      <c r="T31" s="59"/>
      <c r="U31" s="59"/>
      <c r="V31" s="59"/>
      <c r="W31" s="59"/>
      <c r="X31" s="59"/>
      <c r="Y31" s="59"/>
    </row>
    <row r="32" spans="1:36">
      <c r="Q32" s="59"/>
      <c r="R32" s="59"/>
      <c r="S32" s="59"/>
      <c r="T32" s="59"/>
      <c r="U32" s="59"/>
      <c r="V32" s="59"/>
      <c r="W32" s="59"/>
      <c r="X32" s="59"/>
      <c r="Y32" s="59"/>
    </row>
    <row r="33" spans="17:25">
      <c r="Q33" s="59"/>
      <c r="R33" s="59"/>
      <c r="S33" s="59"/>
      <c r="T33" s="59"/>
      <c r="U33" s="59"/>
      <c r="V33" s="59"/>
      <c r="W33" s="59"/>
      <c r="X33" s="59"/>
      <c r="Y33" s="59"/>
    </row>
    <row r="34" spans="17:25">
      <c r="Q34" s="59"/>
      <c r="R34" s="59"/>
      <c r="S34" s="59"/>
      <c r="T34" s="59"/>
      <c r="U34" s="59"/>
      <c r="V34" s="59"/>
      <c r="W34" s="59"/>
      <c r="X34" s="59"/>
      <c r="Y34" s="59"/>
    </row>
    <row r="35" spans="17:25">
      <c r="Q35" s="59"/>
      <c r="R35" s="59"/>
      <c r="S35" s="59"/>
      <c r="T35" s="59"/>
      <c r="U35" s="59"/>
      <c r="V35" s="59"/>
      <c r="W35" s="59"/>
      <c r="X35" s="59"/>
      <c r="Y35" s="59"/>
    </row>
    <row r="36" spans="17:25">
      <c r="Q36" s="59"/>
      <c r="R36" s="59"/>
      <c r="S36" s="59"/>
      <c r="T36" s="59"/>
      <c r="U36" s="59"/>
      <c r="V36" s="59"/>
      <c r="W36" s="59"/>
      <c r="X36" s="59"/>
      <c r="Y36" s="59"/>
    </row>
    <row r="37" spans="17:25">
      <c r="Q37" s="59"/>
      <c r="R37" s="59"/>
      <c r="S37" s="59"/>
      <c r="T37" s="59"/>
      <c r="U37" s="59"/>
      <c r="V37" s="59"/>
      <c r="W37" s="59"/>
      <c r="X37" s="59"/>
      <c r="Y37" s="59"/>
    </row>
    <row r="38" spans="17:25">
      <c r="Q38" s="59"/>
      <c r="R38" s="59"/>
      <c r="S38" s="59"/>
      <c r="T38" s="59"/>
      <c r="U38" s="59"/>
      <c r="V38" s="59"/>
      <c r="W38" s="59"/>
      <c r="X38" s="59"/>
      <c r="Y38" s="59"/>
    </row>
    <row r="39" spans="17:25">
      <c r="Q39" s="59"/>
      <c r="R39" s="59"/>
      <c r="S39" s="59"/>
      <c r="T39" s="59"/>
      <c r="U39" s="59"/>
      <c r="V39" s="59"/>
      <c r="W39" s="59"/>
      <c r="X39" s="59"/>
      <c r="Y39" s="59"/>
    </row>
    <row r="40" spans="17:25">
      <c r="Q40" s="59"/>
      <c r="R40" s="59"/>
      <c r="S40" s="59"/>
      <c r="T40" s="59"/>
      <c r="U40" s="59"/>
      <c r="V40" s="59"/>
      <c r="W40" s="59"/>
      <c r="X40" s="59"/>
      <c r="Y40" s="59"/>
    </row>
    <row r="41" spans="17:25">
      <c r="Q41" s="59"/>
      <c r="R41" s="59"/>
      <c r="S41" s="59"/>
      <c r="T41" s="59"/>
    </row>
    <row r="42" spans="17:25">
      <c r="Q42" s="59"/>
      <c r="R42" s="59"/>
      <c r="S42" s="59"/>
      <c r="T42" s="59"/>
    </row>
    <row r="43" spans="17:25">
      <c r="Q43" s="59"/>
      <c r="R43" s="59"/>
      <c r="S43" s="59"/>
      <c r="T43" s="59"/>
    </row>
    <row r="44" spans="17:25">
      <c r="Q44" s="59"/>
      <c r="R44" s="59"/>
      <c r="S44" s="59"/>
      <c r="T44" s="59"/>
    </row>
    <row r="45" spans="17:25">
      <c r="Q45" s="59"/>
      <c r="R45" s="59"/>
      <c r="S45" s="59"/>
      <c r="T45" s="59"/>
    </row>
    <row r="46" spans="17:25">
      <c r="Q46" s="59"/>
      <c r="R46" s="59"/>
      <c r="S46" s="59"/>
      <c r="T46" s="59"/>
    </row>
    <row r="47" spans="17:25">
      <c r="Q47" s="59"/>
      <c r="R47" s="59"/>
      <c r="S47" s="59"/>
      <c r="T47" s="5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W10" sqref="W10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D9"/>
  <sheetViews>
    <sheetView tabSelected="1" workbookViewId="0">
      <selection activeCell="D34" sqref="D34"/>
    </sheetView>
  </sheetViews>
  <sheetFormatPr defaultRowHeight="15"/>
  <cols>
    <col min="2" max="2" width="21.42578125" customWidth="1"/>
    <col min="3" max="3" width="24.42578125" customWidth="1"/>
    <col min="4" max="4" width="19.5703125" customWidth="1"/>
  </cols>
  <sheetData>
    <row r="2" spans="2:4">
      <c r="B2" s="117" t="s">
        <v>43</v>
      </c>
      <c r="C2" s="137" t="s">
        <v>44</v>
      </c>
      <c r="D2" s="132" t="s">
        <v>41</v>
      </c>
    </row>
    <row r="3" spans="2:4">
      <c r="B3" s="140" t="s">
        <v>42</v>
      </c>
      <c r="C3" s="138" t="s">
        <v>45</v>
      </c>
      <c r="D3" s="134">
        <v>1.9650000000000001</v>
      </c>
    </row>
    <row r="4" spans="2:4">
      <c r="B4" s="142"/>
      <c r="C4" s="143" t="s">
        <v>46</v>
      </c>
      <c r="D4" s="144">
        <v>2.3580000000000001</v>
      </c>
    </row>
    <row r="5" spans="2:4">
      <c r="B5" s="140" t="s">
        <v>47</v>
      </c>
      <c r="C5" s="133" t="s">
        <v>48</v>
      </c>
      <c r="D5" s="135">
        <v>2.109</v>
      </c>
    </row>
    <row r="6" spans="2:4">
      <c r="B6" s="140"/>
      <c r="C6" s="133" t="s">
        <v>49</v>
      </c>
      <c r="D6" s="135">
        <v>2.7149999999999999</v>
      </c>
    </row>
    <row r="7" spans="2:4">
      <c r="B7" s="142"/>
      <c r="C7" s="143" t="s">
        <v>50</v>
      </c>
      <c r="D7" s="144">
        <v>2.0659999999999998</v>
      </c>
    </row>
    <row r="8" spans="2:4">
      <c r="B8" s="140" t="s">
        <v>51</v>
      </c>
      <c r="C8" s="133" t="s">
        <v>52</v>
      </c>
      <c r="D8" s="135">
        <v>2.3210000000000002</v>
      </c>
    </row>
    <row r="9" spans="2:4">
      <c r="B9" s="141"/>
      <c r="C9" s="139" t="s">
        <v>53</v>
      </c>
      <c r="D9" s="136">
        <v>2.1850000000000001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Alltan na Bradhan</vt:lpstr>
      <vt:lpstr>Kinlochbervie</vt:lpstr>
      <vt:lpstr>Caolas Cumhann</vt:lpstr>
      <vt:lpstr>merged</vt:lpstr>
      <vt:lpstr>3D datatable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dgl3jcm1</cp:lastModifiedBy>
  <dcterms:created xsi:type="dcterms:W3CDTF">2011-09-25T13:39:38Z</dcterms:created>
  <dcterms:modified xsi:type="dcterms:W3CDTF">2011-10-25T14:00:47Z</dcterms:modified>
</cp:coreProperties>
</file>