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dc749d55a3739ad9/Documents/Durham/Masters/Writing/05.09.24 Onward/Thesis Draft/End Game/ThesisZip/"/>
    </mc:Choice>
  </mc:AlternateContent>
  <xr:revisionPtr revIDLastSave="1" documentId="8_{0E7B8E8B-01ED-4843-BCAC-758C50ECCD0E}" xr6:coauthVersionLast="47" xr6:coauthVersionMax="47" xr10:uidLastSave="{AF0DE0C5-C836-4B69-A474-0E0C004D1051}"/>
  <bookViews>
    <workbookView xWindow="-28920" yWindow="-120" windowWidth="29040" windowHeight="15840" xr2:uid="{50D3E84E-C70E-4187-8346-B0CFEF79A82F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4" i="1" l="1"/>
  <c r="P20" i="1"/>
  <c r="O20" i="1"/>
  <c r="Q20" i="1"/>
  <c r="O21" i="1"/>
  <c r="Q21" i="1"/>
  <c r="O22" i="1"/>
  <c r="Q22" i="1"/>
  <c r="O23" i="1"/>
  <c r="Q23" i="1"/>
  <c r="L31" i="1"/>
  <c r="K31" i="1"/>
  <c r="J31" i="1"/>
  <c r="I31" i="1"/>
  <c r="H31" i="1"/>
  <c r="G31" i="1"/>
  <c r="F31" i="1"/>
  <c r="E31" i="1"/>
  <c r="D31" i="1"/>
  <c r="C31" i="1"/>
  <c r="B31" i="1"/>
  <c r="N18" i="1"/>
  <c r="P14" i="1"/>
  <c r="O14" i="1"/>
  <c r="Q14" i="1"/>
  <c r="O15" i="1"/>
  <c r="Q15" i="1"/>
  <c r="O16" i="1"/>
  <c r="Q16" i="1"/>
  <c r="O17" i="1"/>
  <c r="Q17" i="1"/>
  <c r="L30" i="1"/>
  <c r="K30" i="1"/>
  <c r="J30" i="1"/>
  <c r="I30" i="1"/>
  <c r="H30" i="1"/>
  <c r="G30" i="1"/>
  <c r="F30" i="1"/>
  <c r="E30" i="1"/>
  <c r="D30" i="1"/>
  <c r="C30" i="1"/>
  <c r="B30" i="1"/>
  <c r="O24" i="1"/>
  <c r="O18" i="1"/>
  <c r="J7" i="1"/>
  <c r="C7" i="1"/>
  <c r="D7" i="1"/>
  <c r="E7" i="1"/>
  <c r="F7" i="1"/>
  <c r="G7" i="1"/>
  <c r="H7" i="1"/>
  <c r="I7" i="1"/>
  <c r="K7" i="1"/>
  <c r="L7" i="1"/>
  <c r="M7" i="1"/>
  <c r="N7" i="1"/>
  <c r="W7" i="1"/>
  <c r="BC7" i="1"/>
  <c r="BC9" i="1"/>
  <c r="BC13" i="1"/>
  <c r="BO13" i="1"/>
  <c r="DA13" i="1"/>
  <c r="DO13" i="1"/>
  <c r="R7" i="1"/>
  <c r="AV7" i="1"/>
  <c r="AV9" i="1"/>
  <c r="AV13" i="1"/>
  <c r="BQ13" i="1"/>
  <c r="X7" i="1"/>
  <c r="BB7" i="1"/>
  <c r="BB9" i="1"/>
  <c r="BB13" i="1"/>
  <c r="BS13" i="1"/>
  <c r="BU13" i="1"/>
  <c r="V7" i="1"/>
  <c r="BA7" i="1"/>
  <c r="BA9" i="1"/>
  <c r="BA13" i="1"/>
  <c r="Y7" i="1"/>
  <c r="BD7" i="1"/>
  <c r="BD9" i="1"/>
  <c r="BD13" i="1"/>
  <c r="BI13" i="1"/>
  <c r="Q7" i="1"/>
  <c r="AU7" i="1"/>
  <c r="AU9" i="1"/>
  <c r="AU13" i="1"/>
  <c r="T7" i="1"/>
  <c r="AY7" i="1"/>
  <c r="AY9" i="1"/>
  <c r="AY13" i="1"/>
  <c r="AB7" i="1"/>
  <c r="AD7" i="1"/>
  <c r="AX7" i="1"/>
  <c r="AX9" i="1"/>
  <c r="AX13" i="1"/>
  <c r="BG13" i="1"/>
  <c r="BJ13" i="1"/>
  <c r="BL13" i="1"/>
  <c r="BM13" i="1"/>
  <c r="CC13" i="1"/>
  <c r="DB13" i="1"/>
  <c r="DP13" i="1"/>
  <c r="DC13" i="1"/>
  <c r="DN13" i="1"/>
  <c r="EG13" i="1"/>
  <c r="EF13" i="1"/>
  <c r="EE13" i="1"/>
  <c r="P7" i="1"/>
  <c r="AT7" i="1"/>
  <c r="AT9" i="1"/>
  <c r="AT13" i="1"/>
  <c r="BP13" i="1"/>
  <c r="BT13" i="1"/>
  <c r="BV13" i="1"/>
  <c r="BW13" i="1"/>
  <c r="BZ13" i="1"/>
  <c r="CD13" i="1"/>
  <c r="CG13" i="1"/>
  <c r="CK13" i="1"/>
  <c r="CN13" i="1"/>
  <c r="BK13" i="1"/>
  <c r="AC7" i="1"/>
  <c r="AW7" i="1"/>
  <c r="AW9" i="1"/>
  <c r="AW13" i="1"/>
  <c r="CH13" i="1"/>
  <c r="CI13" i="1"/>
  <c r="U7" i="1"/>
  <c r="AZ7" i="1"/>
  <c r="AZ9" i="1"/>
  <c r="AZ13" i="1"/>
  <c r="CJ13" i="1"/>
  <c r="CL13" i="1"/>
  <c r="CV13" i="1"/>
  <c r="CM13" i="1"/>
  <c r="CU13" i="1"/>
  <c r="CW13" i="1"/>
  <c r="CX13" i="1"/>
  <c r="CZ13" i="1"/>
  <c r="DM13" i="1"/>
  <c r="EA13" i="1"/>
  <c r="DY13" i="1"/>
  <c r="EC13" i="1"/>
  <c r="DZ13" i="1"/>
  <c r="EB13" i="1"/>
  <c r="ED13" i="1"/>
  <c r="DL13" i="1"/>
  <c r="DX13" i="1"/>
  <c r="DK13" i="1"/>
  <c r="DW13" i="1"/>
  <c r="DI13" i="1"/>
  <c r="DV13" i="1"/>
  <c r="DH13" i="1"/>
  <c r="DU13" i="1"/>
  <c r="I6" i="1"/>
  <c r="C6" i="1"/>
  <c r="D6" i="1"/>
  <c r="E6" i="1"/>
  <c r="F6" i="1"/>
  <c r="G6" i="1"/>
  <c r="H6" i="1"/>
  <c r="J6" i="1"/>
  <c r="K6" i="1"/>
  <c r="L6" i="1"/>
  <c r="M6" i="1"/>
  <c r="N6" i="1"/>
  <c r="V6" i="1"/>
  <c r="BA6" i="1"/>
  <c r="BA8" i="1"/>
  <c r="BA12" i="1"/>
  <c r="Y6" i="1"/>
  <c r="BD6" i="1"/>
  <c r="BD8" i="1"/>
  <c r="BD12" i="1"/>
  <c r="BI12" i="1"/>
  <c r="Q6" i="1"/>
  <c r="AU6" i="1"/>
  <c r="AU8" i="1"/>
  <c r="AU12" i="1"/>
  <c r="T6" i="1"/>
  <c r="AY6" i="1"/>
  <c r="AY8" i="1"/>
  <c r="AY12" i="1"/>
  <c r="AB6" i="1"/>
  <c r="AD6" i="1"/>
  <c r="AX6" i="1"/>
  <c r="AX8" i="1"/>
  <c r="AX12" i="1"/>
  <c r="BG12" i="1"/>
  <c r="BJ12" i="1"/>
  <c r="BL12" i="1"/>
  <c r="BM12" i="1"/>
  <c r="R6" i="1"/>
  <c r="AV6" i="1"/>
  <c r="AV8" i="1"/>
  <c r="AV12" i="1"/>
  <c r="W6" i="1"/>
  <c r="BC6" i="1"/>
  <c r="BC8" i="1"/>
  <c r="BC12" i="1"/>
  <c r="BO12" i="1"/>
  <c r="BQ12" i="1"/>
  <c r="X6" i="1"/>
  <c r="BB6" i="1"/>
  <c r="BB8" i="1"/>
  <c r="BB12" i="1"/>
  <c r="BS12" i="1"/>
  <c r="BU12" i="1"/>
  <c r="CC12" i="1"/>
  <c r="CG12" i="1"/>
  <c r="CK12" i="1"/>
  <c r="CO13" i="1"/>
  <c r="CP13" i="1"/>
  <c r="DG13" i="1"/>
  <c r="DT13" i="1"/>
  <c r="DF13" i="1"/>
  <c r="DS13" i="1"/>
  <c r="CE13" i="1"/>
  <c r="CF13" i="1"/>
  <c r="DD13" i="1"/>
  <c r="DR13" i="1"/>
  <c r="BH13" i="1"/>
  <c r="CY13" i="1"/>
  <c r="DQ13" i="1"/>
  <c r="P6" i="1"/>
  <c r="AT6" i="1"/>
  <c r="AT8" i="1"/>
  <c r="AT12" i="1"/>
  <c r="BP12" i="1"/>
  <c r="BT12" i="1"/>
  <c r="BV12" i="1"/>
  <c r="BW12" i="1"/>
  <c r="BZ12" i="1"/>
  <c r="CD12" i="1"/>
  <c r="CN12" i="1"/>
  <c r="CQ13" i="1"/>
  <c r="BK12" i="1"/>
  <c r="AC6" i="1"/>
  <c r="AW6" i="1"/>
  <c r="AW8" i="1"/>
  <c r="AW12" i="1"/>
  <c r="CH12" i="1"/>
  <c r="CI12" i="1"/>
  <c r="U6" i="1"/>
  <c r="AZ6" i="1"/>
  <c r="AZ8" i="1"/>
  <c r="AZ12" i="1"/>
  <c r="CJ12" i="1"/>
  <c r="CL12" i="1"/>
  <c r="CS13" i="1"/>
  <c r="CM12" i="1"/>
  <c r="CR13" i="1"/>
  <c r="CT13" i="1"/>
  <c r="BX13" i="1"/>
  <c r="CA13" i="1"/>
  <c r="CB13" i="1"/>
  <c r="BY13" i="1"/>
  <c r="BR13" i="1"/>
  <c r="BN13" i="1"/>
  <c r="BE7" i="1"/>
  <c r="BE9" i="1"/>
  <c r="BE13" i="1"/>
  <c r="AS9" i="1"/>
  <c r="AS13" i="1"/>
  <c r="S7" i="1"/>
  <c r="Z7" i="1"/>
  <c r="AG7" i="1"/>
  <c r="AH7" i="1"/>
  <c r="AI7" i="1"/>
  <c r="AJ7" i="1"/>
  <c r="AK7" i="1"/>
  <c r="AL7" i="1"/>
  <c r="AM7" i="1"/>
  <c r="AN7" i="1"/>
  <c r="AO7" i="1"/>
  <c r="AP7" i="1"/>
  <c r="AQ7" i="1"/>
  <c r="AR7" i="1"/>
  <c r="AR9" i="1"/>
  <c r="AR13" i="1"/>
  <c r="AQ9" i="1"/>
  <c r="AQ13" i="1"/>
  <c r="AP9" i="1"/>
  <c r="AP13" i="1"/>
  <c r="AO9" i="1"/>
  <c r="AO13" i="1"/>
  <c r="AN9" i="1"/>
  <c r="AN13" i="1"/>
  <c r="AM9" i="1"/>
  <c r="AM13" i="1"/>
  <c r="AL9" i="1"/>
  <c r="AL13" i="1"/>
  <c r="AK9" i="1"/>
  <c r="AK13" i="1"/>
  <c r="AJ9" i="1"/>
  <c r="AJ13" i="1"/>
  <c r="AI9" i="1"/>
  <c r="AI13" i="1"/>
  <c r="AH9" i="1"/>
  <c r="AH13" i="1"/>
  <c r="AG9" i="1"/>
  <c r="AG13" i="1"/>
  <c r="DA12" i="1"/>
  <c r="DO12" i="1"/>
  <c r="DB12" i="1"/>
  <c r="DP12" i="1"/>
  <c r="DC12" i="1"/>
  <c r="DN12" i="1"/>
  <c r="EG12" i="1"/>
  <c r="EF12" i="1"/>
  <c r="EE12" i="1"/>
  <c r="CV12" i="1"/>
  <c r="CU12" i="1"/>
  <c r="CW12" i="1"/>
  <c r="CX12" i="1"/>
  <c r="CZ12" i="1"/>
  <c r="DM12" i="1"/>
  <c r="EA12" i="1"/>
  <c r="DY12" i="1"/>
  <c r="EC12" i="1"/>
  <c r="DZ12" i="1"/>
  <c r="EB12" i="1"/>
  <c r="ED12" i="1"/>
  <c r="DL12" i="1"/>
  <c r="DX12" i="1"/>
  <c r="DK12" i="1"/>
  <c r="DW12" i="1"/>
  <c r="DI12" i="1"/>
  <c r="DV12" i="1"/>
  <c r="DH12" i="1"/>
  <c r="DU12" i="1"/>
  <c r="BI9" i="1"/>
  <c r="BM9" i="1"/>
  <c r="BO9" i="1"/>
  <c r="BQ9" i="1"/>
  <c r="BS9" i="1"/>
  <c r="BU9" i="1"/>
  <c r="CC9" i="1"/>
  <c r="CG9" i="1"/>
  <c r="BI7" i="1"/>
  <c r="BG7" i="1"/>
  <c r="BJ7" i="1"/>
  <c r="BL7" i="1"/>
  <c r="BM7" i="1"/>
  <c r="BO7" i="1"/>
  <c r="BQ7" i="1"/>
  <c r="BS7" i="1"/>
  <c r="BU7" i="1"/>
  <c r="CC7" i="1"/>
  <c r="CG7" i="1"/>
  <c r="CG11" i="1"/>
  <c r="CK9" i="1"/>
  <c r="CK7" i="1"/>
  <c r="CK11" i="1"/>
  <c r="CO12" i="1"/>
  <c r="CP12" i="1"/>
  <c r="DG12" i="1"/>
  <c r="DT12" i="1"/>
  <c r="DF12" i="1"/>
  <c r="DS12" i="1"/>
  <c r="CE12" i="1"/>
  <c r="CF12" i="1"/>
  <c r="DD12" i="1"/>
  <c r="DR12" i="1"/>
  <c r="BH12" i="1"/>
  <c r="CY12" i="1"/>
  <c r="DQ12" i="1"/>
  <c r="BP9" i="1"/>
  <c r="BT9" i="1"/>
  <c r="BV9" i="1"/>
  <c r="BW9" i="1"/>
  <c r="BZ9" i="1"/>
  <c r="CD9" i="1"/>
  <c r="CN9" i="1"/>
  <c r="BP7" i="1"/>
  <c r="BT7" i="1"/>
  <c r="BV7" i="1"/>
  <c r="BW7" i="1"/>
  <c r="BZ7" i="1"/>
  <c r="CD7" i="1"/>
  <c r="CN7" i="1"/>
  <c r="CN11" i="1"/>
  <c r="CQ12" i="1"/>
  <c r="BG9" i="1"/>
  <c r="BJ9" i="1"/>
  <c r="BK9" i="1"/>
  <c r="CH9" i="1"/>
  <c r="CI9" i="1"/>
  <c r="CJ9" i="1"/>
  <c r="CL9" i="1"/>
  <c r="BK7" i="1"/>
  <c r="CH7" i="1"/>
  <c r="CI7" i="1"/>
  <c r="CJ7" i="1"/>
  <c r="CL7" i="1"/>
  <c r="CL11" i="1"/>
  <c r="CS12" i="1"/>
  <c r="CM9" i="1"/>
  <c r="CM7" i="1"/>
  <c r="CM11" i="1"/>
  <c r="CR12" i="1"/>
  <c r="CT12" i="1"/>
  <c r="BX12" i="1"/>
  <c r="CA12" i="1"/>
  <c r="CB12" i="1"/>
  <c r="BY12" i="1"/>
  <c r="BR12" i="1"/>
  <c r="BN12" i="1"/>
  <c r="BE6" i="1"/>
  <c r="BE8" i="1"/>
  <c r="BE12" i="1"/>
  <c r="AS8" i="1"/>
  <c r="AS12" i="1"/>
  <c r="S6" i="1"/>
  <c r="Z6" i="1"/>
  <c r="AG6" i="1"/>
  <c r="AH6" i="1"/>
  <c r="AI6" i="1"/>
  <c r="AJ6" i="1"/>
  <c r="AK6" i="1"/>
  <c r="AL6" i="1"/>
  <c r="AM6" i="1"/>
  <c r="AN6" i="1"/>
  <c r="AO6" i="1"/>
  <c r="AP6" i="1"/>
  <c r="AQ6" i="1"/>
  <c r="AR6" i="1"/>
  <c r="AR8" i="1"/>
  <c r="AR12" i="1"/>
  <c r="AQ8" i="1"/>
  <c r="AQ12" i="1"/>
  <c r="AP8" i="1"/>
  <c r="AP12" i="1"/>
  <c r="AO8" i="1"/>
  <c r="AO12" i="1"/>
  <c r="AN8" i="1"/>
  <c r="AN12" i="1"/>
  <c r="AM8" i="1"/>
  <c r="AM12" i="1"/>
  <c r="AL8" i="1"/>
  <c r="AL12" i="1"/>
  <c r="AK8" i="1"/>
  <c r="AK12" i="1"/>
  <c r="AJ8" i="1"/>
  <c r="AJ12" i="1"/>
  <c r="AI8" i="1"/>
  <c r="AI12" i="1"/>
  <c r="AH8" i="1"/>
  <c r="AH12" i="1"/>
  <c r="AG8" i="1"/>
  <c r="AG12" i="1"/>
  <c r="DA9" i="1"/>
  <c r="DO9" i="1"/>
  <c r="DB9" i="1"/>
  <c r="DP9" i="1"/>
  <c r="DC9" i="1"/>
  <c r="DN9" i="1"/>
  <c r="EG9" i="1"/>
  <c r="DA7" i="1"/>
  <c r="DO7" i="1"/>
  <c r="DB7" i="1"/>
  <c r="DP7" i="1"/>
  <c r="DC7" i="1"/>
  <c r="DN7" i="1"/>
  <c r="EG7" i="1"/>
  <c r="EG11" i="1"/>
  <c r="EF9" i="1"/>
  <c r="EF7" i="1"/>
  <c r="EF11" i="1"/>
  <c r="EE9" i="1"/>
  <c r="EE7" i="1"/>
  <c r="EE11" i="1"/>
  <c r="CV9" i="1"/>
  <c r="CU9" i="1"/>
  <c r="CW9" i="1"/>
  <c r="CX9" i="1"/>
  <c r="CZ9" i="1"/>
  <c r="DM9" i="1"/>
  <c r="EA9" i="1"/>
  <c r="DY9" i="1"/>
  <c r="EC9" i="1"/>
  <c r="DZ9" i="1"/>
  <c r="EB9" i="1"/>
  <c r="ED9" i="1"/>
  <c r="CV7" i="1"/>
  <c r="CU7" i="1"/>
  <c r="CW7" i="1"/>
  <c r="CX7" i="1"/>
  <c r="CZ7" i="1"/>
  <c r="DM7" i="1"/>
  <c r="EA7" i="1"/>
  <c r="DY7" i="1"/>
  <c r="EC7" i="1"/>
  <c r="DZ7" i="1"/>
  <c r="EB7" i="1"/>
  <c r="ED7" i="1"/>
  <c r="ED11" i="1"/>
  <c r="EC11" i="1"/>
  <c r="EB11" i="1"/>
  <c r="EA11" i="1"/>
  <c r="DZ11" i="1"/>
  <c r="DY11" i="1"/>
  <c r="DL9" i="1"/>
  <c r="DX9" i="1"/>
  <c r="DL7" i="1"/>
  <c r="DX7" i="1"/>
  <c r="DX11" i="1"/>
  <c r="DK9" i="1"/>
  <c r="DW9" i="1"/>
  <c r="DK7" i="1"/>
  <c r="DW7" i="1"/>
  <c r="DW11" i="1"/>
  <c r="DI9" i="1"/>
  <c r="DV9" i="1"/>
  <c r="DI7" i="1"/>
  <c r="DV7" i="1"/>
  <c r="DV11" i="1"/>
  <c r="DH9" i="1"/>
  <c r="DU9" i="1"/>
  <c r="DH7" i="1"/>
  <c r="DU7" i="1"/>
  <c r="DU11" i="1"/>
  <c r="BI8" i="1"/>
  <c r="BM8" i="1"/>
  <c r="BO8" i="1"/>
  <c r="BQ8" i="1"/>
  <c r="BS8" i="1"/>
  <c r="BU8" i="1"/>
  <c r="CC8" i="1"/>
  <c r="CG8" i="1"/>
  <c r="CK8" i="1"/>
  <c r="CO9" i="1"/>
  <c r="CP9" i="1"/>
  <c r="DG9" i="1"/>
  <c r="DT9" i="1"/>
  <c r="BI6" i="1"/>
  <c r="BG6" i="1"/>
  <c r="BJ6" i="1"/>
  <c r="BL6" i="1"/>
  <c r="BM6" i="1"/>
  <c r="BO6" i="1"/>
  <c r="BQ6" i="1"/>
  <c r="BS6" i="1"/>
  <c r="BU6" i="1"/>
  <c r="CC6" i="1"/>
  <c r="CG6" i="1"/>
  <c r="CK6" i="1"/>
  <c r="CO7" i="1"/>
  <c r="CP7" i="1"/>
  <c r="DG7" i="1"/>
  <c r="DT7" i="1"/>
  <c r="DT11" i="1"/>
  <c r="DF9" i="1"/>
  <c r="DS9" i="1"/>
  <c r="DF7" i="1"/>
  <c r="DS7" i="1"/>
  <c r="DS11" i="1"/>
  <c r="CE9" i="1"/>
  <c r="CF9" i="1"/>
  <c r="DD9" i="1"/>
  <c r="DR9" i="1"/>
  <c r="CE7" i="1"/>
  <c r="CF7" i="1"/>
  <c r="DD7" i="1"/>
  <c r="DR7" i="1"/>
  <c r="DR11" i="1"/>
  <c r="BH9" i="1"/>
  <c r="CY9" i="1"/>
  <c r="DQ9" i="1"/>
  <c r="BH7" i="1"/>
  <c r="CY7" i="1"/>
  <c r="DQ7" i="1"/>
  <c r="DQ11" i="1"/>
  <c r="DP11" i="1"/>
  <c r="DO11" i="1"/>
  <c r="DN11" i="1"/>
  <c r="DM11" i="1"/>
  <c r="DL11" i="1"/>
  <c r="DK11" i="1"/>
  <c r="DJ11" i="1"/>
  <c r="DI11" i="1"/>
  <c r="DH11" i="1"/>
  <c r="DG11" i="1"/>
  <c r="DF11" i="1"/>
  <c r="DE11" i="1"/>
  <c r="DD11" i="1"/>
  <c r="DC11" i="1"/>
  <c r="DB11" i="1"/>
  <c r="DA11" i="1"/>
  <c r="CZ11" i="1"/>
  <c r="CY11" i="1"/>
  <c r="CX11" i="1"/>
  <c r="CW11" i="1"/>
  <c r="CV11" i="1"/>
  <c r="CU11" i="1"/>
  <c r="BP8" i="1"/>
  <c r="BT8" i="1"/>
  <c r="BV8" i="1"/>
  <c r="BW8" i="1"/>
  <c r="BZ8" i="1"/>
  <c r="CD8" i="1"/>
  <c r="CN8" i="1"/>
  <c r="CQ9" i="1"/>
  <c r="BG8" i="1"/>
  <c r="BJ8" i="1"/>
  <c r="BK8" i="1"/>
  <c r="CH8" i="1"/>
  <c r="CI8" i="1"/>
  <c r="CJ8" i="1"/>
  <c r="CL8" i="1"/>
  <c r="CS9" i="1"/>
  <c r="CM8" i="1"/>
  <c r="CR9" i="1"/>
  <c r="CT9" i="1"/>
  <c r="BP6" i="1"/>
  <c r="BT6" i="1"/>
  <c r="BV6" i="1"/>
  <c r="BW6" i="1"/>
  <c r="BZ6" i="1"/>
  <c r="CD6" i="1"/>
  <c r="CN6" i="1"/>
  <c r="CQ7" i="1"/>
  <c r="BK6" i="1"/>
  <c r="CH6" i="1"/>
  <c r="CI6" i="1"/>
  <c r="CJ6" i="1"/>
  <c r="CL6" i="1"/>
  <c r="CS7" i="1"/>
  <c r="CM6" i="1"/>
  <c r="CR7" i="1"/>
  <c r="CT7" i="1"/>
  <c r="CT11" i="1"/>
  <c r="CS11" i="1"/>
  <c r="CR11" i="1"/>
  <c r="CQ11" i="1"/>
  <c r="CP11" i="1"/>
  <c r="CO11" i="1"/>
  <c r="CJ11" i="1"/>
  <c r="CI11" i="1"/>
  <c r="CH11" i="1"/>
  <c r="CF11" i="1"/>
  <c r="CE11" i="1"/>
  <c r="CD11" i="1"/>
  <c r="CC11" i="1"/>
  <c r="BX9" i="1"/>
  <c r="CA9" i="1"/>
  <c r="CB9" i="1"/>
  <c r="BX7" i="1"/>
  <c r="CA7" i="1"/>
  <c r="CB7" i="1"/>
  <c r="CB11" i="1"/>
  <c r="CA11" i="1"/>
  <c r="BZ11" i="1"/>
  <c r="BY9" i="1"/>
  <c r="BY7" i="1"/>
  <c r="BY11" i="1"/>
  <c r="BX11" i="1"/>
  <c r="BW11" i="1"/>
  <c r="BV11" i="1"/>
  <c r="BU11" i="1"/>
  <c r="BT11" i="1"/>
  <c r="BS11" i="1"/>
  <c r="BR9" i="1"/>
  <c r="BR7" i="1"/>
  <c r="BR11" i="1"/>
  <c r="BQ11" i="1"/>
  <c r="BP11" i="1"/>
  <c r="BO11" i="1"/>
  <c r="BN9" i="1"/>
  <c r="BN7" i="1"/>
  <c r="BN11" i="1"/>
  <c r="BM11" i="1"/>
  <c r="BL11" i="1"/>
  <c r="BK11" i="1"/>
  <c r="BJ11" i="1"/>
  <c r="BI11" i="1"/>
  <c r="BH11" i="1"/>
  <c r="BG11" i="1"/>
  <c r="DA8" i="1"/>
  <c r="DO8" i="1"/>
  <c r="DB8" i="1"/>
  <c r="DP8" i="1"/>
  <c r="DC8" i="1"/>
  <c r="DN8" i="1"/>
  <c r="EG8" i="1"/>
  <c r="DA6" i="1"/>
  <c r="DO6" i="1"/>
  <c r="DB6" i="1"/>
  <c r="DP6" i="1"/>
  <c r="DC6" i="1"/>
  <c r="DN6" i="1"/>
  <c r="EG6" i="1"/>
  <c r="EG10" i="1"/>
  <c r="EF8" i="1"/>
  <c r="EF6" i="1"/>
  <c r="EF10" i="1"/>
  <c r="EE8" i="1"/>
  <c r="EE6" i="1"/>
  <c r="EE10" i="1"/>
  <c r="CV8" i="1"/>
  <c r="CU8" i="1"/>
  <c r="CW8" i="1"/>
  <c r="CX8" i="1"/>
  <c r="CZ8" i="1"/>
  <c r="DM8" i="1"/>
  <c r="EA8" i="1"/>
  <c r="DY8" i="1"/>
  <c r="EC8" i="1"/>
  <c r="DZ8" i="1"/>
  <c r="EB8" i="1"/>
  <c r="ED8" i="1"/>
  <c r="CV6" i="1"/>
  <c r="CU6" i="1"/>
  <c r="CW6" i="1"/>
  <c r="CX6" i="1"/>
  <c r="CZ6" i="1"/>
  <c r="DM6" i="1"/>
  <c r="EA6" i="1"/>
  <c r="DY6" i="1"/>
  <c r="EC6" i="1"/>
  <c r="DZ6" i="1"/>
  <c r="EB6" i="1"/>
  <c r="ED6" i="1"/>
  <c r="ED10" i="1"/>
  <c r="EC10" i="1"/>
  <c r="EB10" i="1"/>
  <c r="EA10" i="1"/>
  <c r="DZ10" i="1"/>
  <c r="DY10" i="1"/>
  <c r="DL8" i="1"/>
  <c r="DX8" i="1"/>
  <c r="DL6" i="1"/>
  <c r="DX6" i="1"/>
  <c r="DX10" i="1"/>
  <c r="DK8" i="1"/>
  <c r="DW8" i="1"/>
  <c r="DK6" i="1"/>
  <c r="DW6" i="1"/>
  <c r="DW10" i="1"/>
  <c r="DI8" i="1"/>
  <c r="DV8" i="1"/>
  <c r="DI6" i="1"/>
  <c r="DV6" i="1"/>
  <c r="DV10" i="1"/>
  <c r="DH8" i="1"/>
  <c r="DU8" i="1"/>
  <c r="DH6" i="1"/>
  <c r="DU6" i="1"/>
  <c r="DU10" i="1"/>
  <c r="CO8" i="1"/>
  <c r="CP8" i="1"/>
  <c r="DG8" i="1"/>
  <c r="DT8" i="1"/>
  <c r="CO6" i="1"/>
  <c r="CP6" i="1"/>
  <c r="DG6" i="1"/>
  <c r="DT6" i="1"/>
  <c r="DT10" i="1"/>
  <c r="DF8" i="1"/>
  <c r="DS8" i="1"/>
  <c r="DF6" i="1"/>
  <c r="DS6" i="1"/>
  <c r="DS10" i="1"/>
  <c r="CE8" i="1"/>
  <c r="CF8" i="1"/>
  <c r="DD8" i="1"/>
  <c r="DR8" i="1"/>
  <c r="CE6" i="1"/>
  <c r="CF6" i="1"/>
  <c r="DD6" i="1"/>
  <c r="DR6" i="1"/>
  <c r="DR10" i="1"/>
  <c r="BH8" i="1"/>
  <c r="CY8" i="1"/>
  <c r="DQ8" i="1"/>
  <c r="BH6" i="1"/>
  <c r="CY6" i="1"/>
  <c r="DQ6" i="1"/>
  <c r="DQ10" i="1"/>
  <c r="DP10" i="1"/>
  <c r="DO10" i="1"/>
  <c r="DN10" i="1"/>
  <c r="DM10" i="1"/>
  <c r="DL10" i="1"/>
  <c r="DK10" i="1"/>
  <c r="DJ10" i="1"/>
  <c r="DI10" i="1"/>
  <c r="DH10" i="1"/>
  <c r="DG10" i="1"/>
  <c r="DF10" i="1"/>
  <c r="DE10" i="1"/>
  <c r="DD10" i="1"/>
  <c r="DC10" i="1"/>
  <c r="DB10" i="1"/>
  <c r="DA10" i="1"/>
  <c r="CZ10" i="1"/>
  <c r="CY10" i="1"/>
  <c r="CX10" i="1"/>
  <c r="CW10" i="1"/>
  <c r="CV10" i="1"/>
  <c r="CU10" i="1"/>
  <c r="CQ8" i="1"/>
  <c r="CS8" i="1"/>
  <c r="CR8" i="1"/>
  <c r="CT8" i="1"/>
  <c r="CQ6" i="1"/>
  <c r="CS6" i="1"/>
  <c r="CR6" i="1"/>
  <c r="CT6" i="1"/>
  <c r="CT10" i="1"/>
  <c r="CS10" i="1"/>
  <c r="CR10" i="1"/>
  <c r="CQ10" i="1"/>
  <c r="CP10" i="1"/>
  <c r="CO10" i="1"/>
  <c r="CN10" i="1"/>
  <c r="CM10" i="1"/>
  <c r="CL10" i="1"/>
  <c r="CK10" i="1"/>
  <c r="CJ10" i="1"/>
  <c r="CI10" i="1"/>
  <c r="CH10" i="1"/>
  <c r="CG10" i="1"/>
  <c r="CF10" i="1"/>
  <c r="CE10" i="1"/>
  <c r="CD10" i="1"/>
  <c r="CC10" i="1"/>
  <c r="BX8" i="1"/>
  <c r="CA8" i="1"/>
  <c r="CB8" i="1"/>
  <c r="BX6" i="1"/>
  <c r="CA6" i="1"/>
  <c r="CB6" i="1"/>
  <c r="CB10" i="1"/>
  <c r="CA10" i="1"/>
  <c r="BZ10" i="1"/>
  <c r="BY8" i="1"/>
  <c r="BY6" i="1"/>
  <c r="BY10" i="1"/>
  <c r="BX10" i="1"/>
  <c r="BW10" i="1"/>
  <c r="BV10" i="1"/>
  <c r="BU10" i="1"/>
  <c r="BT10" i="1"/>
  <c r="BS10" i="1"/>
  <c r="BR8" i="1"/>
  <c r="BR6" i="1"/>
  <c r="BR10" i="1"/>
  <c r="BQ10" i="1"/>
  <c r="BP10" i="1"/>
  <c r="BO10" i="1"/>
  <c r="BN8" i="1"/>
  <c r="BN6" i="1"/>
  <c r="BN10" i="1"/>
  <c r="BM10" i="1"/>
  <c r="BL10" i="1"/>
  <c r="BK10" i="1"/>
  <c r="BJ10" i="1"/>
  <c r="BI10" i="1"/>
  <c r="BH10" i="1"/>
  <c r="BG10" i="1"/>
  <c r="AE7" i="1"/>
  <c r="AE6" i="1"/>
  <c r="CS5" i="1"/>
  <c r="CR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jfsv57</author>
  </authors>
  <commentList>
    <comment ref="BH5" authorId="0" shapeId="0" xr:uid="{B7BA4337-CB9A-4EA2-A082-83B80331E975}">
      <text>
        <r>
          <rPr>
            <b/>
            <sz val="9"/>
            <color indexed="81"/>
            <rFont val="Tahoma"/>
            <charset val="1"/>
          </rPr>
          <t>jfsv57: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BF8" authorId="0" shapeId="0" xr:uid="{8D9792E0-541B-460B-9AF3-F3D43743DB67}">
      <text>
        <r>
          <rPr>
            <b/>
            <sz val="9"/>
            <color indexed="81"/>
            <rFont val="Tahoma"/>
            <charset val="1"/>
          </rPr>
          <t>jfsv57:</t>
        </r>
        <r>
          <rPr>
            <sz val="9"/>
            <color indexed="81"/>
            <rFont val="Tahoma"/>
            <charset val="1"/>
          </rPr>
          <t xml:space="preserve">
these are where I input my own numbers to compare
</t>
        </r>
      </text>
    </comment>
    <comment ref="BH8" authorId="0" shapeId="0" xr:uid="{F60EEC29-8A84-4544-BC88-DBF872E62E97}">
      <text>
        <r>
          <rPr>
            <b/>
            <sz val="9"/>
            <color indexed="81"/>
            <rFont val="Tahoma"/>
            <family val="2"/>
          </rPr>
          <t>jfsv57:</t>
        </r>
        <r>
          <rPr>
            <sz val="9"/>
            <color indexed="81"/>
            <rFont val="Tahoma"/>
            <family val="2"/>
          </rPr>
          <t xml:space="preserve">
my own numbers</t>
        </r>
      </text>
    </comment>
    <comment ref="BL8" authorId="0" shapeId="0" xr:uid="{462580D3-95CA-4895-87F5-4E04C8B62632}">
      <text>
        <r>
          <rPr>
            <b/>
            <sz val="9"/>
            <color indexed="81"/>
            <rFont val="Tahoma"/>
            <family val="2"/>
          </rPr>
          <t>jfsv57:</t>
        </r>
        <r>
          <rPr>
            <sz val="9"/>
            <color indexed="81"/>
            <rFont val="Tahoma"/>
            <family val="2"/>
          </rPr>
          <t xml:space="preserve">
my own numbers</t>
        </r>
      </text>
    </comment>
    <comment ref="BF12" authorId="0" shapeId="0" xr:uid="{97E111C5-2A7B-4B50-A2F2-234C2739E90C}">
      <text>
        <r>
          <rPr>
            <b/>
            <sz val="9"/>
            <color indexed="81"/>
            <rFont val="Tahoma"/>
            <charset val="1"/>
          </rPr>
          <t>jfsv57:</t>
        </r>
        <r>
          <rPr>
            <sz val="9"/>
            <color indexed="81"/>
            <rFont val="Tahoma"/>
            <charset val="1"/>
          </rPr>
          <t xml:space="preserve">
these are where I input my own numbers to compare - only apatite
</t>
        </r>
      </text>
    </comment>
    <comment ref="BH12" authorId="0" shapeId="0" xr:uid="{452AF4E6-D6A5-49FF-915E-A547C37EC217}">
      <text>
        <r>
          <rPr>
            <b/>
            <sz val="9"/>
            <color indexed="81"/>
            <rFont val="Tahoma"/>
            <family val="2"/>
          </rPr>
          <t>jfsv57:</t>
        </r>
        <r>
          <rPr>
            <sz val="9"/>
            <color indexed="81"/>
            <rFont val="Tahoma"/>
            <family val="2"/>
          </rPr>
          <t xml:space="preserve">
my own numbers</t>
        </r>
      </text>
    </comment>
    <comment ref="K13" authorId="0" shapeId="0" xr:uid="{1FC96D06-FA00-4E64-AC59-2F28D83737B1}">
      <text>
        <r>
          <rPr>
            <b/>
            <sz val="9"/>
            <color indexed="81"/>
            <rFont val="Tahoma"/>
            <family val="2"/>
          </rPr>
          <t>jfsv57:</t>
        </r>
        <r>
          <rPr>
            <sz val="9"/>
            <color indexed="81"/>
            <rFont val="Tahoma"/>
            <family val="2"/>
          </rPr>
          <t xml:space="preserve">
not measured in either
</t>
        </r>
      </text>
    </comment>
    <comment ref="L13" authorId="0" shapeId="0" xr:uid="{3013C1C0-2A90-424F-939D-02EC6D1689F1}">
      <text>
        <r>
          <rPr>
            <b/>
            <sz val="9"/>
            <color indexed="81"/>
            <rFont val="Tahoma"/>
            <family val="2"/>
          </rPr>
          <t>jfsv57:</t>
        </r>
        <r>
          <rPr>
            <sz val="9"/>
            <color indexed="81"/>
            <rFont val="Tahoma"/>
            <family val="2"/>
          </rPr>
          <t xml:space="preserve">
not measured</t>
        </r>
      </text>
    </comment>
    <comment ref="N13" authorId="0" shapeId="0" xr:uid="{5840D04F-B37B-4178-9A81-F2131A3AAA10}">
      <text>
        <r>
          <rPr>
            <b/>
            <sz val="9"/>
            <color indexed="81"/>
            <rFont val="Tahoma"/>
            <family val="2"/>
          </rPr>
          <t>jfsv57:</t>
        </r>
        <r>
          <rPr>
            <sz val="9"/>
            <color indexed="81"/>
            <rFont val="Tahoma"/>
            <family val="2"/>
          </rPr>
          <t xml:space="preserve">
these numbers are the mineralogical abundances I obtained from chemical maps</t>
        </r>
      </text>
    </comment>
    <comment ref="O13" authorId="0" shapeId="0" xr:uid="{83DB73BA-75BB-4016-A16D-690D2D6C41A0}">
      <text>
        <r>
          <rPr>
            <b/>
            <sz val="9"/>
            <color indexed="81"/>
            <rFont val="Tahoma"/>
            <family val="2"/>
          </rPr>
          <t>jfsv57:</t>
        </r>
        <r>
          <rPr>
            <sz val="9"/>
            <color indexed="81"/>
            <rFont val="Tahoma"/>
            <family val="2"/>
          </rPr>
          <t xml:space="preserve">
these are the % abundances normalised to 100</t>
        </r>
      </text>
    </comment>
    <comment ref="Q13" authorId="0" shapeId="0" xr:uid="{D7CEC56F-2A01-48EB-913E-A20D2A40B82B}">
      <text>
        <r>
          <rPr>
            <b/>
            <sz val="9"/>
            <color indexed="81"/>
            <rFont val="Tahoma"/>
            <family val="2"/>
          </rPr>
          <t>jfsv57:</t>
        </r>
        <r>
          <rPr>
            <sz val="9"/>
            <color indexed="81"/>
            <rFont val="Tahoma"/>
            <family val="2"/>
          </rPr>
          <t xml:space="preserve">
these are the percentages as a decimal fraction for calculations</t>
        </r>
      </text>
    </comment>
    <comment ref="A17" authorId="0" shapeId="0" xr:uid="{41192297-FE95-4297-945E-BB79A5F21C6E}">
      <text>
        <r>
          <rPr>
            <b/>
            <sz val="9"/>
            <color indexed="81"/>
            <rFont val="Tahoma"/>
            <family val="2"/>
          </rPr>
          <t>jfsv57:</t>
        </r>
        <r>
          <rPr>
            <sz val="9"/>
            <color indexed="81"/>
            <rFont val="Tahoma"/>
            <family val="2"/>
          </rPr>
          <t xml:space="preserve">
assume 100% SiO2
</t>
        </r>
      </text>
    </comment>
    <comment ref="A23" authorId="0" shapeId="0" xr:uid="{950AACCC-F1B9-4388-894D-99EBA919BEC1}">
      <text>
        <r>
          <rPr>
            <b/>
            <sz val="9"/>
            <color indexed="81"/>
            <rFont val="Tahoma"/>
            <family val="2"/>
          </rPr>
          <t>jfsv57:</t>
        </r>
        <r>
          <rPr>
            <sz val="9"/>
            <color indexed="81"/>
            <rFont val="Tahoma"/>
            <family val="2"/>
          </rPr>
          <t xml:space="preserve">
assume 100% SiO2
</t>
        </r>
      </text>
    </comment>
    <comment ref="K29" authorId="0" shapeId="0" xr:uid="{80EF895B-32B8-4E6E-B9E7-4312131A884E}">
      <text>
        <r>
          <rPr>
            <b/>
            <sz val="9"/>
            <color indexed="81"/>
            <rFont val="Tahoma"/>
            <family val="2"/>
          </rPr>
          <t>jfsv57:</t>
        </r>
        <r>
          <rPr>
            <sz val="9"/>
            <color indexed="81"/>
            <rFont val="Tahoma"/>
            <family val="2"/>
          </rPr>
          <t xml:space="preserve">
not measured in either
</t>
        </r>
      </text>
    </comment>
    <comment ref="L29" authorId="0" shapeId="0" xr:uid="{A64C9CC9-06C4-449E-996E-BFA5DC3C3382}">
      <text>
        <r>
          <rPr>
            <b/>
            <sz val="9"/>
            <color indexed="81"/>
            <rFont val="Tahoma"/>
            <family val="2"/>
          </rPr>
          <t>jfsv57:</t>
        </r>
        <r>
          <rPr>
            <sz val="9"/>
            <color indexed="81"/>
            <rFont val="Tahoma"/>
            <family val="2"/>
          </rPr>
          <t xml:space="preserve">
not measured</t>
        </r>
      </text>
    </comment>
  </commentList>
</comments>
</file>

<file path=xl/sharedStrings.xml><?xml version="1.0" encoding="utf-8"?>
<sst xmlns="http://schemas.openxmlformats.org/spreadsheetml/2006/main" count="220" uniqueCount="109">
  <si>
    <t>WORKSHEET TO CALCULATE NORMATIVE Qz, Ab AND Or FOR MELT INCLUSIONS, FOR USE IN TERNARY PLOTS</t>
  </si>
  <si>
    <t>Hypersthene = En + Fs</t>
  </si>
  <si>
    <t>Enstatite</t>
  </si>
  <si>
    <t>Ferrosilite</t>
  </si>
  <si>
    <t>Weight percent (oxides)</t>
  </si>
  <si>
    <t>Normalised weight percent (oxides)</t>
  </si>
  <si>
    <t>Check:</t>
  </si>
  <si>
    <t>Assume Fe2O3/FeO=0.3</t>
  </si>
  <si>
    <t>Normalised weight percent (oxides) with Fe2O3</t>
  </si>
  <si>
    <t>Molar oxide proportions</t>
  </si>
  <si>
    <t>Apatite</t>
  </si>
  <si>
    <t>Ilmenite</t>
  </si>
  <si>
    <t>Titanite</t>
  </si>
  <si>
    <t>Rutile</t>
  </si>
  <si>
    <t>Orthoclase</t>
  </si>
  <si>
    <t>Albite</t>
  </si>
  <si>
    <t>Acmite</t>
  </si>
  <si>
    <t>Metasilicate</t>
  </si>
  <si>
    <t>Anorthite</t>
  </si>
  <si>
    <t>Corundum</t>
  </si>
  <si>
    <t>Magnetite</t>
  </si>
  <si>
    <t>Diopside</t>
  </si>
  <si>
    <t>Wollastonite</t>
  </si>
  <si>
    <t>En</t>
  </si>
  <si>
    <t>Fs</t>
  </si>
  <si>
    <t>Quartz</t>
  </si>
  <si>
    <t>Summary</t>
  </si>
  <si>
    <t>Weight norm</t>
  </si>
  <si>
    <t>Normalised to 100%</t>
  </si>
  <si>
    <t>Blundy Cashman</t>
  </si>
  <si>
    <t>SAMPLE</t>
  </si>
  <si>
    <t>Host xl</t>
  </si>
  <si>
    <t>SiO2</t>
  </si>
  <si>
    <t>TiO2</t>
  </si>
  <si>
    <t>Al2O3</t>
  </si>
  <si>
    <t>FeO</t>
  </si>
  <si>
    <t>MnO</t>
  </si>
  <si>
    <t>MgO</t>
  </si>
  <si>
    <t>CaO</t>
  </si>
  <si>
    <t>K2O</t>
  </si>
  <si>
    <t>Na2O</t>
  </si>
  <si>
    <t>P2O5</t>
  </si>
  <si>
    <t>H2O</t>
  </si>
  <si>
    <t>Total</t>
  </si>
  <si>
    <t>New Tot</t>
  </si>
  <si>
    <t>Fe2O3</t>
  </si>
  <si>
    <t>Si</t>
  </si>
  <si>
    <t>Ti</t>
  </si>
  <si>
    <t>Al</t>
  </si>
  <si>
    <t>Mn</t>
  </si>
  <si>
    <t>Mg</t>
  </si>
  <si>
    <t>Ca</t>
  </si>
  <si>
    <t>Na</t>
  </si>
  <si>
    <t>K</t>
  </si>
  <si>
    <t>P</t>
  </si>
  <si>
    <t>Sum</t>
  </si>
  <si>
    <t>Ap</t>
  </si>
  <si>
    <t>CaO'</t>
  </si>
  <si>
    <t>Ilm</t>
  </si>
  <si>
    <t>FeO'</t>
  </si>
  <si>
    <t>Titan</t>
  </si>
  <si>
    <t>Rut</t>
  </si>
  <si>
    <t>Orth</t>
  </si>
  <si>
    <t>SiO2'</t>
  </si>
  <si>
    <t>Al2O3'</t>
  </si>
  <si>
    <t>Alb</t>
  </si>
  <si>
    <t>SiO2''</t>
  </si>
  <si>
    <t>Al2O3''</t>
  </si>
  <si>
    <t>Na2O'</t>
  </si>
  <si>
    <t>Acm</t>
  </si>
  <si>
    <t>Fe2O3'</t>
  </si>
  <si>
    <t>Ms</t>
  </si>
  <si>
    <t>An</t>
  </si>
  <si>
    <t>Cor</t>
  </si>
  <si>
    <t>FeO''</t>
  </si>
  <si>
    <t>Mg num</t>
  </si>
  <si>
    <t>Diop</t>
  </si>
  <si>
    <t>MgO'</t>
  </si>
  <si>
    <t>CaO''</t>
  </si>
  <si>
    <t>Wo</t>
  </si>
  <si>
    <t>Qz</t>
  </si>
  <si>
    <t>Or</t>
  </si>
  <si>
    <t>Ab</t>
  </si>
  <si>
    <t>Ne</t>
  </si>
  <si>
    <t>Di</t>
  </si>
  <si>
    <t>Ol</t>
  </si>
  <si>
    <t>Mt</t>
  </si>
  <si>
    <t>Qz'</t>
  </si>
  <si>
    <t>Ab'</t>
  </si>
  <si>
    <t>Or'</t>
  </si>
  <si>
    <t>Qz''</t>
  </si>
  <si>
    <t>Or''</t>
  </si>
  <si>
    <t>Ab''</t>
  </si>
  <si>
    <t>An'</t>
  </si>
  <si>
    <t>1(B)MP</t>
  </si>
  <si>
    <t>1.AS</t>
  </si>
  <si>
    <t>1(B)MP 2</t>
  </si>
  <si>
    <t>1.AS 2</t>
  </si>
  <si>
    <t>Difference MP</t>
  </si>
  <si>
    <t>Difference AS</t>
  </si>
  <si>
    <t>1(B)MP 3</t>
  </si>
  <si>
    <t>Proportion of 1(B)MP</t>
  </si>
  <si>
    <t>%</t>
  </si>
  <si>
    <t>1.AS 3</t>
  </si>
  <si>
    <t>Plagioclase</t>
  </si>
  <si>
    <t>Muscovite</t>
  </si>
  <si>
    <t>Biotite</t>
  </si>
  <si>
    <t>Proportion of 1.AS</t>
  </si>
  <si>
    <t>Whole Rock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</si>
</sst>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000"/>
    <numFmt numFmtId="166" formatCode="0.000000"/>
  </numFmts>
  <fonts count="11" x14ac:knownFonts="1">
    <font>
      <sz val="11"/>
      <color theme="1"/>
      <name val="Aptos Narrow"/>
      <family val="2"/>
      <scheme val="minor"/>
    </font>
    <font>
      <sz val="10"/>
      <name val="Verdana"/>
      <family val="2"/>
    </font>
    <font>
      <b/>
      <sz val="10"/>
      <name val="Verdana"/>
      <family val="2"/>
    </font>
    <font>
      <sz val="10"/>
      <color indexed="23"/>
      <name val="Verdana"/>
      <family val="2"/>
    </font>
    <font>
      <b/>
      <sz val="10"/>
      <color indexed="23"/>
      <name val="Verdana"/>
      <family val="2"/>
    </font>
    <font>
      <i/>
      <sz val="10"/>
      <name val="Verdana"/>
      <family val="2"/>
    </font>
    <font>
      <sz val="10"/>
      <color indexed="10"/>
      <name val="Verdana"/>
      <family val="2"/>
    </font>
    <font>
      <b/>
      <sz val="9"/>
      <color indexed="81"/>
      <name val="Tahoma"/>
      <charset val="1"/>
    </font>
    <font>
      <sz val="9"/>
      <color indexed="81"/>
      <name val="Tahoma"/>
      <charset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2" fontId="2" fillId="0" borderId="0" xfId="0" applyNumberFormat="1" applyFont="1"/>
    <xf numFmtId="2" fontId="1" fillId="0" borderId="0" xfId="0" applyNumberFormat="1" applyFont="1"/>
    <xf numFmtId="2" fontId="3" fillId="0" borderId="0" xfId="0" applyNumberFormat="1" applyFont="1"/>
    <xf numFmtId="2" fontId="2" fillId="0" borderId="0" xfId="0" applyNumberFormat="1" applyFont="1" applyAlignment="1">
      <alignment horizontal="center"/>
    </xf>
    <xf numFmtId="0" fontId="2" fillId="0" borderId="0" xfId="0" applyFont="1"/>
    <xf numFmtId="0" fontId="1" fillId="0" borderId="1" xfId="0" applyFont="1" applyBorder="1"/>
    <xf numFmtId="0" fontId="2" fillId="0" borderId="1" xfId="0" applyFont="1" applyBorder="1"/>
    <xf numFmtId="0" fontId="1" fillId="0" borderId="2" xfId="0" applyFont="1" applyBorder="1"/>
    <xf numFmtId="2" fontId="4" fillId="0" borderId="0" xfId="0" applyNumberFormat="1" applyFont="1"/>
    <xf numFmtId="164" fontId="1" fillId="0" borderId="0" xfId="0" applyNumberFormat="1" applyFont="1"/>
    <xf numFmtId="0" fontId="2" fillId="0" borderId="2" xfId="0" applyFont="1" applyBorder="1"/>
    <xf numFmtId="0" fontId="1" fillId="0" borderId="3" xfId="0" applyFont="1" applyBorder="1"/>
    <xf numFmtId="2" fontId="1" fillId="0" borderId="3" xfId="0" applyNumberFormat="1" applyFont="1" applyBorder="1"/>
    <xf numFmtId="0" fontId="1" fillId="0" borderId="4" xfId="0" applyFont="1" applyBorder="1"/>
    <xf numFmtId="2" fontId="1" fillId="0" borderId="4" xfId="0" applyNumberFormat="1" applyFont="1" applyBorder="1"/>
    <xf numFmtId="164" fontId="1" fillId="0" borderId="4" xfId="0" applyNumberFormat="1" applyFont="1" applyBorder="1"/>
    <xf numFmtId="165" fontId="1" fillId="0" borderId="4" xfId="0" applyNumberFormat="1" applyFont="1" applyBorder="1"/>
    <xf numFmtId="0" fontId="2" fillId="0" borderId="3" xfId="0" applyFont="1" applyBorder="1"/>
    <xf numFmtId="165" fontId="1" fillId="0" borderId="5" xfId="0" applyNumberFormat="1" applyFont="1" applyBorder="1"/>
    <xf numFmtId="0" fontId="1" fillId="0" borderId="5" xfId="0" applyFont="1" applyBorder="1"/>
    <xf numFmtId="2" fontId="1" fillId="0" borderId="5" xfId="0" applyNumberFormat="1" applyFont="1" applyBorder="1"/>
    <xf numFmtId="2" fontId="1" fillId="0" borderId="6" xfId="0" applyNumberFormat="1" applyFont="1" applyBorder="1"/>
    <xf numFmtId="0" fontId="1" fillId="0" borderId="7" xfId="0" applyFont="1" applyBorder="1"/>
    <xf numFmtId="2" fontId="1" fillId="0" borderId="7" xfId="0" applyNumberFormat="1" applyFont="1" applyBorder="1"/>
    <xf numFmtId="164" fontId="1" fillId="0" borderId="7" xfId="0" applyNumberFormat="1" applyFont="1" applyBorder="1"/>
    <xf numFmtId="165" fontId="1" fillId="0" borderId="7" xfId="0" applyNumberFormat="1" applyFont="1" applyBorder="1"/>
    <xf numFmtId="165" fontId="1" fillId="0" borderId="8" xfId="0" applyNumberFormat="1" applyFont="1" applyBorder="1"/>
    <xf numFmtId="0" fontId="1" fillId="0" borderId="8" xfId="0" applyFont="1" applyBorder="1"/>
    <xf numFmtId="2" fontId="1" fillId="0" borderId="8" xfId="0" applyNumberFormat="1" applyFont="1" applyBorder="1"/>
    <xf numFmtId="2" fontId="1" fillId="0" borderId="9" xfId="0" applyNumberFormat="1" applyFont="1" applyBorder="1"/>
    <xf numFmtId="0" fontId="2" fillId="2" borderId="3" xfId="0" applyFont="1" applyFill="1" applyBorder="1"/>
    <xf numFmtId="165" fontId="1" fillId="2" borderId="4" xfId="0" applyNumberFormat="1" applyFont="1" applyFill="1" applyBorder="1"/>
    <xf numFmtId="164" fontId="1" fillId="2" borderId="4" xfId="0" applyNumberFormat="1" applyFont="1" applyFill="1" applyBorder="1"/>
    <xf numFmtId="0" fontId="1" fillId="2" borderId="4" xfId="0" applyFont="1" applyFill="1" applyBorder="1"/>
    <xf numFmtId="165" fontId="1" fillId="2" borderId="5" xfId="0" applyNumberFormat="1" applyFont="1" applyFill="1" applyBorder="1"/>
    <xf numFmtId="0" fontId="1" fillId="2" borderId="5" xfId="0" applyFont="1" applyFill="1" applyBorder="1"/>
    <xf numFmtId="2" fontId="1" fillId="2" borderId="5" xfId="0" applyNumberFormat="1" applyFont="1" applyFill="1" applyBorder="1"/>
    <xf numFmtId="2" fontId="1" fillId="2" borderId="4" xfId="0" applyNumberFormat="1" applyFont="1" applyFill="1" applyBorder="1"/>
    <xf numFmtId="2" fontId="1" fillId="2" borderId="1" xfId="0" applyNumberFormat="1" applyFont="1" applyFill="1" applyBorder="1"/>
    <xf numFmtId="2" fontId="1" fillId="2" borderId="10" xfId="0" applyNumberFormat="1" applyFont="1" applyFill="1" applyBorder="1"/>
    <xf numFmtId="165" fontId="1" fillId="2" borderId="7" xfId="0" applyNumberFormat="1" applyFont="1" applyFill="1" applyBorder="1"/>
    <xf numFmtId="164" fontId="1" fillId="2" borderId="7" xfId="0" applyNumberFormat="1" applyFont="1" applyFill="1" applyBorder="1"/>
    <xf numFmtId="0" fontId="1" fillId="2" borderId="7" xfId="0" applyFont="1" applyFill="1" applyBorder="1"/>
    <xf numFmtId="165" fontId="1" fillId="2" borderId="8" xfId="0" applyNumberFormat="1" applyFont="1" applyFill="1" applyBorder="1"/>
    <xf numFmtId="0" fontId="1" fillId="2" borderId="8" xfId="0" applyFont="1" applyFill="1" applyBorder="1"/>
    <xf numFmtId="2" fontId="1" fillId="2" borderId="8" xfId="0" applyNumberFormat="1" applyFont="1" applyFill="1" applyBorder="1"/>
    <xf numFmtId="2" fontId="1" fillId="2" borderId="7" xfId="0" applyNumberFormat="1" applyFont="1" applyFill="1" applyBorder="1"/>
    <xf numFmtId="2" fontId="1" fillId="2" borderId="9" xfId="0" applyNumberFormat="1" applyFont="1" applyFill="1" applyBorder="1"/>
    <xf numFmtId="165" fontId="1" fillId="0" borderId="0" xfId="0" applyNumberFormat="1" applyFont="1"/>
    <xf numFmtId="0" fontId="5" fillId="0" borderId="0" xfId="0" applyFont="1"/>
    <xf numFmtId="165" fontId="5" fillId="0" borderId="0" xfId="0" applyNumberFormat="1" applyFont="1"/>
    <xf numFmtId="165" fontId="5" fillId="0" borderId="5" xfId="0" applyNumberFormat="1" applyFont="1" applyBorder="1"/>
    <xf numFmtId="165" fontId="5" fillId="0" borderId="2" xfId="0" applyNumberFormat="1" applyFont="1" applyBorder="1"/>
    <xf numFmtId="165" fontId="5" fillId="0" borderId="8" xfId="0" applyNumberFormat="1" applyFont="1" applyBorder="1"/>
    <xf numFmtId="0" fontId="2" fillId="3" borderId="3" xfId="0" applyFont="1" applyFill="1" applyBorder="1"/>
    <xf numFmtId="165" fontId="1" fillId="3" borderId="4" xfId="0" applyNumberFormat="1" applyFont="1" applyFill="1" applyBorder="1"/>
    <xf numFmtId="164" fontId="1" fillId="3" borderId="4" xfId="0" applyNumberFormat="1" applyFont="1" applyFill="1" applyBorder="1"/>
    <xf numFmtId="0" fontId="1" fillId="3" borderId="4" xfId="0" applyFont="1" applyFill="1" applyBorder="1"/>
    <xf numFmtId="165" fontId="1" fillId="3" borderId="5" xfId="0" applyNumberFormat="1" applyFont="1" applyFill="1" applyBorder="1"/>
    <xf numFmtId="0" fontId="1" fillId="3" borderId="5" xfId="0" applyFont="1" applyFill="1" applyBorder="1"/>
    <xf numFmtId="2" fontId="1" fillId="3" borderId="5" xfId="0" applyNumberFormat="1" applyFont="1" applyFill="1" applyBorder="1"/>
    <xf numFmtId="2" fontId="1" fillId="3" borderId="4" xfId="0" applyNumberFormat="1" applyFont="1" applyFill="1" applyBorder="1"/>
    <xf numFmtId="2" fontId="1" fillId="3" borderId="6" xfId="0" applyNumberFormat="1" applyFont="1" applyFill="1" applyBorder="1"/>
    <xf numFmtId="165" fontId="1" fillId="3" borderId="7" xfId="0" applyNumberFormat="1" applyFont="1" applyFill="1" applyBorder="1"/>
    <xf numFmtId="164" fontId="1" fillId="3" borderId="7" xfId="0" applyNumberFormat="1" applyFont="1" applyFill="1" applyBorder="1"/>
    <xf numFmtId="0" fontId="1" fillId="3" borderId="7" xfId="0" applyFont="1" applyFill="1" applyBorder="1"/>
    <xf numFmtId="165" fontId="1" fillId="3" borderId="8" xfId="0" applyNumberFormat="1" applyFont="1" applyFill="1" applyBorder="1"/>
    <xf numFmtId="0" fontId="1" fillId="3" borderId="8" xfId="0" applyFont="1" applyFill="1" applyBorder="1"/>
    <xf numFmtId="2" fontId="1" fillId="3" borderId="8" xfId="0" applyNumberFormat="1" applyFont="1" applyFill="1" applyBorder="1"/>
    <xf numFmtId="2" fontId="1" fillId="3" borderId="7" xfId="0" applyNumberFormat="1" applyFont="1" applyFill="1" applyBorder="1"/>
    <xf numFmtId="2" fontId="1" fillId="3" borderId="9" xfId="0" applyNumberFormat="1" applyFont="1" applyFill="1" applyBorder="1"/>
    <xf numFmtId="166" fontId="1" fillId="0" borderId="0" xfId="0" applyNumberFormat="1" applyFont="1"/>
    <xf numFmtId="165" fontId="1" fillId="0" borderId="1" xfId="0" applyNumberFormat="1" applyFont="1" applyBorder="1"/>
    <xf numFmtId="2" fontId="1" fillId="0" borderId="1" xfId="0" applyNumberFormat="1" applyFont="1" applyBorder="1"/>
    <xf numFmtId="10" fontId="1" fillId="0" borderId="0" xfId="0" applyNumberFormat="1" applyFont="1"/>
    <xf numFmtId="0" fontId="6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D12CE4-7CBA-4F52-98F7-A3D7C505D505}">
  <dimension ref="A1:EG31"/>
  <sheetViews>
    <sheetView tabSelected="1" workbookViewId="0">
      <selection activeCell="BG13" sqref="BG13"/>
    </sheetView>
  </sheetViews>
  <sheetFormatPr defaultRowHeight="14.4" x14ac:dyDescent="0.3"/>
  <sheetData>
    <row r="1" spans="1:137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</row>
    <row r="2" spans="1:137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 t="s">
        <v>1</v>
      </c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</row>
    <row r="3" spans="1:137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 t="s">
        <v>2</v>
      </c>
      <c r="CS3" s="1" t="s">
        <v>3</v>
      </c>
      <c r="CT3" s="1"/>
      <c r="CU3" s="1" t="s">
        <v>1</v>
      </c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</row>
    <row r="4" spans="1:137" x14ac:dyDescent="0.3">
      <c r="A4" s="1"/>
      <c r="B4" s="2"/>
      <c r="C4" s="3" t="s">
        <v>4</v>
      </c>
      <c r="D4" s="4"/>
      <c r="E4" s="4"/>
      <c r="F4" s="4"/>
      <c r="G4" s="4"/>
      <c r="H4" s="4"/>
      <c r="I4" s="4"/>
      <c r="J4" s="4"/>
      <c r="K4" s="4"/>
      <c r="L4" s="5"/>
      <c r="M4" s="3"/>
      <c r="N4" s="4"/>
      <c r="O4" s="4"/>
      <c r="P4" s="3" t="s">
        <v>5</v>
      </c>
      <c r="Q4" s="4"/>
      <c r="R4" s="4"/>
      <c r="S4" s="4"/>
      <c r="T4" s="4"/>
      <c r="U4" s="4"/>
      <c r="V4" s="4"/>
      <c r="W4" s="4"/>
      <c r="X4" s="4"/>
      <c r="Y4" s="5"/>
      <c r="Z4" s="6" t="s">
        <v>6</v>
      </c>
      <c r="AA4" s="4"/>
      <c r="AB4" s="2"/>
      <c r="AC4" s="2" t="s">
        <v>7</v>
      </c>
      <c r="AD4" s="2"/>
      <c r="AE4" s="2"/>
      <c r="AF4" s="4"/>
      <c r="AG4" s="3" t="s">
        <v>8</v>
      </c>
      <c r="AH4" s="4"/>
      <c r="AI4" s="4"/>
      <c r="AJ4" s="4"/>
      <c r="AK4" s="4"/>
      <c r="AL4" s="4"/>
      <c r="AM4" s="4"/>
      <c r="AN4" s="4"/>
      <c r="AO4" s="4"/>
      <c r="AP4" s="4"/>
      <c r="AQ4" s="5"/>
      <c r="AR4" s="4"/>
      <c r="AS4" s="4"/>
      <c r="AT4" s="7" t="s">
        <v>9</v>
      </c>
      <c r="AU4" s="7"/>
      <c r="AV4" s="7"/>
      <c r="AW4" s="1"/>
      <c r="AX4" s="1"/>
      <c r="AY4" s="7"/>
      <c r="AZ4" s="1"/>
      <c r="BA4" s="1"/>
      <c r="BB4" s="1"/>
      <c r="BC4" s="1"/>
      <c r="BD4" s="1"/>
      <c r="BE4" s="1"/>
      <c r="BF4" s="1"/>
      <c r="BG4" s="1"/>
      <c r="BH4" s="1" t="s">
        <v>10</v>
      </c>
      <c r="BI4" s="1"/>
      <c r="BJ4" s="1" t="s">
        <v>11</v>
      </c>
      <c r="BK4" s="1"/>
      <c r="BL4" s="1" t="s">
        <v>12</v>
      </c>
      <c r="BM4" s="1"/>
      <c r="BN4" s="1" t="s">
        <v>13</v>
      </c>
      <c r="BO4" s="1" t="s">
        <v>14</v>
      </c>
      <c r="BP4" s="1"/>
      <c r="BQ4" s="1"/>
      <c r="BR4" s="1"/>
      <c r="BS4" s="1" t="s">
        <v>15</v>
      </c>
      <c r="BT4" s="1"/>
      <c r="BU4" s="1"/>
      <c r="BV4" s="1"/>
      <c r="BW4" s="1" t="s">
        <v>16</v>
      </c>
      <c r="BX4" s="1"/>
      <c r="BY4" s="1"/>
      <c r="BZ4" s="1"/>
      <c r="CA4" s="1" t="s">
        <v>17</v>
      </c>
      <c r="CB4" s="1"/>
      <c r="CC4" s="1" t="s">
        <v>18</v>
      </c>
      <c r="CD4" s="1"/>
      <c r="CE4" s="1"/>
      <c r="CF4" s="1" t="s">
        <v>19</v>
      </c>
      <c r="CG4" s="1"/>
      <c r="CH4" s="1" t="s">
        <v>20</v>
      </c>
      <c r="CI4" s="1"/>
      <c r="CJ4" s="1"/>
      <c r="CK4" s="1" t="s">
        <v>21</v>
      </c>
      <c r="CL4" s="1"/>
      <c r="CM4" s="1"/>
      <c r="CN4" s="1"/>
      <c r="CO4" s="1"/>
      <c r="CP4" s="1" t="s">
        <v>22</v>
      </c>
      <c r="CQ4" s="1"/>
      <c r="CR4" s="7" t="s">
        <v>23</v>
      </c>
      <c r="CS4" s="7" t="s">
        <v>24</v>
      </c>
      <c r="CT4" s="1"/>
      <c r="CU4" s="1" t="s">
        <v>2</v>
      </c>
      <c r="CV4" s="1" t="s">
        <v>3</v>
      </c>
      <c r="CW4" s="1"/>
      <c r="CX4" s="1" t="s">
        <v>25</v>
      </c>
      <c r="CY4" s="8" t="s">
        <v>26</v>
      </c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9" t="s">
        <v>27</v>
      </c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9" t="s">
        <v>28</v>
      </c>
      <c r="DZ4" s="1"/>
      <c r="EA4" s="1"/>
      <c r="EB4" s="9" t="s">
        <v>29</v>
      </c>
      <c r="EC4" s="1"/>
      <c r="ED4" s="1"/>
      <c r="EE4" s="9" t="s">
        <v>28</v>
      </c>
      <c r="EF4" s="1"/>
      <c r="EG4" s="10"/>
    </row>
    <row r="5" spans="1:137" x14ac:dyDescent="0.3">
      <c r="A5" s="7" t="s">
        <v>30</v>
      </c>
      <c r="B5" s="2" t="s">
        <v>31</v>
      </c>
      <c r="C5" s="3" t="s">
        <v>32</v>
      </c>
      <c r="D5" s="3" t="s">
        <v>33</v>
      </c>
      <c r="E5" s="3" t="s">
        <v>34</v>
      </c>
      <c r="F5" s="3" t="s">
        <v>35</v>
      </c>
      <c r="G5" s="3" t="s">
        <v>36</v>
      </c>
      <c r="H5" s="3" t="s">
        <v>37</v>
      </c>
      <c r="I5" s="3" t="s">
        <v>38</v>
      </c>
      <c r="J5" s="3" t="s">
        <v>39</v>
      </c>
      <c r="K5" s="3" t="s">
        <v>40</v>
      </c>
      <c r="L5" s="11" t="s">
        <v>41</v>
      </c>
      <c r="M5" s="6" t="s">
        <v>42</v>
      </c>
      <c r="N5" s="3" t="s">
        <v>43</v>
      </c>
      <c r="O5" s="3"/>
      <c r="P5" s="3" t="s">
        <v>32</v>
      </c>
      <c r="Q5" s="3" t="s">
        <v>33</v>
      </c>
      <c r="R5" s="3" t="s">
        <v>34</v>
      </c>
      <c r="S5" s="3" t="s">
        <v>35</v>
      </c>
      <c r="T5" s="3" t="s">
        <v>36</v>
      </c>
      <c r="U5" s="3" t="s">
        <v>37</v>
      </c>
      <c r="V5" s="3" t="s">
        <v>38</v>
      </c>
      <c r="W5" s="3" t="s">
        <v>39</v>
      </c>
      <c r="X5" s="3" t="s">
        <v>40</v>
      </c>
      <c r="Y5" s="11" t="s">
        <v>41</v>
      </c>
      <c r="Z5" s="3" t="s">
        <v>44</v>
      </c>
      <c r="AA5" s="3"/>
      <c r="AB5" s="2"/>
      <c r="AC5" s="2" t="s">
        <v>45</v>
      </c>
      <c r="AD5" s="2" t="s">
        <v>35</v>
      </c>
      <c r="AE5" s="2"/>
      <c r="AF5" s="3"/>
      <c r="AG5" s="3" t="s">
        <v>32</v>
      </c>
      <c r="AH5" s="3" t="s">
        <v>33</v>
      </c>
      <c r="AI5" s="3" t="s">
        <v>34</v>
      </c>
      <c r="AJ5" s="3" t="s">
        <v>35</v>
      </c>
      <c r="AK5" s="3" t="s">
        <v>45</v>
      </c>
      <c r="AL5" s="3" t="s">
        <v>36</v>
      </c>
      <c r="AM5" s="3" t="s">
        <v>37</v>
      </c>
      <c r="AN5" s="3" t="s">
        <v>38</v>
      </c>
      <c r="AO5" s="3" t="s">
        <v>39</v>
      </c>
      <c r="AP5" s="3" t="s">
        <v>40</v>
      </c>
      <c r="AQ5" s="11" t="s">
        <v>41</v>
      </c>
      <c r="AR5" s="3" t="s">
        <v>44</v>
      </c>
      <c r="AS5" s="3"/>
      <c r="AT5" s="7" t="s">
        <v>46</v>
      </c>
      <c r="AU5" s="7" t="s">
        <v>47</v>
      </c>
      <c r="AV5" s="7" t="s">
        <v>48</v>
      </c>
      <c r="AW5" s="7" t="s">
        <v>45</v>
      </c>
      <c r="AX5" s="7" t="s">
        <v>35</v>
      </c>
      <c r="AY5" s="7" t="s">
        <v>49</v>
      </c>
      <c r="AZ5" s="7" t="s">
        <v>50</v>
      </c>
      <c r="BA5" s="7" t="s">
        <v>51</v>
      </c>
      <c r="BB5" s="7" t="s">
        <v>52</v>
      </c>
      <c r="BC5" s="7" t="s">
        <v>53</v>
      </c>
      <c r="BD5" s="7" t="s">
        <v>54</v>
      </c>
      <c r="BE5" s="7" t="s">
        <v>55</v>
      </c>
      <c r="BF5" s="7"/>
      <c r="BG5" s="7" t="s">
        <v>35</v>
      </c>
      <c r="BH5" s="7" t="s">
        <v>56</v>
      </c>
      <c r="BI5" s="7" t="s">
        <v>57</v>
      </c>
      <c r="BJ5" s="7" t="s">
        <v>58</v>
      </c>
      <c r="BK5" s="7" t="s">
        <v>59</v>
      </c>
      <c r="BL5" s="7" t="s">
        <v>60</v>
      </c>
      <c r="BM5" s="7" t="s">
        <v>38</v>
      </c>
      <c r="BN5" s="7" t="s">
        <v>61</v>
      </c>
      <c r="BO5" s="7" t="s">
        <v>62</v>
      </c>
      <c r="BP5" s="7" t="s">
        <v>63</v>
      </c>
      <c r="BQ5" s="7" t="s">
        <v>64</v>
      </c>
      <c r="BR5" s="7" t="s">
        <v>39</v>
      </c>
      <c r="BS5" s="7" t="s">
        <v>65</v>
      </c>
      <c r="BT5" s="7" t="s">
        <v>66</v>
      </c>
      <c r="BU5" s="7" t="s">
        <v>67</v>
      </c>
      <c r="BV5" s="7" t="s">
        <v>68</v>
      </c>
      <c r="BW5" s="7" t="s">
        <v>69</v>
      </c>
      <c r="BX5" s="7" t="s">
        <v>68</v>
      </c>
      <c r="BY5" s="7" t="s">
        <v>70</v>
      </c>
      <c r="BZ5" s="7" t="s">
        <v>32</v>
      </c>
      <c r="CA5" s="7" t="s">
        <v>71</v>
      </c>
      <c r="CB5" s="7" t="s">
        <v>32</v>
      </c>
      <c r="CC5" s="7" t="s">
        <v>72</v>
      </c>
      <c r="CD5" s="7" t="s">
        <v>32</v>
      </c>
      <c r="CE5" s="7" t="s">
        <v>34</v>
      </c>
      <c r="CF5" s="7" t="s">
        <v>73</v>
      </c>
      <c r="CG5" s="7" t="s">
        <v>57</v>
      </c>
      <c r="CH5" s="7" t="s">
        <v>70</v>
      </c>
      <c r="CI5" s="7" t="s">
        <v>74</v>
      </c>
      <c r="CJ5" s="7" t="s">
        <v>75</v>
      </c>
      <c r="CK5" s="7" t="s">
        <v>76</v>
      </c>
      <c r="CL5" s="7" t="s">
        <v>59</v>
      </c>
      <c r="CM5" s="7" t="s">
        <v>77</v>
      </c>
      <c r="CN5" s="7" t="s">
        <v>32</v>
      </c>
      <c r="CO5" s="7" t="s">
        <v>78</v>
      </c>
      <c r="CP5" s="7" t="s">
        <v>79</v>
      </c>
      <c r="CQ5" s="7" t="s">
        <v>63</v>
      </c>
      <c r="CR5" s="12" t="str">
        <f>CM5</f>
        <v>MgO'</v>
      </c>
      <c r="CS5" s="12" t="str">
        <f>CL5</f>
        <v>FeO'</v>
      </c>
      <c r="CT5" s="7" t="s">
        <v>66</v>
      </c>
      <c r="CU5" s="7" t="s">
        <v>23</v>
      </c>
      <c r="CV5" s="7" t="s">
        <v>24</v>
      </c>
      <c r="CW5" s="7" t="s">
        <v>66</v>
      </c>
      <c r="CX5" s="7" t="s">
        <v>80</v>
      </c>
      <c r="CY5" s="9" t="s">
        <v>56</v>
      </c>
      <c r="CZ5" s="7" t="s">
        <v>80</v>
      </c>
      <c r="DA5" s="7" t="s">
        <v>81</v>
      </c>
      <c r="DB5" s="7" t="s">
        <v>72</v>
      </c>
      <c r="DC5" s="7" t="s">
        <v>82</v>
      </c>
      <c r="DD5" s="7" t="s">
        <v>73</v>
      </c>
      <c r="DE5" s="7" t="s">
        <v>83</v>
      </c>
      <c r="DF5" s="7" t="s">
        <v>84</v>
      </c>
      <c r="DG5" s="7" t="s">
        <v>79</v>
      </c>
      <c r="DH5" s="7" t="s">
        <v>23</v>
      </c>
      <c r="DI5" s="7" t="s">
        <v>24</v>
      </c>
      <c r="DJ5" s="7" t="s">
        <v>85</v>
      </c>
      <c r="DK5" s="7" t="s">
        <v>86</v>
      </c>
      <c r="DL5" s="7" t="s">
        <v>58</v>
      </c>
      <c r="DM5" s="9" t="s">
        <v>80</v>
      </c>
      <c r="DN5" s="7" t="s">
        <v>82</v>
      </c>
      <c r="DO5" s="7" t="s">
        <v>81</v>
      </c>
      <c r="DP5" s="7" t="s">
        <v>72</v>
      </c>
      <c r="DQ5" s="7" t="s">
        <v>56</v>
      </c>
      <c r="DR5" s="7" t="s">
        <v>73</v>
      </c>
      <c r="DS5" s="7" t="s">
        <v>84</v>
      </c>
      <c r="DT5" s="7" t="s">
        <v>79</v>
      </c>
      <c r="DU5" s="7" t="s">
        <v>23</v>
      </c>
      <c r="DV5" s="7" t="s">
        <v>24</v>
      </c>
      <c r="DW5" s="7" t="s">
        <v>86</v>
      </c>
      <c r="DX5" s="7" t="s">
        <v>58</v>
      </c>
      <c r="DY5" s="9" t="s">
        <v>87</v>
      </c>
      <c r="DZ5" s="7" t="s">
        <v>88</v>
      </c>
      <c r="EA5" s="7" t="s">
        <v>89</v>
      </c>
      <c r="EB5" s="9" t="s">
        <v>90</v>
      </c>
      <c r="EC5" s="7" t="s">
        <v>91</v>
      </c>
      <c r="ED5" s="7" t="s">
        <v>92</v>
      </c>
      <c r="EE5" s="9" t="s">
        <v>93</v>
      </c>
      <c r="EF5" s="7" t="s">
        <v>88</v>
      </c>
      <c r="EG5" s="13" t="s">
        <v>89</v>
      </c>
    </row>
    <row r="6" spans="1:137" x14ac:dyDescent="0.3">
      <c r="A6" s="14" t="s">
        <v>94</v>
      </c>
      <c r="B6" s="14"/>
      <c r="C6" s="14">
        <f>B30</f>
        <v>72.842332396627867</v>
      </c>
      <c r="D6" s="14">
        <f t="shared" ref="D6:M7" si="0">C30</f>
        <v>0.20601766358892015</v>
      </c>
      <c r="E6" s="14">
        <f t="shared" si="0"/>
        <v>16.728354074668811</v>
      </c>
      <c r="F6" s="14">
        <f t="shared" si="0"/>
        <v>1.9771236451224412</v>
      </c>
      <c r="G6" s="14">
        <f t="shared" si="0"/>
        <v>1.9564331593737459E-2</v>
      </c>
      <c r="H6" s="14">
        <f t="shared" si="0"/>
        <v>0.84180851063829798</v>
      </c>
      <c r="I6" s="14">
        <f t="shared" si="0"/>
        <v>1.3252013247691694</v>
      </c>
      <c r="J6" s="14">
        <f t="shared" si="0"/>
        <v>2.7212765957446816</v>
      </c>
      <c r="K6" s="14">
        <f t="shared" si="0"/>
        <v>3.3642834203131278</v>
      </c>
      <c r="L6" s="14">
        <f t="shared" si="0"/>
        <v>0</v>
      </c>
      <c r="M6" s="14">
        <f t="shared" si="0"/>
        <v>0</v>
      </c>
      <c r="N6" s="15">
        <f t="shared" ref="N6:N7" si="1">SUM(C6:M6)</f>
        <v>100.02596196306708</v>
      </c>
      <c r="O6" s="14"/>
      <c r="P6" s="15">
        <f t="shared" ref="P6:Y7" si="2">C6*100/($N6-$M6)</f>
        <v>72.823426005664103</v>
      </c>
      <c r="Q6" s="15">
        <f t="shared" si="2"/>
        <v>0.20596419124165857</v>
      </c>
      <c r="R6" s="15">
        <f t="shared" si="2"/>
        <v>16.724012192799982</v>
      </c>
      <c r="S6" s="15">
        <f t="shared" si="2"/>
        <v>1.9766104782401004</v>
      </c>
      <c r="T6" s="15">
        <f t="shared" si="2"/>
        <v>1.9559253627534481E-2</v>
      </c>
      <c r="U6" s="15">
        <f t="shared" si="2"/>
        <v>0.84159001734881766</v>
      </c>
      <c r="V6" s="15">
        <f t="shared" si="2"/>
        <v>1.3248573657891716</v>
      </c>
      <c r="W6" s="15">
        <f t="shared" si="2"/>
        <v>2.7205702822927789</v>
      </c>
      <c r="X6" s="15">
        <f t="shared" si="2"/>
        <v>3.3634102129958352</v>
      </c>
      <c r="Y6" s="15">
        <f t="shared" si="2"/>
        <v>0</v>
      </c>
      <c r="Z6" s="15">
        <f t="shared" ref="Z6:Z7" si="3">SUM(P6:Y6)</f>
        <v>99.999999999999986</v>
      </c>
      <c r="AA6" s="14"/>
      <c r="AB6" s="16">
        <f t="shared" ref="AB6:AB7" si="4">159.69*F6/71.846</f>
        <v>4.3944948207221364</v>
      </c>
      <c r="AC6" s="16">
        <f t="shared" ref="AC6:AC7" si="5">(AB6*0.27/1.11134)</f>
        <v>1.0676423071202124</v>
      </c>
      <c r="AD6" s="16">
        <f t="shared" ref="AD6:AD7" si="6">0.73*AB6*1.11134</f>
        <v>3.5651578480647772</v>
      </c>
      <c r="AE6" s="17">
        <f t="shared" ref="AE6:AE7" si="7">AC6/AD6</f>
        <v>0.29946564854056745</v>
      </c>
      <c r="AF6" s="14"/>
      <c r="AG6" s="17">
        <f t="shared" ref="AG6:AI7" si="8">P6*($Z6-$AC6-$AD6)/(100-$S6)</f>
        <v>70.850092566168371</v>
      </c>
      <c r="AH6" s="17">
        <f t="shared" si="8"/>
        <v>0.20038307472175951</v>
      </c>
      <c r="AI6" s="17">
        <f t="shared" si="8"/>
        <v>16.270833122372565</v>
      </c>
      <c r="AJ6" s="17">
        <f t="shared" ref="AJ6:AJ7" si="9">AD6</f>
        <v>3.5651578480647772</v>
      </c>
      <c r="AK6" s="17">
        <f t="shared" ref="AK6:AK7" si="10">AC6</f>
        <v>1.0676423071202124</v>
      </c>
      <c r="AL6" s="17">
        <f t="shared" ref="AL6:AQ7" si="11">T6*($Z6-$AC6-$AD6)/(100-$S6)</f>
        <v>1.902924657689407E-2</v>
      </c>
      <c r="AM6" s="17">
        <f t="shared" si="11"/>
        <v>0.81878502430370803</v>
      </c>
      <c r="AN6" s="17">
        <f t="shared" si="11"/>
        <v>1.2889570314342531</v>
      </c>
      <c r="AO6" s="17">
        <f t="shared" si="11"/>
        <v>2.6468496046618042</v>
      </c>
      <c r="AP6" s="17">
        <f t="shared" si="11"/>
        <v>3.2722701745756444</v>
      </c>
      <c r="AQ6" s="17">
        <f t="shared" si="11"/>
        <v>0</v>
      </c>
      <c r="AR6" s="17">
        <f t="shared" ref="AR6:AR7" si="12">SUM(AG6:AQ6)</f>
        <v>99.999999999999972</v>
      </c>
      <c r="AS6" s="14"/>
      <c r="AT6" s="18">
        <f t="shared" ref="AT6:AT7" si="13">P6/60.08</f>
        <v>1.2121076232633838</v>
      </c>
      <c r="AU6" s="16">
        <f t="shared" ref="AU6:AU7" si="14">Q6/79.9</f>
        <v>2.5777746087817092E-3</v>
      </c>
      <c r="AV6" s="16">
        <f t="shared" ref="AV6:AV7" si="15">R6/101.9612</f>
        <v>0.16402329702671195</v>
      </c>
      <c r="AW6" s="16">
        <f t="shared" ref="AW6:AW7" si="16">AC6/159.69</f>
        <v>6.6857179981226903E-3</v>
      </c>
      <c r="AX6" s="16">
        <f t="shared" ref="AX6:AX7" si="17">AD6/71.846</f>
        <v>4.9622217633059282E-2</v>
      </c>
      <c r="AY6" s="19">
        <f t="shared" ref="AY6:AY7" si="18">T6/70.937</f>
        <v>2.7572710472016692E-4</v>
      </c>
      <c r="AZ6" s="16">
        <f t="shared" ref="AZ6:AZ7" si="19">U6/40.31</f>
        <v>2.0877946349511723E-2</v>
      </c>
      <c r="BA6" s="16">
        <f t="shared" ref="BA6:BA7" si="20">V6/56.08</f>
        <v>2.362441807755299E-2</v>
      </c>
      <c r="BB6" s="16">
        <f t="shared" ref="BB6:BB7" si="21">X6/61.975</f>
        <v>5.427043506245801E-2</v>
      </c>
      <c r="BC6" s="16">
        <f t="shared" ref="BC6:BC7" si="22">W6/94.2034</f>
        <v>2.8879746190612853E-2</v>
      </c>
      <c r="BD6" s="16">
        <f t="shared" ref="BD6:BD7" si="23">Y6/141.945</f>
        <v>0</v>
      </c>
      <c r="BE6" s="16">
        <f t="shared" ref="BE6:BE7" si="24">SUM(AT6:BD6)</f>
        <v>1.5629449033149152</v>
      </c>
      <c r="BF6" s="20" t="s">
        <v>94</v>
      </c>
      <c r="BG6" s="19">
        <f t="shared" ref="BG6:BG9" si="25">AY6+AX6</f>
        <v>4.9897944737779448E-2</v>
      </c>
      <c r="BH6" s="19">
        <f t="shared" ref="BH6:BH7" si="26">BD6</f>
        <v>0</v>
      </c>
      <c r="BI6" s="19">
        <f t="shared" ref="BI6:BI9" si="27">BA6-(3.33*BD6)</f>
        <v>2.362441807755299E-2</v>
      </c>
      <c r="BJ6" s="18">
        <f t="shared" ref="BJ6:BJ7" si="28">IF(AU6&gt;BG6,BG6,AU6)</f>
        <v>2.5777746087817092E-3</v>
      </c>
      <c r="BK6" s="19">
        <f t="shared" ref="BK6:BK9" si="29">BG6-BJ6</f>
        <v>4.7320170128997738E-2</v>
      </c>
      <c r="BL6" s="18">
        <f t="shared" ref="BL6:BL7" si="30">AU6-BJ6</f>
        <v>0</v>
      </c>
      <c r="BM6" s="19">
        <f t="shared" ref="BM6:BM9" si="31">BI6-BL6</f>
        <v>2.362441807755299E-2</v>
      </c>
      <c r="BN6" s="18">
        <f t="shared" ref="BN6:BN9" si="32">AU6-BJ6-BL6</f>
        <v>0</v>
      </c>
      <c r="BO6" s="18">
        <f t="shared" ref="BO6:BO9" si="33">BC6</f>
        <v>2.8879746190612853E-2</v>
      </c>
      <c r="BP6" s="16">
        <f t="shared" ref="BP6:BP9" si="34">AT6-(6*BO6)</f>
        <v>1.0388291461197068</v>
      </c>
      <c r="BQ6" s="18">
        <f t="shared" ref="BQ6:BQ9" si="35">AV6-BO6</f>
        <v>0.13514355083609911</v>
      </c>
      <c r="BR6" s="18">
        <f t="shared" ref="BR6:BR9" si="36">BC6-BO6</f>
        <v>0</v>
      </c>
      <c r="BS6" s="18">
        <f t="shared" ref="BS6:BS9" si="37">IF(BB6&gt;BQ6,BQ6,BB6)</f>
        <v>5.427043506245801E-2</v>
      </c>
      <c r="BT6" s="16">
        <f t="shared" ref="BT6:BT9" si="38">BP6-(6*BS6)</f>
        <v>0.71320653574495874</v>
      </c>
      <c r="BU6" s="18">
        <f t="shared" ref="BU6:BU9" si="39">BQ6-BS6</f>
        <v>8.0873115773641091E-2</v>
      </c>
      <c r="BV6" s="18">
        <f t="shared" ref="BV6:BV9" si="40">BB6-BS6</f>
        <v>0</v>
      </c>
      <c r="BW6" s="18">
        <f t="shared" ref="BW6:BW9" si="41">IF(BV6&gt;BU6,IF(BV6-BU6&gt;AW6,AW6,BV6-BU6),0)</f>
        <v>0</v>
      </c>
      <c r="BX6" s="18">
        <f t="shared" ref="BX6:BX9" si="42">BV6-BW6</f>
        <v>0</v>
      </c>
      <c r="BY6" s="18">
        <f t="shared" ref="BY6:BY9" si="43">AW6-BW6</f>
        <v>6.6857179981226903E-3</v>
      </c>
      <c r="BZ6" s="18">
        <f t="shared" ref="BZ6:BZ9" si="44">BT6-(4*BW6)</f>
        <v>0.71320653574495874</v>
      </c>
      <c r="CA6" s="18">
        <f t="shared" ref="CA6:CA9" si="45">BX6</f>
        <v>0</v>
      </c>
      <c r="CB6" s="18">
        <f t="shared" ref="CB6:CB9" si="46">BZ6-CA6</f>
        <v>0.71320653574495874</v>
      </c>
      <c r="CC6" s="19">
        <f t="shared" ref="CC6:CC9" si="47">IF(BU6&lt;BM6,BU6,BM6)</f>
        <v>2.362441807755299E-2</v>
      </c>
      <c r="CD6" s="16">
        <f t="shared" ref="CD6:CD9" si="48">BZ6-(2*CC6)</f>
        <v>0.66595769958985274</v>
      </c>
      <c r="CE6" s="19">
        <f t="shared" ref="CE6:CE9" si="49">BU6-CC6</f>
        <v>5.7248697696088105E-2</v>
      </c>
      <c r="CF6" s="19">
        <f t="shared" ref="CF6:CF9" si="50">IF(CE6&gt;0,CE6,0)</f>
        <v>5.7248697696088105E-2</v>
      </c>
      <c r="CG6" s="19">
        <f t="shared" ref="CG6:CG9" si="51">BM6-CC6</f>
        <v>0</v>
      </c>
      <c r="CH6" s="18">
        <f t="shared" ref="CH6:CH9" si="52">AW6-BW6</f>
        <v>6.6857179981226903E-3</v>
      </c>
      <c r="CI6" s="19">
        <f t="shared" ref="CI6:CI9" si="53">BK6-CH6</f>
        <v>4.0634452130875048E-2</v>
      </c>
      <c r="CJ6" s="18">
        <f t="shared" ref="CJ6:CJ9" si="54">AZ6/(AZ6+CI6)</f>
        <v>0.33941037685546693</v>
      </c>
      <c r="CK6" s="18">
        <f t="shared" ref="CK6:CK9" si="55">CG6</f>
        <v>0</v>
      </c>
      <c r="CL6" s="18">
        <f t="shared" ref="CL6:CL9" si="56">CI6-CK6*(1-CJ6)</f>
        <v>4.0634452130875048E-2</v>
      </c>
      <c r="CM6" s="18">
        <f t="shared" ref="CM6:CM9" si="57">AZ6-CK6*CJ6</f>
        <v>2.0877946349511723E-2</v>
      </c>
      <c r="CN6" s="18">
        <f t="shared" ref="CN6:CN9" si="58">CD6-2*CK6</f>
        <v>0.66595769958985274</v>
      </c>
      <c r="CO6" s="18" t="e">
        <f>#REF!-#REF!</f>
        <v>#REF!</v>
      </c>
      <c r="CP6" s="18" t="e">
        <f t="shared" ref="CP6:CP9" si="59">CO6</f>
        <v>#REF!</v>
      </c>
      <c r="CQ6" s="18" t="e">
        <f>#REF!-CP6</f>
        <v>#REF!</v>
      </c>
      <c r="CR6" s="18" t="e">
        <f>#REF!</f>
        <v>#REF!</v>
      </c>
      <c r="CS6" s="18" t="e">
        <f>#REF!</f>
        <v>#REF!</v>
      </c>
      <c r="CT6" s="18" t="e">
        <f t="shared" ref="CT6:CT9" si="60">CQ6-CS6-CR6</f>
        <v>#REF!</v>
      </c>
      <c r="CU6" s="18">
        <f t="shared" ref="CU6:CU9" si="61">CM6</f>
        <v>2.0877946349511723E-2</v>
      </c>
      <c r="CV6" s="18">
        <f t="shared" ref="CV6:CV9" si="62">CL6</f>
        <v>4.0634452130875048E-2</v>
      </c>
      <c r="CW6" s="18">
        <f t="shared" ref="CW6:CW9" si="63">CN6-CV6-CU6</f>
        <v>0.60444530110946604</v>
      </c>
      <c r="CX6" s="18">
        <f t="shared" ref="CX6:CX9" si="64">CW6</f>
        <v>0.60444530110946604</v>
      </c>
      <c r="CY6" s="21">
        <f t="shared" ref="CY6:CY9" si="65">BH6</f>
        <v>0</v>
      </c>
      <c r="CZ6" s="19">
        <f t="shared" ref="CZ6:CZ9" si="66">CX6</f>
        <v>0.60444530110946604</v>
      </c>
      <c r="DA6" s="18">
        <f t="shared" ref="DA6:DA9" si="67">BO6</f>
        <v>2.8879746190612853E-2</v>
      </c>
      <c r="DB6" s="18">
        <f t="shared" ref="DB6:DB9" si="68">CC6</f>
        <v>2.362441807755299E-2</v>
      </c>
      <c r="DC6" s="18">
        <f t="shared" ref="DC6:DC9" si="69">BS6</f>
        <v>5.427043506245801E-2</v>
      </c>
      <c r="DD6" s="19">
        <f t="shared" ref="DD6:DD9" si="70">CF6</f>
        <v>5.7248697696088105E-2</v>
      </c>
      <c r="DE6" s="16">
        <v>1</v>
      </c>
      <c r="DF6" s="18">
        <f t="shared" ref="DF6:DF9" si="71">CK6</f>
        <v>0</v>
      </c>
      <c r="DG6" s="18" t="e">
        <f t="shared" ref="DG6:DG9" si="72">CP6</f>
        <v>#REF!</v>
      </c>
      <c r="DH6" s="18">
        <f t="shared" ref="DH6:DI9" si="73">CU6</f>
        <v>2.0877946349511723E-2</v>
      </c>
      <c r="DI6" s="19">
        <f t="shared" si="73"/>
        <v>4.0634452130875048E-2</v>
      </c>
      <c r="DJ6" s="16">
        <v>1</v>
      </c>
      <c r="DK6" s="19">
        <f t="shared" ref="DK6:DK9" si="74">CH6</f>
        <v>6.6857179981226903E-3</v>
      </c>
      <c r="DL6" s="19">
        <f t="shared" ref="DL6:DL9" si="75">BJ6</f>
        <v>2.5777746087817092E-3</v>
      </c>
      <c r="DM6" s="22">
        <f t="shared" ref="DM6:DM9" si="76">CZ6*60.08</f>
        <v>36.315073690656718</v>
      </c>
      <c r="DN6" s="16">
        <f t="shared" ref="DN6:DN9" si="77">DC6*524.48</f>
        <v>28.463757781557977</v>
      </c>
      <c r="DO6" s="16">
        <f t="shared" ref="DO6:DO9" si="78">DA6*556.7</f>
        <v>16.077354704314178</v>
      </c>
      <c r="DP6" s="16">
        <f t="shared" ref="DP6:DP9" si="79">DB6*278.22</f>
        <v>6.572785597536793</v>
      </c>
      <c r="DQ6" s="16">
        <f t="shared" ref="DQ6:DQ9" si="80">CY6*327.01</f>
        <v>0</v>
      </c>
      <c r="DR6" s="16">
        <f t="shared" ref="DR6:DR9" si="81">DD6*101.96</f>
        <v>5.8370772170931424</v>
      </c>
      <c r="DS6" s="16">
        <f t="shared" ref="DS6:DS9" si="82">DF6*221.92</f>
        <v>0</v>
      </c>
      <c r="DT6" s="16" t="e">
        <f t="shared" ref="DT6:DT9" si="83">DG6*116.2</f>
        <v>#REF!</v>
      </c>
      <c r="DU6" s="16">
        <f t="shared" ref="DU6:DU9" si="84">DH6*100.39</f>
        <v>2.0959370340274819</v>
      </c>
      <c r="DV6" s="16">
        <f t="shared" ref="DV6:DV9" si="85">DI6*131.94</f>
        <v>5.3613096141476539</v>
      </c>
      <c r="DW6" s="16">
        <f t="shared" ref="DW6:DW9" si="86">DK6*231.5386</f>
        <v>1.5480017852801304</v>
      </c>
      <c r="DX6" s="16">
        <f t="shared" ref="DX6:DX9" si="87">DL6*151.7452</f>
        <v>0.39116492356450222</v>
      </c>
      <c r="DY6" s="23">
        <f t="shared" ref="DY6:EA9" si="88">100*DM6/($DM6+$DN6+$DO6)</f>
        <v>44.91316670733395</v>
      </c>
      <c r="DZ6" s="17">
        <f t="shared" si="88"/>
        <v>35.202943803724082</v>
      </c>
      <c r="EA6" s="17">
        <f t="shared" si="88"/>
        <v>19.883889488941975</v>
      </c>
      <c r="EB6" s="21">
        <f t="shared" ref="EB6:EB9" si="89">DY6*(1-(0.03*DP6)+(0.00006*(DP6*EA6))+(0.00001*(DZ6*EA6*DP6)))</f>
        <v>38.475565215034543</v>
      </c>
      <c r="EC6" s="16">
        <f t="shared" ref="EC6:EC9" si="90">EA6*(1-(0.07*DP6)+0.001*(DY6*DP6))</f>
        <v>16.605227463755352</v>
      </c>
      <c r="ED6" s="19">
        <f t="shared" ref="ED6:ED9" si="91">100-EC6-EB6</f>
        <v>44.919207321210102</v>
      </c>
      <c r="EE6" s="23">
        <f t="shared" ref="EE6:EE9" si="92">100*DP6/($DP6+$DN6+$DO6)</f>
        <v>12.859096731012681</v>
      </c>
      <c r="EF6" s="23">
        <f t="shared" ref="EF6:EG9" si="93">100*DN6/($DP6+$DN6+$DO6)</f>
        <v>55.686924396003029</v>
      </c>
      <c r="EG6" s="24">
        <f t="shared" si="93"/>
        <v>31.453978872984305</v>
      </c>
    </row>
    <row r="7" spans="1:137" x14ac:dyDescent="0.3">
      <c r="A7" s="14" t="s">
        <v>95</v>
      </c>
      <c r="B7" s="14"/>
      <c r="C7" s="15">
        <f>B31</f>
        <v>69.867985736118172</v>
      </c>
      <c r="D7" s="15">
        <f t="shared" si="0"/>
        <v>0.36952114111054501</v>
      </c>
      <c r="E7" s="15">
        <f t="shared" si="0"/>
        <v>17.150987264391237</v>
      </c>
      <c r="F7" s="15">
        <f t="shared" si="0"/>
        <v>3.6397269485481401</v>
      </c>
      <c r="G7" s="15">
        <f t="shared" si="0"/>
        <v>3.8127967396841565E-2</v>
      </c>
      <c r="H7" s="15">
        <f t="shared" si="0"/>
        <v>1.5888236372898623</v>
      </c>
      <c r="I7" s="15">
        <f t="shared" si="0"/>
        <v>1.3532613346917979</v>
      </c>
      <c r="J7" s="15">
        <f t="shared" si="0"/>
        <v>4.1695089149261326</v>
      </c>
      <c r="K7" s="15">
        <f t="shared" si="0"/>
        <v>1.9953408048904737</v>
      </c>
      <c r="L7" s="15">
        <f t="shared" si="0"/>
        <v>0</v>
      </c>
      <c r="M7" s="15">
        <f t="shared" si="0"/>
        <v>0</v>
      </c>
      <c r="N7" s="15">
        <f t="shared" si="1"/>
        <v>100.17328374936319</v>
      </c>
      <c r="O7" s="14"/>
      <c r="P7" s="15">
        <f t="shared" si="2"/>
        <v>69.747125302321265</v>
      </c>
      <c r="Q7" s="15">
        <f t="shared" si="2"/>
        <v>0.36888192867381575</v>
      </c>
      <c r="R7" s="15">
        <f t="shared" si="2"/>
        <v>17.121318801232036</v>
      </c>
      <c r="S7" s="15">
        <f t="shared" si="2"/>
        <v>3.633430803421454</v>
      </c>
      <c r="T7" s="15">
        <f t="shared" si="2"/>
        <v>3.8062012115165335E-2</v>
      </c>
      <c r="U7" s="15">
        <f t="shared" si="2"/>
        <v>1.586075226669369</v>
      </c>
      <c r="V7" s="15">
        <f t="shared" si="2"/>
        <v>1.3509204091558999</v>
      </c>
      <c r="W7" s="15">
        <f t="shared" si="2"/>
        <v>4.1622963317828123</v>
      </c>
      <c r="X7" s="15">
        <f t="shared" si="2"/>
        <v>1.9918891846281901</v>
      </c>
      <c r="Y7" s="15">
        <f t="shared" si="2"/>
        <v>0</v>
      </c>
      <c r="Z7" s="15">
        <f t="shared" si="3"/>
        <v>100</v>
      </c>
      <c r="AA7" s="15"/>
      <c r="AB7" s="25">
        <f t="shared" si="4"/>
        <v>8.0899144895144115</v>
      </c>
      <c r="AC7" s="25">
        <f t="shared" si="5"/>
        <v>1.9654443394180821</v>
      </c>
      <c r="AD7" s="25">
        <f t="shared" si="6"/>
        <v>6.5631712652071705</v>
      </c>
      <c r="AE7" s="26">
        <f t="shared" si="7"/>
        <v>0.29946564854056745</v>
      </c>
      <c r="AF7" s="15"/>
      <c r="AG7" s="26">
        <f t="shared" si="8"/>
        <v>66.204142807934588</v>
      </c>
      <c r="AH7" s="26">
        <f t="shared" si="8"/>
        <v>0.35014363358105116</v>
      </c>
      <c r="AI7" s="26">
        <f t="shared" si="8"/>
        <v>16.251597898318209</v>
      </c>
      <c r="AJ7" s="26">
        <f t="shared" si="9"/>
        <v>6.5631712652071705</v>
      </c>
      <c r="AK7" s="26">
        <f t="shared" si="10"/>
        <v>1.9654443394180821</v>
      </c>
      <c r="AL7" s="26">
        <f t="shared" si="11"/>
        <v>3.6128555473896755E-2</v>
      </c>
      <c r="AM7" s="26">
        <f t="shared" si="11"/>
        <v>1.505506504467381</v>
      </c>
      <c r="AN7" s="26">
        <f t="shared" si="11"/>
        <v>1.2822969735633543</v>
      </c>
      <c r="AO7" s="26">
        <f t="shared" si="11"/>
        <v>3.9508619109943526</v>
      </c>
      <c r="AP7" s="26">
        <f t="shared" si="11"/>
        <v>1.8907061110419161</v>
      </c>
      <c r="AQ7" s="26">
        <f t="shared" si="11"/>
        <v>0</v>
      </c>
      <c r="AR7" s="26">
        <f t="shared" si="12"/>
        <v>100</v>
      </c>
      <c r="AS7" s="15"/>
      <c r="AT7" s="27">
        <f t="shared" si="13"/>
        <v>1.1609042160839091</v>
      </c>
      <c r="AU7" s="25">
        <f t="shared" si="14"/>
        <v>4.6167951023005725E-3</v>
      </c>
      <c r="AV7" s="25">
        <f t="shared" si="15"/>
        <v>0.16791994210770406</v>
      </c>
      <c r="AW7" s="25">
        <f t="shared" si="16"/>
        <v>1.2307873626514384E-2</v>
      </c>
      <c r="AX7" s="25">
        <f t="shared" si="17"/>
        <v>9.1350545127177163E-2</v>
      </c>
      <c r="AY7" s="28">
        <f t="shared" si="18"/>
        <v>5.3656078090651334E-4</v>
      </c>
      <c r="AZ7" s="25">
        <f t="shared" si="19"/>
        <v>3.9346941867262931E-2</v>
      </c>
      <c r="BA7" s="25">
        <f t="shared" si="20"/>
        <v>2.4089165641153709E-2</v>
      </c>
      <c r="BB7" s="25">
        <f t="shared" si="21"/>
        <v>3.2140204673306819E-2</v>
      </c>
      <c r="BC7" s="25">
        <f t="shared" si="22"/>
        <v>4.4184141249496434E-2</v>
      </c>
      <c r="BD7" s="25">
        <f t="shared" si="23"/>
        <v>0</v>
      </c>
      <c r="BE7" s="25">
        <f t="shared" si="24"/>
        <v>1.5773963862597316</v>
      </c>
      <c r="BF7" s="20" t="s">
        <v>95</v>
      </c>
      <c r="BG7" s="28">
        <f t="shared" si="25"/>
        <v>9.1887105908083674E-2</v>
      </c>
      <c r="BH7" s="28">
        <f t="shared" si="26"/>
        <v>0</v>
      </c>
      <c r="BI7" s="28">
        <f t="shared" si="27"/>
        <v>2.4089165641153709E-2</v>
      </c>
      <c r="BJ7" s="27">
        <f t="shared" si="28"/>
        <v>4.6167951023005725E-3</v>
      </c>
      <c r="BK7" s="28">
        <f t="shared" si="29"/>
        <v>8.7270310805783097E-2</v>
      </c>
      <c r="BL7" s="27">
        <f t="shared" si="30"/>
        <v>0</v>
      </c>
      <c r="BM7" s="28">
        <f t="shared" si="31"/>
        <v>2.4089165641153709E-2</v>
      </c>
      <c r="BN7" s="27">
        <f t="shared" si="32"/>
        <v>0</v>
      </c>
      <c r="BO7" s="27">
        <f t="shared" si="33"/>
        <v>4.4184141249496434E-2</v>
      </c>
      <c r="BP7" s="25">
        <f t="shared" si="34"/>
        <v>0.89579936858693054</v>
      </c>
      <c r="BQ7" s="27">
        <f t="shared" si="35"/>
        <v>0.12373580085820762</v>
      </c>
      <c r="BR7" s="27">
        <f t="shared" si="36"/>
        <v>0</v>
      </c>
      <c r="BS7" s="27">
        <f t="shared" si="37"/>
        <v>3.2140204673306819E-2</v>
      </c>
      <c r="BT7" s="25">
        <f t="shared" si="38"/>
        <v>0.7029581405470896</v>
      </c>
      <c r="BU7" s="27">
        <f t="shared" si="39"/>
        <v>9.1595596184900804E-2</v>
      </c>
      <c r="BV7" s="27">
        <f t="shared" si="40"/>
        <v>0</v>
      </c>
      <c r="BW7" s="27">
        <f t="shared" si="41"/>
        <v>0</v>
      </c>
      <c r="BX7" s="27">
        <f t="shared" si="42"/>
        <v>0</v>
      </c>
      <c r="BY7" s="27">
        <f t="shared" si="43"/>
        <v>1.2307873626514384E-2</v>
      </c>
      <c r="BZ7" s="27">
        <f t="shared" si="44"/>
        <v>0.7029581405470896</v>
      </c>
      <c r="CA7" s="27">
        <f t="shared" si="45"/>
        <v>0</v>
      </c>
      <c r="CB7" s="27">
        <f t="shared" si="46"/>
        <v>0.7029581405470896</v>
      </c>
      <c r="CC7" s="28">
        <f t="shared" si="47"/>
        <v>2.4089165641153709E-2</v>
      </c>
      <c r="CD7" s="25">
        <f t="shared" si="48"/>
        <v>0.65477980926478219</v>
      </c>
      <c r="CE7" s="28">
        <f t="shared" si="49"/>
        <v>6.7506430543747095E-2</v>
      </c>
      <c r="CF7" s="28">
        <f t="shared" si="50"/>
        <v>6.7506430543747095E-2</v>
      </c>
      <c r="CG7" s="28">
        <f t="shared" si="51"/>
        <v>0</v>
      </c>
      <c r="CH7" s="27">
        <f t="shared" si="52"/>
        <v>1.2307873626514384E-2</v>
      </c>
      <c r="CI7" s="28">
        <f t="shared" si="53"/>
        <v>7.4962437179268718E-2</v>
      </c>
      <c r="CJ7" s="27">
        <f t="shared" si="54"/>
        <v>0.34421446599973271</v>
      </c>
      <c r="CK7" s="27">
        <f t="shared" si="55"/>
        <v>0</v>
      </c>
      <c r="CL7" s="27">
        <f t="shared" si="56"/>
        <v>7.4962437179268718E-2</v>
      </c>
      <c r="CM7" s="27">
        <f t="shared" si="57"/>
        <v>3.9346941867262931E-2</v>
      </c>
      <c r="CN7" s="27">
        <f t="shared" si="58"/>
        <v>0.65477980926478219</v>
      </c>
      <c r="CO7" s="27">
        <f t="shared" ref="CO7:CO9" si="94">CG6-CK6</f>
        <v>0</v>
      </c>
      <c r="CP7" s="27">
        <f t="shared" si="59"/>
        <v>0</v>
      </c>
      <c r="CQ7" s="27">
        <f t="shared" ref="CQ7:CQ9" si="95">CN6-CP7</f>
        <v>0.66595769958985274</v>
      </c>
      <c r="CR7" s="27">
        <f t="shared" ref="CR7:CR9" si="96">CM6</f>
        <v>2.0877946349511723E-2</v>
      </c>
      <c r="CS7" s="27">
        <f t="shared" ref="CS7:CS9" si="97">CL6</f>
        <v>4.0634452130875048E-2</v>
      </c>
      <c r="CT7" s="27">
        <f t="shared" si="60"/>
        <v>0.60444530110946604</v>
      </c>
      <c r="CU7" s="27">
        <f t="shared" si="61"/>
        <v>3.9346941867262931E-2</v>
      </c>
      <c r="CV7" s="27">
        <f t="shared" si="62"/>
        <v>7.4962437179268718E-2</v>
      </c>
      <c r="CW7" s="27">
        <f t="shared" si="63"/>
        <v>0.54047043021825047</v>
      </c>
      <c r="CX7" s="27">
        <f t="shared" si="64"/>
        <v>0.54047043021825047</v>
      </c>
      <c r="CY7" s="29">
        <f t="shared" si="65"/>
        <v>0</v>
      </c>
      <c r="CZ7" s="28">
        <f t="shared" si="66"/>
        <v>0.54047043021825047</v>
      </c>
      <c r="DA7" s="27">
        <f t="shared" si="67"/>
        <v>4.4184141249496434E-2</v>
      </c>
      <c r="DB7" s="27">
        <f t="shared" si="68"/>
        <v>2.4089165641153709E-2</v>
      </c>
      <c r="DC7" s="27">
        <f t="shared" si="69"/>
        <v>3.2140204673306819E-2</v>
      </c>
      <c r="DD7" s="28">
        <f t="shared" si="70"/>
        <v>6.7506430543747095E-2</v>
      </c>
      <c r="DE7" s="25">
        <v>2</v>
      </c>
      <c r="DF7" s="27">
        <f t="shared" si="71"/>
        <v>0</v>
      </c>
      <c r="DG7" s="27">
        <f t="shared" si="72"/>
        <v>0</v>
      </c>
      <c r="DH7" s="27">
        <f t="shared" si="73"/>
        <v>3.9346941867262931E-2</v>
      </c>
      <c r="DI7" s="28">
        <f t="shared" si="73"/>
        <v>7.4962437179268718E-2</v>
      </c>
      <c r="DJ7" s="25">
        <v>2</v>
      </c>
      <c r="DK7" s="28">
        <f t="shared" si="74"/>
        <v>1.2307873626514384E-2</v>
      </c>
      <c r="DL7" s="28">
        <f t="shared" si="75"/>
        <v>4.6167951023005725E-3</v>
      </c>
      <c r="DM7" s="30">
        <f t="shared" si="76"/>
        <v>32.471463447512491</v>
      </c>
      <c r="DN7" s="25">
        <f t="shared" si="77"/>
        <v>16.856894547055962</v>
      </c>
      <c r="DO7" s="25">
        <f t="shared" si="78"/>
        <v>24.597311433594665</v>
      </c>
      <c r="DP7" s="25">
        <f t="shared" si="79"/>
        <v>6.7020876646817857</v>
      </c>
      <c r="DQ7" s="25">
        <f t="shared" si="80"/>
        <v>0</v>
      </c>
      <c r="DR7" s="25">
        <f t="shared" si="81"/>
        <v>6.8829556582404532</v>
      </c>
      <c r="DS7" s="25">
        <f t="shared" si="82"/>
        <v>0</v>
      </c>
      <c r="DT7" s="25">
        <f t="shared" si="83"/>
        <v>0</v>
      </c>
      <c r="DU7" s="25">
        <f t="shared" si="84"/>
        <v>3.9500394940545256</v>
      </c>
      <c r="DV7" s="25">
        <f t="shared" si="85"/>
        <v>9.890543961432714</v>
      </c>
      <c r="DW7" s="25">
        <f t="shared" si="86"/>
        <v>2.8497478284600635</v>
      </c>
      <c r="DX7" s="25">
        <f t="shared" si="87"/>
        <v>0.70057649615762085</v>
      </c>
      <c r="DY7" s="31">
        <f t="shared" si="88"/>
        <v>43.924476705708379</v>
      </c>
      <c r="DZ7" s="26">
        <f t="shared" si="88"/>
        <v>22.802491580325238</v>
      </c>
      <c r="EA7" s="26">
        <f t="shared" si="88"/>
        <v>33.273031713966382</v>
      </c>
      <c r="EB7" s="29">
        <f t="shared" si="89"/>
        <v>37.91414005406132</v>
      </c>
      <c r="EC7" s="25">
        <f t="shared" si="90"/>
        <v>27.45822195098868</v>
      </c>
      <c r="ED7" s="28">
        <f t="shared" si="91"/>
        <v>34.627637994950007</v>
      </c>
      <c r="EE7" s="31">
        <f t="shared" si="92"/>
        <v>13.917366054045132</v>
      </c>
      <c r="EF7" s="31">
        <f t="shared" si="93"/>
        <v>35.004551370181773</v>
      </c>
      <c r="EG7" s="32">
        <f t="shared" si="93"/>
        <v>51.078082575773102</v>
      </c>
    </row>
    <row r="8" spans="1:137" x14ac:dyDescent="0.3">
      <c r="A8" s="1"/>
      <c r="B8" s="1"/>
      <c r="L8" s="1"/>
      <c r="M8" s="1"/>
      <c r="N8" s="4"/>
      <c r="O8" s="1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1"/>
      <c r="AC8" s="1"/>
      <c r="AD8" s="1"/>
      <c r="AE8" s="4"/>
      <c r="AF8" s="4"/>
      <c r="AG8" s="1">
        <f t="shared" ref="AG8:BD9" si="98">AG6</f>
        <v>70.850092566168371</v>
      </c>
      <c r="AH8" s="1">
        <f t="shared" si="98"/>
        <v>0.20038307472175951</v>
      </c>
      <c r="AI8" s="1">
        <f t="shared" si="98"/>
        <v>16.270833122372565</v>
      </c>
      <c r="AJ8" s="1">
        <f t="shared" si="98"/>
        <v>3.5651578480647772</v>
      </c>
      <c r="AK8" s="1">
        <f t="shared" si="98"/>
        <v>1.0676423071202124</v>
      </c>
      <c r="AL8" s="1">
        <f t="shared" si="98"/>
        <v>1.902924657689407E-2</v>
      </c>
      <c r="AM8" s="1">
        <f t="shared" si="98"/>
        <v>0.81878502430370803</v>
      </c>
      <c r="AN8" s="1">
        <f t="shared" si="98"/>
        <v>1.2889570314342531</v>
      </c>
      <c r="AO8" s="1">
        <f t="shared" si="98"/>
        <v>2.6468496046618042</v>
      </c>
      <c r="AP8" s="1">
        <f t="shared" si="98"/>
        <v>3.2722701745756444</v>
      </c>
      <c r="AQ8" s="1">
        <f t="shared" si="98"/>
        <v>0</v>
      </c>
      <c r="AR8" s="1">
        <f t="shared" si="98"/>
        <v>99.999999999999972</v>
      </c>
      <c r="AS8" s="1">
        <f t="shared" si="98"/>
        <v>0</v>
      </c>
      <c r="AT8" s="1">
        <f t="shared" si="98"/>
        <v>1.2121076232633838</v>
      </c>
      <c r="AU8" s="1">
        <f t="shared" si="98"/>
        <v>2.5777746087817092E-3</v>
      </c>
      <c r="AV8" s="1">
        <f t="shared" si="98"/>
        <v>0.16402329702671195</v>
      </c>
      <c r="AW8" s="1">
        <f t="shared" si="98"/>
        <v>6.6857179981226903E-3</v>
      </c>
      <c r="AX8" s="1">
        <f t="shared" si="98"/>
        <v>4.9622217633059282E-2</v>
      </c>
      <c r="AY8" s="1">
        <f t="shared" si="98"/>
        <v>2.7572710472016692E-4</v>
      </c>
      <c r="AZ8" s="1">
        <f t="shared" si="98"/>
        <v>2.0877946349511723E-2</v>
      </c>
      <c r="BA8" s="1">
        <f t="shared" si="98"/>
        <v>2.362441807755299E-2</v>
      </c>
      <c r="BB8" s="1">
        <f t="shared" si="98"/>
        <v>5.427043506245801E-2</v>
      </c>
      <c r="BC8" s="1">
        <f t="shared" si="98"/>
        <v>2.8879746190612853E-2</v>
      </c>
      <c r="BD8" s="1">
        <f t="shared" si="98"/>
        <v>0</v>
      </c>
      <c r="BE8" s="1">
        <f>BE6</f>
        <v>1.5629449033149152</v>
      </c>
      <c r="BF8" s="33" t="s">
        <v>96</v>
      </c>
      <c r="BG8" s="34">
        <f t="shared" si="25"/>
        <v>4.9897944737779448E-2</v>
      </c>
      <c r="BH8" s="34">
        <f>0.042+0.00059</f>
        <v>4.2590000000000003E-2</v>
      </c>
      <c r="BI8" s="34">
        <f t="shared" si="27"/>
        <v>2.362441807755299E-2</v>
      </c>
      <c r="BJ8" s="35">
        <f>IF(AU8&gt;BG8,BG8,AU8)</f>
        <v>2.5777746087817092E-3</v>
      </c>
      <c r="BK8" s="34">
        <f t="shared" si="29"/>
        <v>4.7320170128997738E-2</v>
      </c>
      <c r="BL8" s="35">
        <v>1.4E-2</v>
      </c>
      <c r="BM8" s="34">
        <f t="shared" si="31"/>
        <v>9.6244180775529892E-3</v>
      </c>
      <c r="BN8" s="35">
        <f t="shared" si="32"/>
        <v>-1.4E-2</v>
      </c>
      <c r="BO8" s="35">
        <f t="shared" si="33"/>
        <v>2.8879746190612853E-2</v>
      </c>
      <c r="BP8" s="36">
        <f t="shared" si="34"/>
        <v>1.0388291461197068</v>
      </c>
      <c r="BQ8" s="35">
        <f t="shared" si="35"/>
        <v>0.13514355083609911</v>
      </c>
      <c r="BR8" s="35">
        <f t="shared" si="36"/>
        <v>0</v>
      </c>
      <c r="BS8" s="35">
        <f t="shared" si="37"/>
        <v>5.427043506245801E-2</v>
      </c>
      <c r="BT8" s="36">
        <f t="shared" si="38"/>
        <v>0.71320653574495874</v>
      </c>
      <c r="BU8" s="35">
        <f t="shared" si="39"/>
        <v>8.0873115773641091E-2</v>
      </c>
      <c r="BV8" s="35">
        <f t="shared" si="40"/>
        <v>0</v>
      </c>
      <c r="BW8" s="35">
        <f t="shared" si="41"/>
        <v>0</v>
      </c>
      <c r="BX8" s="35">
        <f t="shared" si="42"/>
        <v>0</v>
      </c>
      <c r="BY8" s="35">
        <f t="shared" si="43"/>
        <v>6.6857179981226903E-3</v>
      </c>
      <c r="BZ8" s="35">
        <f t="shared" si="44"/>
        <v>0.71320653574495874</v>
      </c>
      <c r="CA8" s="35">
        <f t="shared" si="45"/>
        <v>0</v>
      </c>
      <c r="CB8" s="35">
        <f t="shared" si="46"/>
        <v>0.71320653574495874</v>
      </c>
      <c r="CC8" s="34">
        <f t="shared" si="47"/>
        <v>9.6244180775529892E-3</v>
      </c>
      <c r="CD8" s="36">
        <f t="shared" si="48"/>
        <v>0.69395769958985276</v>
      </c>
      <c r="CE8" s="34">
        <f t="shared" si="49"/>
        <v>7.1248697696088104E-2</v>
      </c>
      <c r="CF8" s="34">
        <f t="shared" si="50"/>
        <v>7.1248697696088104E-2</v>
      </c>
      <c r="CG8" s="34">
        <f t="shared" si="51"/>
        <v>0</v>
      </c>
      <c r="CH8" s="35">
        <f t="shared" si="52"/>
        <v>6.6857179981226903E-3</v>
      </c>
      <c r="CI8" s="34">
        <f t="shared" si="53"/>
        <v>4.0634452130875048E-2</v>
      </c>
      <c r="CJ8" s="35">
        <f t="shared" si="54"/>
        <v>0.33941037685546693</v>
      </c>
      <c r="CK8" s="35">
        <f t="shared" si="55"/>
        <v>0</v>
      </c>
      <c r="CL8" s="35">
        <f t="shared" si="56"/>
        <v>4.0634452130875048E-2</v>
      </c>
      <c r="CM8" s="35">
        <f t="shared" si="57"/>
        <v>2.0877946349511723E-2</v>
      </c>
      <c r="CN8" s="35">
        <f t="shared" si="58"/>
        <v>0.69395769958985276</v>
      </c>
      <c r="CO8" s="35">
        <f t="shared" si="94"/>
        <v>0</v>
      </c>
      <c r="CP8" s="35">
        <f t="shared" si="59"/>
        <v>0</v>
      </c>
      <c r="CQ8" s="35">
        <f t="shared" si="95"/>
        <v>0.65477980926478219</v>
      </c>
      <c r="CR8" s="35">
        <f t="shared" si="96"/>
        <v>3.9346941867262931E-2</v>
      </c>
      <c r="CS8" s="35">
        <f t="shared" si="97"/>
        <v>7.4962437179268718E-2</v>
      </c>
      <c r="CT8" s="35">
        <f t="shared" si="60"/>
        <v>0.54047043021825047</v>
      </c>
      <c r="CU8" s="35">
        <f t="shared" si="61"/>
        <v>2.0877946349511723E-2</v>
      </c>
      <c r="CV8" s="35">
        <f t="shared" si="62"/>
        <v>4.0634452130875048E-2</v>
      </c>
      <c r="CW8" s="35">
        <f t="shared" si="63"/>
        <v>0.63244530110946606</v>
      </c>
      <c r="CX8" s="35">
        <f t="shared" si="64"/>
        <v>0.63244530110946606</v>
      </c>
      <c r="CY8" s="37">
        <f t="shared" si="65"/>
        <v>4.2590000000000003E-2</v>
      </c>
      <c r="CZ8" s="34">
        <f t="shared" si="66"/>
        <v>0.63244530110946606</v>
      </c>
      <c r="DA8" s="35">
        <f t="shared" si="67"/>
        <v>2.8879746190612853E-2</v>
      </c>
      <c r="DB8" s="35">
        <f t="shared" si="68"/>
        <v>9.6244180775529892E-3</v>
      </c>
      <c r="DC8" s="35">
        <f t="shared" si="69"/>
        <v>5.427043506245801E-2</v>
      </c>
      <c r="DD8" s="34">
        <f t="shared" si="70"/>
        <v>7.1248697696088104E-2</v>
      </c>
      <c r="DE8" s="36">
        <v>1</v>
      </c>
      <c r="DF8" s="35">
        <f t="shared" si="71"/>
        <v>0</v>
      </c>
      <c r="DG8" s="35">
        <f t="shared" si="72"/>
        <v>0</v>
      </c>
      <c r="DH8" s="35">
        <f t="shared" si="73"/>
        <v>2.0877946349511723E-2</v>
      </c>
      <c r="DI8" s="34">
        <f t="shared" si="73"/>
        <v>4.0634452130875048E-2</v>
      </c>
      <c r="DJ8" s="36">
        <v>1</v>
      </c>
      <c r="DK8" s="34">
        <f t="shared" si="74"/>
        <v>6.6857179981226903E-3</v>
      </c>
      <c r="DL8" s="34">
        <f t="shared" si="75"/>
        <v>2.5777746087817092E-3</v>
      </c>
      <c r="DM8" s="38">
        <f t="shared" si="76"/>
        <v>37.997313690656718</v>
      </c>
      <c r="DN8" s="36">
        <f t="shared" si="77"/>
        <v>28.463757781557977</v>
      </c>
      <c r="DO8" s="36">
        <f t="shared" si="78"/>
        <v>16.077354704314178</v>
      </c>
      <c r="DP8" s="36">
        <f t="shared" si="79"/>
        <v>2.6777055975367929</v>
      </c>
      <c r="DQ8" s="36">
        <f t="shared" si="80"/>
        <v>13.9273559</v>
      </c>
      <c r="DR8" s="36">
        <f t="shared" si="81"/>
        <v>7.2645172170931422</v>
      </c>
      <c r="DS8" s="36">
        <f t="shared" si="82"/>
        <v>0</v>
      </c>
      <c r="DT8" s="36">
        <f t="shared" si="83"/>
        <v>0</v>
      </c>
      <c r="DU8" s="36">
        <f t="shared" si="84"/>
        <v>2.0959370340274819</v>
      </c>
      <c r="DV8" s="36">
        <f t="shared" si="85"/>
        <v>5.3613096141476539</v>
      </c>
      <c r="DW8" s="36">
        <f t="shared" si="86"/>
        <v>1.5480017852801304</v>
      </c>
      <c r="DX8" s="36">
        <f t="shared" si="87"/>
        <v>0.39116492356450222</v>
      </c>
      <c r="DY8" s="39">
        <f t="shared" si="88"/>
        <v>46.03590769878511</v>
      </c>
      <c r="DZ8" s="40">
        <f t="shared" si="88"/>
        <v>34.48546222662543</v>
      </c>
      <c r="EA8" s="40">
        <f t="shared" si="88"/>
        <v>19.478630074589468</v>
      </c>
      <c r="EB8" s="37">
        <f t="shared" si="89"/>
        <v>43.309903133812284</v>
      </c>
      <c r="EC8" s="36">
        <f t="shared" si="90"/>
        <v>18.228710066869656</v>
      </c>
      <c r="ED8" s="34">
        <f t="shared" si="91"/>
        <v>38.461386799318063</v>
      </c>
      <c r="EE8" s="41">
        <f t="shared" si="92"/>
        <v>5.6708441808238437</v>
      </c>
      <c r="EF8" s="41">
        <f t="shared" si="93"/>
        <v>60.280538431264027</v>
      </c>
      <c r="EG8" s="42">
        <f t="shared" si="93"/>
        <v>34.048617387912131</v>
      </c>
    </row>
    <row r="9" spans="1:137" x14ac:dyDescent="0.3">
      <c r="A9" s="1"/>
      <c r="B9" s="1"/>
      <c r="L9" s="1"/>
      <c r="M9" s="1"/>
      <c r="N9" s="4"/>
      <c r="O9" s="1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1"/>
      <c r="AC9" s="1"/>
      <c r="AD9" s="1"/>
      <c r="AE9" s="4"/>
      <c r="AF9" s="4"/>
      <c r="AG9" s="1">
        <f t="shared" si="98"/>
        <v>66.204142807934588</v>
      </c>
      <c r="AH9" s="1">
        <f t="shared" si="98"/>
        <v>0.35014363358105116</v>
      </c>
      <c r="AI9" s="1">
        <f t="shared" si="98"/>
        <v>16.251597898318209</v>
      </c>
      <c r="AJ9" s="1">
        <f t="shared" si="98"/>
        <v>6.5631712652071705</v>
      </c>
      <c r="AK9" s="1">
        <f t="shared" si="98"/>
        <v>1.9654443394180821</v>
      </c>
      <c r="AL9" s="1">
        <f t="shared" si="98"/>
        <v>3.6128555473896755E-2</v>
      </c>
      <c r="AM9" s="1">
        <f t="shared" si="98"/>
        <v>1.505506504467381</v>
      </c>
      <c r="AN9" s="1">
        <f t="shared" si="98"/>
        <v>1.2822969735633543</v>
      </c>
      <c r="AO9" s="1">
        <f t="shared" si="98"/>
        <v>3.9508619109943526</v>
      </c>
      <c r="AP9" s="1">
        <f t="shared" si="98"/>
        <v>1.8907061110419161</v>
      </c>
      <c r="AQ9" s="1">
        <f t="shared" si="98"/>
        <v>0</v>
      </c>
      <c r="AR9" s="1">
        <f t="shared" si="98"/>
        <v>100</v>
      </c>
      <c r="AS9" s="1">
        <f t="shared" si="98"/>
        <v>0</v>
      </c>
      <c r="AT9" s="1">
        <f t="shared" si="98"/>
        <v>1.1609042160839091</v>
      </c>
      <c r="AU9" s="1">
        <f t="shared" si="98"/>
        <v>4.6167951023005725E-3</v>
      </c>
      <c r="AV9" s="1">
        <f t="shared" si="98"/>
        <v>0.16791994210770406</v>
      </c>
      <c r="AW9" s="1">
        <f t="shared" si="98"/>
        <v>1.2307873626514384E-2</v>
      </c>
      <c r="AX9" s="1">
        <f t="shared" si="98"/>
        <v>9.1350545127177163E-2</v>
      </c>
      <c r="AY9" s="1">
        <f t="shared" si="98"/>
        <v>5.3656078090651334E-4</v>
      </c>
      <c r="AZ9" s="1">
        <f t="shared" si="98"/>
        <v>3.9346941867262931E-2</v>
      </c>
      <c r="BA9" s="1">
        <f t="shared" si="98"/>
        <v>2.4089165641153709E-2</v>
      </c>
      <c r="BB9" s="1">
        <f t="shared" si="98"/>
        <v>3.2140204673306819E-2</v>
      </c>
      <c r="BC9" s="1">
        <f t="shared" si="98"/>
        <v>4.4184141249496434E-2</v>
      </c>
      <c r="BD9" s="1">
        <f t="shared" si="98"/>
        <v>0</v>
      </c>
      <c r="BE9" s="1">
        <f>BE7</f>
        <v>1.5773963862597316</v>
      </c>
      <c r="BF9" s="33" t="s">
        <v>97</v>
      </c>
      <c r="BG9" s="43">
        <f t="shared" si="25"/>
        <v>9.1887105908083674E-2</v>
      </c>
      <c r="BH9" s="43">
        <f>0.17+0.0039</f>
        <v>0.1739</v>
      </c>
      <c r="BI9" s="43">
        <f t="shared" si="27"/>
        <v>2.4089165641153709E-2</v>
      </c>
      <c r="BJ9" s="44">
        <f t="shared" ref="BJ9" si="99">IF(AU9&gt;BG9,BG9,AU9)</f>
        <v>4.6167951023005725E-3</v>
      </c>
      <c r="BK9" s="43">
        <f t="shared" si="29"/>
        <v>8.7270310805783097E-2</v>
      </c>
      <c r="BL9" s="44">
        <v>0.45</v>
      </c>
      <c r="BM9" s="43">
        <f t="shared" si="31"/>
        <v>-0.4259108343588463</v>
      </c>
      <c r="BN9" s="44">
        <f t="shared" si="32"/>
        <v>-0.45</v>
      </c>
      <c r="BO9" s="44">
        <f t="shared" si="33"/>
        <v>4.4184141249496434E-2</v>
      </c>
      <c r="BP9" s="45">
        <f t="shared" si="34"/>
        <v>0.89579936858693054</v>
      </c>
      <c r="BQ9" s="44">
        <f t="shared" si="35"/>
        <v>0.12373580085820762</v>
      </c>
      <c r="BR9" s="44">
        <f t="shared" si="36"/>
        <v>0</v>
      </c>
      <c r="BS9" s="44">
        <f t="shared" si="37"/>
        <v>3.2140204673306819E-2</v>
      </c>
      <c r="BT9" s="45">
        <f t="shared" si="38"/>
        <v>0.7029581405470896</v>
      </c>
      <c r="BU9" s="44">
        <f t="shared" si="39"/>
        <v>9.1595596184900804E-2</v>
      </c>
      <c r="BV9" s="44">
        <f t="shared" si="40"/>
        <v>0</v>
      </c>
      <c r="BW9" s="44">
        <f t="shared" si="41"/>
        <v>0</v>
      </c>
      <c r="BX9" s="44">
        <f t="shared" si="42"/>
        <v>0</v>
      </c>
      <c r="BY9" s="44">
        <f t="shared" si="43"/>
        <v>1.2307873626514384E-2</v>
      </c>
      <c r="BZ9" s="44">
        <f t="shared" si="44"/>
        <v>0.7029581405470896</v>
      </c>
      <c r="CA9" s="44">
        <f t="shared" si="45"/>
        <v>0</v>
      </c>
      <c r="CB9" s="44">
        <f t="shared" si="46"/>
        <v>0.7029581405470896</v>
      </c>
      <c r="CC9" s="43">
        <f t="shared" si="47"/>
        <v>-0.4259108343588463</v>
      </c>
      <c r="CD9" s="45">
        <f t="shared" si="48"/>
        <v>1.5547798092647822</v>
      </c>
      <c r="CE9" s="43">
        <f t="shared" si="49"/>
        <v>0.51750643054374712</v>
      </c>
      <c r="CF9" s="43">
        <f t="shared" si="50"/>
        <v>0.51750643054374712</v>
      </c>
      <c r="CG9" s="43">
        <f t="shared" si="51"/>
        <v>0</v>
      </c>
      <c r="CH9" s="44">
        <f t="shared" si="52"/>
        <v>1.2307873626514384E-2</v>
      </c>
      <c r="CI9" s="43">
        <f t="shared" si="53"/>
        <v>7.4962437179268718E-2</v>
      </c>
      <c r="CJ9" s="44">
        <f t="shared" si="54"/>
        <v>0.34421446599973271</v>
      </c>
      <c r="CK9" s="44">
        <f t="shared" si="55"/>
        <v>0</v>
      </c>
      <c r="CL9" s="44">
        <f t="shared" si="56"/>
        <v>7.4962437179268718E-2</v>
      </c>
      <c r="CM9" s="44">
        <f t="shared" si="57"/>
        <v>3.9346941867262931E-2</v>
      </c>
      <c r="CN9" s="44">
        <f t="shared" si="58"/>
        <v>1.5547798092647822</v>
      </c>
      <c r="CO9" s="44">
        <f t="shared" si="94"/>
        <v>0</v>
      </c>
      <c r="CP9" s="44">
        <f t="shared" si="59"/>
        <v>0</v>
      </c>
      <c r="CQ9" s="44">
        <f t="shared" si="95"/>
        <v>0.69395769958985276</v>
      </c>
      <c r="CR9" s="44">
        <f t="shared" si="96"/>
        <v>2.0877946349511723E-2</v>
      </c>
      <c r="CS9" s="44">
        <f t="shared" si="97"/>
        <v>4.0634452130875048E-2</v>
      </c>
      <c r="CT9" s="44">
        <f t="shared" si="60"/>
        <v>0.63244530110946606</v>
      </c>
      <c r="CU9" s="44">
        <f t="shared" si="61"/>
        <v>3.9346941867262931E-2</v>
      </c>
      <c r="CV9" s="44">
        <f t="shared" si="62"/>
        <v>7.4962437179268718E-2</v>
      </c>
      <c r="CW9" s="44">
        <f t="shared" si="63"/>
        <v>1.4404704302182505</v>
      </c>
      <c r="CX9" s="44">
        <f t="shared" si="64"/>
        <v>1.4404704302182505</v>
      </c>
      <c r="CY9" s="46">
        <f t="shared" si="65"/>
        <v>0.1739</v>
      </c>
      <c r="CZ9" s="43">
        <f t="shared" si="66"/>
        <v>1.4404704302182505</v>
      </c>
      <c r="DA9" s="44">
        <f t="shared" si="67"/>
        <v>4.4184141249496434E-2</v>
      </c>
      <c r="DB9" s="44">
        <f t="shared" si="68"/>
        <v>-0.4259108343588463</v>
      </c>
      <c r="DC9" s="44">
        <f t="shared" si="69"/>
        <v>3.2140204673306819E-2</v>
      </c>
      <c r="DD9" s="43">
        <f t="shared" si="70"/>
        <v>0.51750643054374712</v>
      </c>
      <c r="DE9" s="45">
        <v>2</v>
      </c>
      <c r="DF9" s="44">
        <f t="shared" si="71"/>
        <v>0</v>
      </c>
      <c r="DG9" s="44">
        <f t="shared" si="72"/>
        <v>0</v>
      </c>
      <c r="DH9" s="44">
        <f t="shared" si="73"/>
        <v>3.9346941867262931E-2</v>
      </c>
      <c r="DI9" s="43">
        <f t="shared" si="73"/>
        <v>7.4962437179268718E-2</v>
      </c>
      <c r="DJ9" s="45">
        <v>2</v>
      </c>
      <c r="DK9" s="43">
        <f t="shared" si="74"/>
        <v>1.2307873626514384E-2</v>
      </c>
      <c r="DL9" s="43">
        <f t="shared" si="75"/>
        <v>4.6167951023005725E-3</v>
      </c>
      <c r="DM9" s="47">
        <f t="shared" si="76"/>
        <v>86.543463447512494</v>
      </c>
      <c r="DN9" s="45">
        <f t="shared" si="77"/>
        <v>16.856894547055962</v>
      </c>
      <c r="DO9" s="45">
        <f t="shared" si="78"/>
        <v>24.597311433594665</v>
      </c>
      <c r="DP9" s="45">
        <f t="shared" si="79"/>
        <v>-118.49691233531823</v>
      </c>
      <c r="DQ9" s="45">
        <f t="shared" si="80"/>
        <v>56.867038999999998</v>
      </c>
      <c r="DR9" s="45">
        <f t="shared" si="81"/>
        <v>52.764955658240453</v>
      </c>
      <c r="DS9" s="45">
        <f t="shared" si="82"/>
        <v>0</v>
      </c>
      <c r="DT9" s="45">
        <f t="shared" si="83"/>
        <v>0</v>
      </c>
      <c r="DU9" s="45">
        <f t="shared" si="84"/>
        <v>3.9500394940545256</v>
      </c>
      <c r="DV9" s="45">
        <f t="shared" si="85"/>
        <v>9.890543961432714</v>
      </c>
      <c r="DW9" s="45">
        <f t="shared" si="86"/>
        <v>2.8497478284600635</v>
      </c>
      <c r="DX9" s="45">
        <f t="shared" si="87"/>
        <v>0.70057649615762085</v>
      </c>
      <c r="DY9" s="48">
        <f t="shared" si="88"/>
        <v>67.613311893998031</v>
      </c>
      <c r="DZ9" s="49">
        <f t="shared" si="88"/>
        <v>13.1696886532115</v>
      </c>
      <c r="EA9" s="49">
        <f t="shared" si="88"/>
        <v>19.216999452790471</v>
      </c>
      <c r="EB9" s="46">
        <f t="shared" si="89"/>
        <v>278.4575702167092</v>
      </c>
      <c r="EC9" s="45">
        <f t="shared" si="90"/>
        <v>24.65185844430124</v>
      </c>
      <c r="ED9" s="43">
        <f t="shared" si="91"/>
        <v>-203.10942866101044</v>
      </c>
      <c r="EE9" s="48">
        <f t="shared" si="92"/>
        <v>153.80678839320024</v>
      </c>
      <c r="EF9" s="48">
        <f t="shared" si="93"/>
        <v>-21.879935615780319</v>
      </c>
      <c r="EG9" s="50">
        <f t="shared" si="93"/>
        <v>-31.926852777419917</v>
      </c>
    </row>
    <row r="10" spans="1:137" x14ac:dyDescent="0.3">
      <c r="A10" s="1"/>
      <c r="B10" s="1"/>
      <c r="L10" s="1"/>
      <c r="M10" s="1"/>
      <c r="N10" s="4"/>
      <c r="O10" s="1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1"/>
      <c r="AC10" s="1"/>
      <c r="AD10" s="1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12"/>
      <c r="AU10" s="1"/>
      <c r="AV10" s="1"/>
      <c r="AW10" s="1"/>
      <c r="AX10" s="1"/>
      <c r="AY10" s="51"/>
      <c r="AZ10" s="1"/>
      <c r="BA10" s="1"/>
      <c r="BB10" s="1"/>
      <c r="BC10" s="1"/>
      <c r="BD10" s="1"/>
      <c r="BE10" s="1"/>
      <c r="BF10" s="52" t="s">
        <v>98</v>
      </c>
      <c r="BG10" s="53">
        <f>BG8-BG6</f>
        <v>0</v>
      </c>
      <c r="BH10" s="53">
        <f t="shared" ref="BH10:DS11" si="100">BH8-BH6</f>
        <v>4.2590000000000003E-2</v>
      </c>
      <c r="BI10" s="53">
        <f t="shared" si="100"/>
        <v>0</v>
      </c>
      <c r="BJ10" s="53">
        <f t="shared" si="100"/>
        <v>0</v>
      </c>
      <c r="BK10" s="53">
        <f t="shared" si="100"/>
        <v>0</v>
      </c>
      <c r="BL10" s="53">
        <f t="shared" si="100"/>
        <v>1.4E-2</v>
      </c>
      <c r="BM10" s="53">
        <f t="shared" si="100"/>
        <v>-1.4E-2</v>
      </c>
      <c r="BN10" s="53">
        <f t="shared" si="100"/>
        <v>-1.4E-2</v>
      </c>
      <c r="BO10" s="53">
        <f t="shared" si="100"/>
        <v>0</v>
      </c>
      <c r="BP10" s="53">
        <f t="shared" si="100"/>
        <v>0</v>
      </c>
      <c r="BQ10" s="53">
        <f t="shared" si="100"/>
        <v>0</v>
      </c>
      <c r="BR10" s="53">
        <f t="shared" si="100"/>
        <v>0</v>
      </c>
      <c r="BS10" s="53">
        <f t="shared" si="100"/>
        <v>0</v>
      </c>
      <c r="BT10" s="53">
        <f t="shared" si="100"/>
        <v>0</v>
      </c>
      <c r="BU10" s="53">
        <f t="shared" si="100"/>
        <v>0</v>
      </c>
      <c r="BV10" s="53">
        <f t="shared" si="100"/>
        <v>0</v>
      </c>
      <c r="BW10" s="53">
        <f t="shared" si="100"/>
        <v>0</v>
      </c>
      <c r="BX10" s="53">
        <f t="shared" si="100"/>
        <v>0</v>
      </c>
      <c r="BY10" s="53">
        <f t="shared" si="100"/>
        <v>0</v>
      </c>
      <c r="BZ10" s="53">
        <f t="shared" si="100"/>
        <v>0</v>
      </c>
      <c r="CA10" s="53">
        <f t="shared" si="100"/>
        <v>0</v>
      </c>
      <c r="CB10" s="53">
        <f t="shared" si="100"/>
        <v>0</v>
      </c>
      <c r="CC10" s="53">
        <f t="shared" si="100"/>
        <v>-1.4E-2</v>
      </c>
      <c r="CD10" s="53">
        <f t="shared" si="100"/>
        <v>2.8000000000000025E-2</v>
      </c>
      <c r="CE10" s="53">
        <f t="shared" si="100"/>
        <v>1.3999999999999999E-2</v>
      </c>
      <c r="CF10" s="53">
        <f t="shared" si="100"/>
        <v>1.3999999999999999E-2</v>
      </c>
      <c r="CG10" s="53">
        <f t="shared" si="100"/>
        <v>0</v>
      </c>
      <c r="CH10" s="53">
        <f t="shared" si="100"/>
        <v>0</v>
      </c>
      <c r="CI10" s="53">
        <f t="shared" si="100"/>
        <v>0</v>
      </c>
      <c r="CJ10" s="53">
        <f t="shared" si="100"/>
        <v>0</v>
      </c>
      <c r="CK10" s="53">
        <f t="shared" si="100"/>
        <v>0</v>
      </c>
      <c r="CL10" s="53">
        <f t="shared" si="100"/>
        <v>0</v>
      </c>
      <c r="CM10" s="53">
        <f t="shared" si="100"/>
        <v>0</v>
      </c>
      <c r="CN10" s="53">
        <f t="shared" si="100"/>
        <v>2.8000000000000025E-2</v>
      </c>
      <c r="CO10" s="53" t="e">
        <f t="shared" si="100"/>
        <v>#REF!</v>
      </c>
      <c r="CP10" s="53" t="e">
        <f t="shared" si="100"/>
        <v>#REF!</v>
      </c>
      <c r="CQ10" s="53" t="e">
        <f t="shared" si="100"/>
        <v>#REF!</v>
      </c>
      <c r="CR10" s="53" t="e">
        <f t="shared" si="100"/>
        <v>#REF!</v>
      </c>
      <c r="CS10" s="53" t="e">
        <f t="shared" si="100"/>
        <v>#REF!</v>
      </c>
      <c r="CT10" s="53" t="e">
        <f t="shared" si="100"/>
        <v>#REF!</v>
      </c>
      <c r="CU10" s="53">
        <f t="shared" si="100"/>
        <v>0</v>
      </c>
      <c r="CV10" s="53">
        <f t="shared" si="100"/>
        <v>0</v>
      </c>
      <c r="CW10" s="53">
        <f t="shared" si="100"/>
        <v>2.8000000000000025E-2</v>
      </c>
      <c r="CX10" s="53">
        <f t="shared" si="100"/>
        <v>2.8000000000000025E-2</v>
      </c>
      <c r="CY10" s="53">
        <f t="shared" si="100"/>
        <v>4.2590000000000003E-2</v>
      </c>
      <c r="CZ10" s="53">
        <f t="shared" si="100"/>
        <v>2.8000000000000025E-2</v>
      </c>
      <c r="DA10" s="53">
        <f t="shared" si="100"/>
        <v>0</v>
      </c>
      <c r="DB10" s="53">
        <f t="shared" si="100"/>
        <v>-1.4E-2</v>
      </c>
      <c r="DC10" s="53">
        <f t="shared" si="100"/>
        <v>0</v>
      </c>
      <c r="DD10" s="53">
        <f t="shared" si="100"/>
        <v>1.3999999999999999E-2</v>
      </c>
      <c r="DE10" s="53">
        <f t="shared" si="100"/>
        <v>0</v>
      </c>
      <c r="DF10" s="53">
        <f t="shared" si="100"/>
        <v>0</v>
      </c>
      <c r="DG10" s="53" t="e">
        <f t="shared" si="100"/>
        <v>#REF!</v>
      </c>
      <c r="DH10" s="53">
        <f t="shared" si="100"/>
        <v>0</v>
      </c>
      <c r="DI10" s="53">
        <f t="shared" si="100"/>
        <v>0</v>
      </c>
      <c r="DJ10" s="53">
        <f t="shared" si="100"/>
        <v>0</v>
      </c>
      <c r="DK10" s="53">
        <f t="shared" si="100"/>
        <v>0</v>
      </c>
      <c r="DL10" s="53">
        <f t="shared" si="100"/>
        <v>0</v>
      </c>
      <c r="DM10" s="53">
        <f t="shared" si="100"/>
        <v>1.6822400000000002</v>
      </c>
      <c r="DN10" s="53">
        <f t="shared" si="100"/>
        <v>0</v>
      </c>
      <c r="DO10" s="53">
        <f t="shared" si="100"/>
        <v>0</v>
      </c>
      <c r="DP10" s="53">
        <f t="shared" si="100"/>
        <v>-3.8950800000000001</v>
      </c>
      <c r="DQ10" s="53">
        <f t="shared" si="100"/>
        <v>13.9273559</v>
      </c>
      <c r="DR10" s="53">
        <f t="shared" si="100"/>
        <v>1.4274399999999998</v>
      </c>
      <c r="DS10" s="53">
        <f t="shared" si="100"/>
        <v>0</v>
      </c>
      <c r="DT10" s="53" t="e">
        <f t="shared" ref="DT10:EG11" si="101">DT8-DT6</f>
        <v>#REF!</v>
      </c>
      <c r="DU10" s="53">
        <f t="shared" si="101"/>
        <v>0</v>
      </c>
      <c r="DV10" s="53">
        <f t="shared" si="101"/>
        <v>0</v>
      </c>
      <c r="DW10" s="53">
        <f t="shared" si="101"/>
        <v>0</v>
      </c>
      <c r="DX10" s="53">
        <f t="shared" si="101"/>
        <v>0</v>
      </c>
      <c r="DY10" s="53">
        <f t="shared" si="101"/>
        <v>1.1227409914511597</v>
      </c>
      <c r="DZ10" s="53">
        <f t="shared" si="101"/>
        <v>-0.71748157709865268</v>
      </c>
      <c r="EA10" s="53">
        <f t="shared" si="101"/>
        <v>-0.40525941435250701</v>
      </c>
      <c r="EB10" s="53">
        <f t="shared" si="101"/>
        <v>4.8343379187777415</v>
      </c>
      <c r="EC10" s="53">
        <f t="shared" si="101"/>
        <v>1.6234826031143044</v>
      </c>
      <c r="ED10" s="53">
        <f t="shared" si="101"/>
        <v>-6.4578205218920388</v>
      </c>
      <c r="EE10" s="54">
        <f t="shared" si="101"/>
        <v>-7.188252550188837</v>
      </c>
      <c r="EF10" s="53">
        <f t="shared" si="101"/>
        <v>4.5936140352609982</v>
      </c>
      <c r="EG10" s="55">
        <f t="shared" si="101"/>
        <v>2.5946385149278264</v>
      </c>
    </row>
    <row r="11" spans="1:137" x14ac:dyDescent="0.3">
      <c r="A11" s="1"/>
      <c r="B11" s="1"/>
      <c r="L11" s="1"/>
      <c r="M11" s="1"/>
      <c r="N11" s="4"/>
      <c r="O11" s="1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1"/>
      <c r="AC11" s="1"/>
      <c r="AD11" s="1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12"/>
      <c r="AU11" s="1"/>
      <c r="AV11" s="1"/>
      <c r="AW11" s="1"/>
      <c r="AX11" s="1"/>
      <c r="AY11" s="51"/>
      <c r="AZ11" s="1"/>
      <c r="BA11" s="1"/>
      <c r="BB11" s="1"/>
      <c r="BC11" s="1"/>
      <c r="BD11" s="1"/>
      <c r="BE11" s="1"/>
      <c r="BF11" s="52" t="s">
        <v>99</v>
      </c>
      <c r="BG11" s="53">
        <f>BG9-BG7</f>
        <v>0</v>
      </c>
      <c r="BH11" s="53">
        <f t="shared" si="100"/>
        <v>0.1739</v>
      </c>
      <c r="BI11" s="53">
        <f t="shared" si="100"/>
        <v>0</v>
      </c>
      <c r="BJ11" s="53">
        <f t="shared" si="100"/>
        <v>0</v>
      </c>
      <c r="BK11" s="53">
        <f t="shared" si="100"/>
        <v>0</v>
      </c>
      <c r="BL11" s="53">
        <f t="shared" si="100"/>
        <v>0.45</v>
      </c>
      <c r="BM11" s="53">
        <f t="shared" si="100"/>
        <v>-0.45</v>
      </c>
      <c r="BN11" s="53">
        <f t="shared" si="100"/>
        <v>-0.45</v>
      </c>
      <c r="BO11" s="53">
        <f t="shared" si="100"/>
        <v>0</v>
      </c>
      <c r="BP11" s="53">
        <f t="shared" si="100"/>
        <v>0</v>
      </c>
      <c r="BQ11" s="53">
        <f t="shared" si="100"/>
        <v>0</v>
      </c>
      <c r="BR11" s="53">
        <f t="shared" si="100"/>
        <v>0</v>
      </c>
      <c r="BS11" s="53">
        <f t="shared" si="100"/>
        <v>0</v>
      </c>
      <c r="BT11" s="53">
        <f t="shared" si="100"/>
        <v>0</v>
      </c>
      <c r="BU11" s="53">
        <f t="shared" si="100"/>
        <v>0</v>
      </c>
      <c r="BV11" s="53">
        <f t="shared" si="100"/>
        <v>0</v>
      </c>
      <c r="BW11" s="53">
        <f t="shared" si="100"/>
        <v>0</v>
      </c>
      <c r="BX11" s="53">
        <f t="shared" si="100"/>
        <v>0</v>
      </c>
      <c r="BY11" s="53">
        <f t="shared" si="100"/>
        <v>0</v>
      </c>
      <c r="BZ11" s="53">
        <f t="shared" si="100"/>
        <v>0</v>
      </c>
      <c r="CA11" s="53">
        <f t="shared" si="100"/>
        <v>0</v>
      </c>
      <c r="CB11" s="53">
        <f t="shared" si="100"/>
        <v>0</v>
      </c>
      <c r="CC11" s="53">
        <f t="shared" si="100"/>
        <v>-0.45</v>
      </c>
      <c r="CD11" s="53">
        <f t="shared" si="100"/>
        <v>0.9</v>
      </c>
      <c r="CE11" s="53">
        <f t="shared" si="100"/>
        <v>0.45</v>
      </c>
      <c r="CF11" s="53">
        <f t="shared" si="100"/>
        <v>0.45</v>
      </c>
      <c r="CG11" s="53">
        <f t="shared" si="100"/>
        <v>0</v>
      </c>
      <c r="CH11" s="53">
        <f t="shared" si="100"/>
        <v>0</v>
      </c>
      <c r="CI11" s="53">
        <f t="shared" si="100"/>
        <v>0</v>
      </c>
      <c r="CJ11" s="53">
        <f t="shared" si="100"/>
        <v>0</v>
      </c>
      <c r="CK11" s="53">
        <f t="shared" si="100"/>
        <v>0</v>
      </c>
      <c r="CL11" s="53">
        <f t="shared" si="100"/>
        <v>0</v>
      </c>
      <c r="CM11" s="53">
        <f t="shared" si="100"/>
        <v>0</v>
      </c>
      <c r="CN11" s="53">
        <f t="shared" si="100"/>
        <v>0.9</v>
      </c>
      <c r="CO11" s="53">
        <f t="shared" si="100"/>
        <v>0</v>
      </c>
      <c r="CP11" s="53">
        <f t="shared" si="100"/>
        <v>0</v>
      </c>
      <c r="CQ11" s="53">
        <f t="shared" si="100"/>
        <v>2.8000000000000025E-2</v>
      </c>
      <c r="CR11" s="53">
        <f t="shared" si="100"/>
        <v>0</v>
      </c>
      <c r="CS11" s="53">
        <f t="shared" si="100"/>
        <v>0</v>
      </c>
      <c r="CT11" s="53">
        <f t="shared" si="100"/>
        <v>2.8000000000000025E-2</v>
      </c>
      <c r="CU11" s="53">
        <f t="shared" si="100"/>
        <v>0</v>
      </c>
      <c r="CV11" s="53">
        <f t="shared" si="100"/>
        <v>0</v>
      </c>
      <c r="CW11" s="53">
        <f t="shared" si="100"/>
        <v>0.9</v>
      </c>
      <c r="CX11" s="53">
        <f t="shared" si="100"/>
        <v>0.9</v>
      </c>
      <c r="CY11" s="53">
        <f t="shared" si="100"/>
        <v>0.1739</v>
      </c>
      <c r="CZ11" s="53">
        <f t="shared" si="100"/>
        <v>0.9</v>
      </c>
      <c r="DA11" s="53">
        <f t="shared" si="100"/>
        <v>0</v>
      </c>
      <c r="DB11" s="53">
        <f t="shared" si="100"/>
        <v>-0.45</v>
      </c>
      <c r="DC11" s="53">
        <f t="shared" si="100"/>
        <v>0</v>
      </c>
      <c r="DD11" s="53">
        <f t="shared" si="100"/>
        <v>0.45</v>
      </c>
      <c r="DE11" s="53">
        <f t="shared" si="100"/>
        <v>0</v>
      </c>
      <c r="DF11" s="53">
        <f t="shared" si="100"/>
        <v>0</v>
      </c>
      <c r="DG11" s="53">
        <f t="shared" si="100"/>
        <v>0</v>
      </c>
      <c r="DH11" s="53">
        <f t="shared" si="100"/>
        <v>0</v>
      </c>
      <c r="DI11" s="53">
        <f t="shared" si="100"/>
        <v>0</v>
      </c>
      <c r="DJ11" s="53">
        <f t="shared" si="100"/>
        <v>0</v>
      </c>
      <c r="DK11" s="53">
        <f t="shared" si="100"/>
        <v>0</v>
      </c>
      <c r="DL11" s="53">
        <f t="shared" si="100"/>
        <v>0</v>
      </c>
      <c r="DM11" s="53">
        <f t="shared" si="100"/>
        <v>54.072000000000003</v>
      </c>
      <c r="DN11" s="53">
        <f t="shared" si="100"/>
        <v>0</v>
      </c>
      <c r="DO11" s="53">
        <f t="shared" si="100"/>
        <v>0</v>
      </c>
      <c r="DP11" s="53">
        <f t="shared" si="100"/>
        <v>-125.19900000000001</v>
      </c>
      <c r="DQ11" s="53">
        <f t="shared" si="100"/>
        <v>56.867038999999998</v>
      </c>
      <c r="DR11" s="53">
        <f t="shared" si="100"/>
        <v>45.881999999999998</v>
      </c>
      <c r="DS11" s="53">
        <f t="shared" si="100"/>
        <v>0</v>
      </c>
      <c r="DT11" s="53">
        <f t="shared" si="101"/>
        <v>0</v>
      </c>
      <c r="DU11" s="53">
        <f t="shared" si="101"/>
        <v>0</v>
      </c>
      <c r="DV11" s="53">
        <f t="shared" si="101"/>
        <v>0</v>
      </c>
      <c r="DW11" s="53">
        <f t="shared" si="101"/>
        <v>0</v>
      </c>
      <c r="DX11" s="53">
        <f t="shared" si="101"/>
        <v>0</v>
      </c>
      <c r="DY11" s="53">
        <f t="shared" si="101"/>
        <v>23.688835188289652</v>
      </c>
      <c r="DZ11" s="53">
        <f t="shared" si="101"/>
        <v>-9.6328029271137385</v>
      </c>
      <c r="EA11" s="53">
        <f t="shared" si="101"/>
        <v>-14.056032261175911</v>
      </c>
      <c r="EB11" s="53">
        <f t="shared" si="101"/>
        <v>240.54343016264789</v>
      </c>
      <c r="EC11" s="53">
        <f t="shared" si="101"/>
        <v>-2.8063635066874397</v>
      </c>
      <c r="ED11" s="53">
        <f t="shared" si="101"/>
        <v>-237.73706665596046</v>
      </c>
      <c r="EE11" s="56">
        <f t="shared" si="101"/>
        <v>139.88942233915509</v>
      </c>
      <c r="EF11" s="53">
        <f t="shared" si="101"/>
        <v>-56.884486985962091</v>
      </c>
      <c r="EG11" s="55">
        <f t="shared" si="101"/>
        <v>-83.004935353193019</v>
      </c>
    </row>
    <row r="12" spans="1:137" x14ac:dyDescent="0.3">
      <c r="A12" s="1"/>
      <c r="B12" s="1"/>
      <c r="L12" s="1"/>
      <c r="M12" s="1"/>
      <c r="N12" s="4"/>
      <c r="O12" s="1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1"/>
      <c r="AC12" s="1"/>
      <c r="AD12" s="1"/>
      <c r="AE12" s="4"/>
      <c r="AF12" s="4"/>
      <c r="AG12" s="4">
        <f>AG8</f>
        <v>70.850092566168371</v>
      </c>
      <c r="AH12" s="4">
        <f t="shared" ref="AH12:BE13" si="102">AH8</f>
        <v>0.20038307472175951</v>
      </c>
      <c r="AI12" s="4">
        <f t="shared" si="102"/>
        <v>16.270833122372565</v>
      </c>
      <c r="AJ12" s="4">
        <f t="shared" si="102"/>
        <v>3.5651578480647772</v>
      </c>
      <c r="AK12" s="4">
        <f t="shared" si="102"/>
        <v>1.0676423071202124</v>
      </c>
      <c r="AL12" s="4">
        <f t="shared" si="102"/>
        <v>1.902924657689407E-2</v>
      </c>
      <c r="AM12" s="4">
        <f t="shared" si="102"/>
        <v>0.81878502430370803</v>
      </c>
      <c r="AN12" s="4">
        <f t="shared" si="102"/>
        <v>1.2889570314342531</v>
      </c>
      <c r="AO12" s="4">
        <f t="shared" si="102"/>
        <v>2.6468496046618042</v>
      </c>
      <c r="AP12" s="4">
        <f t="shared" si="102"/>
        <v>3.2722701745756444</v>
      </c>
      <c r="AQ12" s="4">
        <f t="shared" si="102"/>
        <v>0</v>
      </c>
      <c r="AR12" s="4">
        <f t="shared" si="102"/>
        <v>99.999999999999972</v>
      </c>
      <c r="AS12" s="4">
        <f t="shared" si="102"/>
        <v>0</v>
      </c>
      <c r="AT12" s="4">
        <f t="shared" si="102"/>
        <v>1.2121076232633838</v>
      </c>
      <c r="AU12" s="4">
        <f t="shared" si="102"/>
        <v>2.5777746087817092E-3</v>
      </c>
      <c r="AV12" s="4">
        <f t="shared" si="102"/>
        <v>0.16402329702671195</v>
      </c>
      <c r="AW12" s="4">
        <f t="shared" si="102"/>
        <v>6.6857179981226903E-3</v>
      </c>
      <c r="AX12" s="4">
        <f t="shared" si="102"/>
        <v>4.9622217633059282E-2</v>
      </c>
      <c r="AY12" s="4">
        <f t="shared" si="102"/>
        <v>2.7572710472016692E-4</v>
      </c>
      <c r="AZ12" s="4">
        <f t="shared" si="102"/>
        <v>2.0877946349511723E-2</v>
      </c>
      <c r="BA12" s="4">
        <f t="shared" si="102"/>
        <v>2.362441807755299E-2</v>
      </c>
      <c r="BB12" s="4">
        <f t="shared" si="102"/>
        <v>5.427043506245801E-2</v>
      </c>
      <c r="BC12" s="4">
        <f t="shared" si="102"/>
        <v>2.8879746190612853E-2</v>
      </c>
      <c r="BD12" s="4">
        <f t="shared" si="102"/>
        <v>0</v>
      </c>
      <c r="BE12" s="4">
        <f t="shared" si="102"/>
        <v>1.5629449033149152</v>
      </c>
      <c r="BF12" s="57" t="s">
        <v>100</v>
      </c>
      <c r="BG12" s="58">
        <f t="shared" ref="BG12:BG13" si="103">AY12+AX12</f>
        <v>4.9897944737779448E-2</v>
      </c>
      <c r="BH12" s="58">
        <f>0.042+0.00059</f>
        <v>4.2590000000000003E-2</v>
      </c>
      <c r="BI12" s="58">
        <f t="shared" ref="BI12:BI13" si="104">BA12-(3.33*BD12)</f>
        <v>2.362441807755299E-2</v>
      </c>
      <c r="BJ12" s="59">
        <f>IF(AU12&gt;BG12,BG12,AU12)</f>
        <v>2.5777746087817092E-3</v>
      </c>
      <c r="BK12" s="58">
        <f t="shared" ref="BK12:BK13" si="105">BG12-BJ12</f>
        <v>4.7320170128997738E-2</v>
      </c>
      <c r="BL12" s="59">
        <f t="shared" ref="BL12:BL13" si="106">AU12-BJ12</f>
        <v>0</v>
      </c>
      <c r="BM12" s="58">
        <f t="shared" ref="BM12:BM13" si="107">BI12-BL12</f>
        <v>2.362441807755299E-2</v>
      </c>
      <c r="BN12" s="59">
        <f t="shared" ref="BN12:BN13" si="108">AU12-BJ12-BL12</f>
        <v>0</v>
      </c>
      <c r="BO12" s="59">
        <f t="shared" ref="BO12:BO13" si="109">BC12</f>
        <v>2.8879746190612853E-2</v>
      </c>
      <c r="BP12" s="60">
        <f t="shared" ref="BP12:BP13" si="110">AT12-(6*BO12)</f>
        <v>1.0388291461197068</v>
      </c>
      <c r="BQ12" s="59">
        <f t="shared" ref="BQ12:BQ13" si="111">AV12-BO12</f>
        <v>0.13514355083609911</v>
      </c>
      <c r="BR12" s="59">
        <f t="shared" ref="BR12:BR13" si="112">BC12-BO12</f>
        <v>0</v>
      </c>
      <c r="BS12" s="59">
        <f t="shared" ref="BS12:BS13" si="113">IF(BB12&gt;BQ12,BQ12,BB12)</f>
        <v>5.427043506245801E-2</v>
      </c>
      <c r="BT12" s="60">
        <f t="shared" ref="BT12:BT13" si="114">BP12-(6*BS12)</f>
        <v>0.71320653574495874</v>
      </c>
      <c r="BU12" s="59">
        <f t="shared" ref="BU12:BU13" si="115">BQ12-BS12</f>
        <v>8.0873115773641091E-2</v>
      </c>
      <c r="BV12" s="59">
        <f t="shared" ref="BV12:BV13" si="116">BB12-BS12</f>
        <v>0</v>
      </c>
      <c r="BW12" s="59">
        <f t="shared" ref="BW12:BW13" si="117">IF(BV12&gt;BU12,IF(BV12-BU12&gt;AW12,AW12,BV12-BU12),0)</f>
        <v>0</v>
      </c>
      <c r="BX12" s="59">
        <f t="shared" ref="BX12:BX13" si="118">BV12-BW12</f>
        <v>0</v>
      </c>
      <c r="BY12" s="59">
        <f t="shared" ref="BY12:BY13" si="119">AW12-BW12</f>
        <v>6.6857179981226903E-3</v>
      </c>
      <c r="BZ12" s="59">
        <f t="shared" ref="BZ12:BZ13" si="120">BT12-(4*BW12)</f>
        <v>0.71320653574495874</v>
      </c>
      <c r="CA12" s="59">
        <f t="shared" ref="CA12:CA13" si="121">BX12</f>
        <v>0</v>
      </c>
      <c r="CB12" s="59">
        <f t="shared" ref="CB12:CB13" si="122">BZ12-CA12</f>
        <v>0.71320653574495874</v>
      </c>
      <c r="CC12" s="58">
        <f t="shared" ref="CC12:CC13" si="123">IF(BU12&lt;BM12,BU12,BM12)</f>
        <v>2.362441807755299E-2</v>
      </c>
      <c r="CD12" s="60">
        <f t="shared" ref="CD12:CD13" si="124">BZ12-(2*CC12)</f>
        <v>0.66595769958985274</v>
      </c>
      <c r="CE12" s="58">
        <f t="shared" ref="CE12:CE13" si="125">BU12-CC12</f>
        <v>5.7248697696088105E-2</v>
      </c>
      <c r="CF12" s="58">
        <f t="shared" ref="CF12:CF13" si="126">IF(CE12&gt;0,CE12,0)</f>
        <v>5.7248697696088105E-2</v>
      </c>
      <c r="CG12" s="58">
        <f t="shared" ref="CG12:CG13" si="127">BM12-CC12</f>
        <v>0</v>
      </c>
      <c r="CH12" s="59">
        <f t="shared" ref="CH12:CH13" si="128">AW12-BW12</f>
        <v>6.6857179981226903E-3</v>
      </c>
      <c r="CI12" s="58">
        <f t="shared" ref="CI12:CI13" si="129">BK12-CH12</f>
        <v>4.0634452130875048E-2</v>
      </c>
      <c r="CJ12" s="59">
        <f t="shared" ref="CJ12:CJ13" si="130">AZ12/(AZ12+CI12)</f>
        <v>0.33941037685546693</v>
      </c>
      <c r="CK12" s="59">
        <f t="shared" ref="CK12:CK13" si="131">CG12</f>
        <v>0</v>
      </c>
      <c r="CL12" s="59">
        <f t="shared" ref="CL12:CL13" si="132">CI12-CK12*(1-CJ12)</f>
        <v>4.0634452130875048E-2</v>
      </c>
      <c r="CM12" s="59">
        <f t="shared" ref="CM12:CM13" si="133">AZ12-CK12*CJ12</f>
        <v>2.0877946349511723E-2</v>
      </c>
      <c r="CN12" s="59">
        <f t="shared" ref="CN12:CN13" si="134">CD12-2*CK12</f>
        <v>0.66595769958985274</v>
      </c>
      <c r="CO12" s="59">
        <f t="shared" ref="CO12:CO13" si="135">CG11-CK11</f>
        <v>0</v>
      </c>
      <c r="CP12" s="59">
        <f t="shared" ref="CP12:CP13" si="136">CO12</f>
        <v>0</v>
      </c>
      <c r="CQ12" s="59">
        <f t="shared" ref="CQ12:CQ13" si="137">CN11-CP12</f>
        <v>0.9</v>
      </c>
      <c r="CR12" s="59">
        <f t="shared" ref="CR12:CR13" si="138">CM11</f>
        <v>0</v>
      </c>
      <c r="CS12" s="59">
        <f t="shared" ref="CS12:CS13" si="139">CL11</f>
        <v>0</v>
      </c>
      <c r="CT12" s="59">
        <f t="shared" ref="CT12:CT13" si="140">CQ12-CS12-CR12</f>
        <v>0.9</v>
      </c>
      <c r="CU12" s="59">
        <f t="shared" ref="CU12:CU13" si="141">CM12</f>
        <v>2.0877946349511723E-2</v>
      </c>
      <c r="CV12" s="59">
        <f t="shared" ref="CV12:CV13" si="142">CL12</f>
        <v>4.0634452130875048E-2</v>
      </c>
      <c r="CW12" s="59">
        <f t="shared" ref="CW12:CW13" si="143">CN12-CV12-CU12</f>
        <v>0.60444530110946604</v>
      </c>
      <c r="CX12" s="59">
        <f t="shared" ref="CX12:CX13" si="144">CW12</f>
        <v>0.60444530110946604</v>
      </c>
      <c r="CY12" s="61">
        <f>BH12</f>
        <v>4.2590000000000003E-2</v>
      </c>
      <c r="CZ12" s="58">
        <f t="shared" ref="CZ12:CZ13" si="145">CX12</f>
        <v>0.60444530110946604</v>
      </c>
      <c r="DA12" s="59">
        <f t="shared" ref="DA12:DA13" si="146">BO12</f>
        <v>2.8879746190612853E-2</v>
      </c>
      <c r="DB12" s="59">
        <f t="shared" ref="DB12:DB13" si="147">CC12</f>
        <v>2.362441807755299E-2</v>
      </c>
      <c r="DC12" s="59">
        <f t="shared" ref="DC12:DC13" si="148">BS12</f>
        <v>5.427043506245801E-2</v>
      </c>
      <c r="DD12" s="58">
        <f t="shared" ref="DD12:DD13" si="149">CF12</f>
        <v>5.7248697696088105E-2</v>
      </c>
      <c r="DE12" s="60">
        <v>1</v>
      </c>
      <c r="DF12" s="59">
        <f t="shared" ref="DF12:DF13" si="150">CK12</f>
        <v>0</v>
      </c>
      <c r="DG12" s="59">
        <f t="shared" ref="DG12:DG13" si="151">CP12</f>
        <v>0</v>
      </c>
      <c r="DH12" s="59">
        <f t="shared" ref="DH12:DI13" si="152">CU12</f>
        <v>2.0877946349511723E-2</v>
      </c>
      <c r="DI12" s="58">
        <f t="shared" si="152"/>
        <v>4.0634452130875048E-2</v>
      </c>
      <c r="DJ12" s="60">
        <v>1</v>
      </c>
      <c r="DK12" s="58">
        <f t="shared" ref="DK12:DK13" si="153">CH12</f>
        <v>6.6857179981226903E-3</v>
      </c>
      <c r="DL12" s="58">
        <f t="shared" ref="DL12:DL13" si="154">BJ12</f>
        <v>2.5777746087817092E-3</v>
      </c>
      <c r="DM12" s="62">
        <f t="shared" ref="DM12:DM13" si="155">CZ12*60.08</f>
        <v>36.315073690656718</v>
      </c>
      <c r="DN12" s="60">
        <f t="shared" ref="DN12:DN13" si="156">DC12*524.48</f>
        <v>28.463757781557977</v>
      </c>
      <c r="DO12" s="60">
        <f t="shared" ref="DO12:DO13" si="157">DA12*556.7</f>
        <v>16.077354704314178</v>
      </c>
      <c r="DP12" s="60">
        <f t="shared" ref="DP12:DP13" si="158">DB12*278.22</f>
        <v>6.572785597536793</v>
      </c>
      <c r="DQ12" s="60">
        <f t="shared" ref="DQ12:DQ13" si="159">CY12*327.01</f>
        <v>13.9273559</v>
      </c>
      <c r="DR12" s="60">
        <f t="shared" ref="DR12:DR13" si="160">DD12*101.96</f>
        <v>5.8370772170931424</v>
      </c>
      <c r="DS12" s="60">
        <f t="shared" ref="DS12:DS13" si="161">DF12*221.92</f>
        <v>0</v>
      </c>
      <c r="DT12" s="60">
        <f t="shared" ref="DT12:DT13" si="162">DG12*116.2</f>
        <v>0</v>
      </c>
      <c r="DU12" s="60">
        <f t="shared" ref="DU12:DU13" si="163">DH12*100.39</f>
        <v>2.0959370340274819</v>
      </c>
      <c r="DV12" s="60">
        <f t="shared" ref="DV12:DV13" si="164">DI12*131.94</f>
        <v>5.3613096141476539</v>
      </c>
      <c r="DW12" s="60">
        <f t="shared" ref="DW12:DW13" si="165">DK12*231.5386</f>
        <v>1.5480017852801304</v>
      </c>
      <c r="DX12" s="60">
        <f t="shared" ref="DX12:DX13" si="166">DL12*151.7452</f>
        <v>0.39116492356450222</v>
      </c>
      <c r="DY12" s="63">
        <f t="shared" ref="DY12:EA13" si="167">100*DM12/($DM12+$DN12+$DO12)</f>
        <v>44.91316670733395</v>
      </c>
      <c r="DZ12" s="64">
        <f t="shared" si="167"/>
        <v>35.202943803724082</v>
      </c>
      <c r="EA12" s="64">
        <f t="shared" si="167"/>
        <v>19.883889488941975</v>
      </c>
      <c r="EB12" s="61">
        <f>DY12*(1-(0.03*DP12)+(0.00006*(DP12*EA12))+(0.00001*(DZ12*EA12*DP12)))</f>
        <v>38.475565215034543</v>
      </c>
      <c r="EC12" s="60">
        <f>EA12*(1-(0.07*DP12)+0.001*(DY12*DP12))</f>
        <v>16.605227463755352</v>
      </c>
      <c r="ED12" s="58">
        <f t="shared" ref="ED12:ED13" si="168">100-EC12-EB12</f>
        <v>44.919207321210102</v>
      </c>
      <c r="EE12" s="63">
        <f t="shared" ref="EE12:EE13" si="169">100*DP12/($DP12+$DN12+$DO12)</f>
        <v>12.859096731012681</v>
      </c>
      <c r="EF12" s="63">
        <f t="shared" ref="EF12:EG13" si="170">100*DN12/($DP12+$DN12+$DO12)</f>
        <v>55.686924396003029</v>
      </c>
      <c r="EG12" s="65">
        <f t="shared" si="170"/>
        <v>31.453978872984305</v>
      </c>
    </row>
    <row r="13" spans="1:137" x14ac:dyDescent="0.3">
      <c r="A13" s="1"/>
      <c r="B13" s="3" t="s">
        <v>32</v>
      </c>
      <c r="C13" s="3" t="s">
        <v>33</v>
      </c>
      <c r="D13" s="3" t="s">
        <v>34</v>
      </c>
      <c r="E13" s="3" t="s">
        <v>35</v>
      </c>
      <c r="F13" s="3" t="s">
        <v>36</v>
      </c>
      <c r="G13" s="3" t="s">
        <v>37</v>
      </c>
      <c r="H13" s="3" t="s">
        <v>38</v>
      </c>
      <c r="I13" s="3" t="s">
        <v>39</v>
      </c>
      <c r="J13" s="3" t="s">
        <v>40</v>
      </c>
      <c r="K13" s="11" t="s">
        <v>41</v>
      </c>
      <c r="L13" s="6" t="s">
        <v>42</v>
      </c>
      <c r="M13" s="1"/>
      <c r="N13" s="4" t="s">
        <v>101</v>
      </c>
      <c r="O13" s="1"/>
      <c r="P13" s="4"/>
      <c r="Q13" s="4" t="s">
        <v>102</v>
      </c>
      <c r="R13" s="4"/>
      <c r="S13" s="4"/>
      <c r="T13" s="4"/>
      <c r="U13" s="4"/>
      <c r="V13" s="4"/>
      <c r="W13" s="4"/>
      <c r="X13" s="4"/>
      <c r="Y13" s="4"/>
      <c r="Z13" s="4"/>
      <c r="AA13" s="4"/>
      <c r="AB13" s="1"/>
      <c r="AC13" s="1"/>
      <c r="AD13" s="1"/>
      <c r="AE13" s="4"/>
      <c r="AF13" s="4"/>
      <c r="AG13" s="4">
        <f>AG9</f>
        <v>66.204142807934588</v>
      </c>
      <c r="AH13" s="4">
        <f t="shared" si="102"/>
        <v>0.35014363358105116</v>
      </c>
      <c r="AI13" s="4">
        <f t="shared" si="102"/>
        <v>16.251597898318209</v>
      </c>
      <c r="AJ13" s="4">
        <f t="shared" si="102"/>
        <v>6.5631712652071705</v>
      </c>
      <c r="AK13" s="4">
        <f t="shared" si="102"/>
        <v>1.9654443394180821</v>
      </c>
      <c r="AL13" s="4">
        <f t="shared" si="102"/>
        <v>3.6128555473896755E-2</v>
      </c>
      <c r="AM13" s="4">
        <f t="shared" si="102"/>
        <v>1.505506504467381</v>
      </c>
      <c r="AN13" s="4">
        <f t="shared" si="102"/>
        <v>1.2822969735633543</v>
      </c>
      <c r="AO13" s="4">
        <f t="shared" si="102"/>
        <v>3.9508619109943526</v>
      </c>
      <c r="AP13" s="4">
        <f t="shared" si="102"/>
        <v>1.8907061110419161</v>
      </c>
      <c r="AQ13" s="4">
        <f t="shared" si="102"/>
        <v>0</v>
      </c>
      <c r="AR13" s="4">
        <f t="shared" si="102"/>
        <v>100</v>
      </c>
      <c r="AS13" s="4">
        <f t="shared" si="102"/>
        <v>0</v>
      </c>
      <c r="AT13" s="4">
        <f t="shared" si="102"/>
        <v>1.1609042160839091</v>
      </c>
      <c r="AU13" s="4">
        <f t="shared" si="102"/>
        <v>4.6167951023005725E-3</v>
      </c>
      <c r="AV13" s="4">
        <f t="shared" si="102"/>
        <v>0.16791994210770406</v>
      </c>
      <c r="AW13" s="4">
        <f t="shared" si="102"/>
        <v>1.2307873626514384E-2</v>
      </c>
      <c r="AX13" s="4">
        <f t="shared" si="102"/>
        <v>9.1350545127177163E-2</v>
      </c>
      <c r="AY13" s="4">
        <f t="shared" si="102"/>
        <v>5.3656078090651334E-4</v>
      </c>
      <c r="AZ13" s="4">
        <f t="shared" si="102"/>
        <v>3.9346941867262931E-2</v>
      </c>
      <c r="BA13" s="4">
        <f t="shared" si="102"/>
        <v>2.4089165641153709E-2</v>
      </c>
      <c r="BB13" s="4">
        <f t="shared" si="102"/>
        <v>3.2140204673306819E-2</v>
      </c>
      <c r="BC13" s="4">
        <f t="shared" si="102"/>
        <v>4.4184141249496434E-2</v>
      </c>
      <c r="BD13" s="4">
        <f t="shared" si="102"/>
        <v>0</v>
      </c>
      <c r="BE13" s="4">
        <f t="shared" si="102"/>
        <v>1.5773963862597316</v>
      </c>
      <c r="BF13" s="57" t="s">
        <v>103</v>
      </c>
      <c r="BG13" s="66">
        <f t="shared" si="103"/>
        <v>9.1887105908083674E-2</v>
      </c>
      <c r="BH13" s="66">
        <f>0.17+0.0039</f>
        <v>0.1739</v>
      </c>
      <c r="BI13" s="66">
        <f t="shared" si="104"/>
        <v>2.4089165641153709E-2</v>
      </c>
      <c r="BJ13" s="67">
        <f t="shared" ref="BJ13" si="171">IF(AU13&gt;BG13,BG13,AU13)</f>
        <v>4.6167951023005725E-3</v>
      </c>
      <c r="BK13" s="66">
        <f t="shared" si="105"/>
        <v>8.7270310805783097E-2</v>
      </c>
      <c r="BL13" s="67">
        <f t="shared" si="106"/>
        <v>0</v>
      </c>
      <c r="BM13" s="66">
        <f t="shared" si="107"/>
        <v>2.4089165641153709E-2</v>
      </c>
      <c r="BN13" s="67">
        <f t="shared" si="108"/>
        <v>0</v>
      </c>
      <c r="BO13" s="67">
        <f t="shared" si="109"/>
        <v>4.4184141249496434E-2</v>
      </c>
      <c r="BP13" s="68">
        <f t="shared" si="110"/>
        <v>0.89579936858693054</v>
      </c>
      <c r="BQ13" s="67">
        <f t="shared" si="111"/>
        <v>0.12373580085820762</v>
      </c>
      <c r="BR13" s="67">
        <f t="shared" si="112"/>
        <v>0</v>
      </c>
      <c r="BS13" s="67">
        <f t="shared" si="113"/>
        <v>3.2140204673306819E-2</v>
      </c>
      <c r="BT13" s="68">
        <f t="shared" si="114"/>
        <v>0.7029581405470896</v>
      </c>
      <c r="BU13" s="67">
        <f t="shared" si="115"/>
        <v>9.1595596184900804E-2</v>
      </c>
      <c r="BV13" s="67">
        <f t="shared" si="116"/>
        <v>0</v>
      </c>
      <c r="BW13" s="67">
        <f t="shared" si="117"/>
        <v>0</v>
      </c>
      <c r="BX13" s="67">
        <f t="shared" si="118"/>
        <v>0</v>
      </c>
      <c r="BY13" s="67">
        <f t="shared" si="119"/>
        <v>1.2307873626514384E-2</v>
      </c>
      <c r="BZ13" s="67">
        <f t="shared" si="120"/>
        <v>0.7029581405470896</v>
      </c>
      <c r="CA13" s="67">
        <f t="shared" si="121"/>
        <v>0</v>
      </c>
      <c r="CB13" s="67">
        <f t="shared" si="122"/>
        <v>0.7029581405470896</v>
      </c>
      <c r="CC13" s="66">
        <f t="shared" si="123"/>
        <v>2.4089165641153709E-2</v>
      </c>
      <c r="CD13" s="68">
        <f t="shared" si="124"/>
        <v>0.65477980926478219</v>
      </c>
      <c r="CE13" s="66">
        <f t="shared" si="125"/>
        <v>6.7506430543747095E-2</v>
      </c>
      <c r="CF13" s="66">
        <f t="shared" si="126"/>
        <v>6.7506430543747095E-2</v>
      </c>
      <c r="CG13" s="66">
        <f t="shared" si="127"/>
        <v>0</v>
      </c>
      <c r="CH13" s="67">
        <f t="shared" si="128"/>
        <v>1.2307873626514384E-2</v>
      </c>
      <c r="CI13" s="66">
        <f t="shared" si="129"/>
        <v>7.4962437179268718E-2</v>
      </c>
      <c r="CJ13" s="67">
        <f t="shared" si="130"/>
        <v>0.34421446599973271</v>
      </c>
      <c r="CK13" s="67">
        <f t="shared" si="131"/>
        <v>0</v>
      </c>
      <c r="CL13" s="67">
        <f t="shared" si="132"/>
        <v>7.4962437179268718E-2</v>
      </c>
      <c r="CM13" s="67">
        <f t="shared" si="133"/>
        <v>3.9346941867262931E-2</v>
      </c>
      <c r="CN13" s="67">
        <f t="shared" si="134"/>
        <v>0.65477980926478219</v>
      </c>
      <c r="CO13" s="67">
        <f t="shared" si="135"/>
        <v>0</v>
      </c>
      <c r="CP13" s="67">
        <f t="shared" si="136"/>
        <v>0</v>
      </c>
      <c r="CQ13" s="67">
        <f t="shared" si="137"/>
        <v>0.66595769958985274</v>
      </c>
      <c r="CR13" s="67">
        <f t="shared" si="138"/>
        <v>2.0877946349511723E-2</v>
      </c>
      <c r="CS13" s="67">
        <f t="shared" si="139"/>
        <v>4.0634452130875048E-2</v>
      </c>
      <c r="CT13" s="67">
        <f t="shared" si="140"/>
        <v>0.60444530110946604</v>
      </c>
      <c r="CU13" s="67">
        <f t="shared" si="141"/>
        <v>3.9346941867262931E-2</v>
      </c>
      <c r="CV13" s="67">
        <f t="shared" si="142"/>
        <v>7.4962437179268718E-2</v>
      </c>
      <c r="CW13" s="67">
        <f t="shared" si="143"/>
        <v>0.54047043021825047</v>
      </c>
      <c r="CX13" s="67">
        <f t="shared" si="144"/>
        <v>0.54047043021825047</v>
      </c>
      <c r="CY13" s="69">
        <f>BH13</f>
        <v>0.1739</v>
      </c>
      <c r="CZ13" s="66">
        <f t="shared" si="145"/>
        <v>0.54047043021825047</v>
      </c>
      <c r="DA13" s="67">
        <f t="shared" si="146"/>
        <v>4.4184141249496434E-2</v>
      </c>
      <c r="DB13" s="67">
        <f t="shared" si="147"/>
        <v>2.4089165641153709E-2</v>
      </c>
      <c r="DC13" s="67">
        <f t="shared" si="148"/>
        <v>3.2140204673306819E-2</v>
      </c>
      <c r="DD13" s="66">
        <f t="shared" si="149"/>
        <v>6.7506430543747095E-2</v>
      </c>
      <c r="DE13" s="68">
        <v>2</v>
      </c>
      <c r="DF13" s="67">
        <f t="shared" si="150"/>
        <v>0</v>
      </c>
      <c r="DG13" s="67">
        <f t="shared" si="151"/>
        <v>0</v>
      </c>
      <c r="DH13" s="67">
        <f t="shared" si="152"/>
        <v>3.9346941867262931E-2</v>
      </c>
      <c r="DI13" s="66">
        <f t="shared" si="152"/>
        <v>7.4962437179268718E-2</v>
      </c>
      <c r="DJ13" s="68">
        <v>2</v>
      </c>
      <c r="DK13" s="66">
        <f t="shared" si="153"/>
        <v>1.2307873626514384E-2</v>
      </c>
      <c r="DL13" s="66">
        <f t="shared" si="154"/>
        <v>4.6167951023005725E-3</v>
      </c>
      <c r="DM13" s="70">
        <f t="shared" si="155"/>
        <v>32.471463447512491</v>
      </c>
      <c r="DN13" s="68">
        <f t="shared" si="156"/>
        <v>16.856894547055962</v>
      </c>
      <c r="DO13" s="68">
        <f t="shared" si="157"/>
        <v>24.597311433594665</v>
      </c>
      <c r="DP13" s="68">
        <f t="shared" si="158"/>
        <v>6.7020876646817857</v>
      </c>
      <c r="DQ13" s="68">
        <f t="shared" si="159"/>
        <v>56.867038999999998</v>
      </c>
      <c r="DR13" s="68">
        <f t="shared" si="160"/>
        <v>6.8829556582404532</v>
      </c>
      <c r="DS13" s="68">
        <f t="shared" si="161"/>
        <v>0</v>
      </c>
      <c r="DT13" s="68">
        <f t="shared" si="162"/>
        <v>0</v>
      </c>
      <c r="DU13" s="68">
        <f t="shared" si="163"/>
        <v>3.9500394940545256</v>
      </c>
      <c r="DV13" s="68">
        <f t="shared" si="164"/>
        <v>9.890543961432714</v>
      </c>
      <c r="DW13" s="68">
        <f t="shared" si="165"/>
        <v>2.8497478284600635</v>
      </c>
      <c r="DX13" s="68">
        <f t="shared" si="166"/>
        <v>0.70057649615762085</v>
      </c>
      <c r="DY13" s="71">
        <f t="shared" si="167"/>
        <v>43.924476705708379</v>
      </c>
      <c r="DZ13" s="72">
        <f t="shared" si="167"/>
        <v>22.802491580325238</v>
      </c>
      <c r="EA13" s="72">
        <f t="shared" si="167"/>
        <v>33.273031713966382</v>
      </c>
      <c r="EB13" s="69">
        <f>DY13*(1-(0.03*DP13)+(0.00006*(DP13*EA13))+(0.00001*(DZ13*EA13*DP13)))</f>
        <v>37.91414005406132</v>
      </c>
      <c r="EC13" s="68">
        <f>EA13*(1-(0.07*DP13)+0.001*(DY13*DP13))</f>
        <v>27.45822195098868</v>
      </c>
      <c r="ED13" s="66">
        <f t="shared" si="168"/>
        <v>34.627637994950007</v>
      </c>
      <c r="EE13" s="71">
        <f t="shared" si="169"/>
        <v>13.917366054045132</v>
      </c>
      <c r="EF13" s="71">
        <f t="shared" si="170"/>
        <v>35.004551370181773</v>
      </c>
      <c r="EG13" s="73">
        <f t="shared" si="170"/>
        <v>51.078082575773102</v>
      </c>
    </row>
    <row r="14" spans="1:137" x14ac:dyDescent="0.3">
      <c r="A14" s="1" t="s">
        <v>104</v>
      </c>
      <c r="B14" s="1">
        <v>62.12</v>
      </c>
      <c r="C14">
        <v>2.1000000000000001E-2</v>
      </c>
      <c r="D14">
        <v>24.04</v>
      </c>
      <c r="E14">
        <v>0</v>
      </c>
      <c r="F14">
        <v>2.9999999999999997E-4</v>
      </c>
      <c r="G14">
        <v>2.0000000000000001E-4</v>
      </c>
      <c r="H14">
        <v>3.94</v>
      </c>
      <c r="I14" s="1">
        <v>2.7E-2</v>
      </c>
      <c r="J14">
        <v>9.84</v>
      </c>
      <c r="K14">
        <v>0</v>
      </c>
      <c r="L14" s="1">
        <v>0</v>
      </c>
      <c r="M14" s="1"/>
      <c r="N14" s="1">
        <v>33.5</v>
      </c>
      <c r="O14" s="7">
        <f>N14*$P$14</f>
        <v>33.621035728623049</v>
      </c>
      <c r="P14" s="74">
        <f>100/N18</f>
        <v>1.0036130068245686</v>
      </c>
      <c r="Q14" s="4">
        <f>O14/100</f>
        <v>0.3362103572862305</v>
      </c>
      <c r="R14" s="4"/>
      <c r="S14" s="4"/>
      <c r="T14" s="4"/>
      <c r="U14" s="4"/>
      <c r="V14" s="4"/>
      <c r="W14" s="4"/>
      <c r="X14" s="4"/>
      <c r="Y14" s="4"/>
      <c r="Z14" s="4"/>
      <c r="AA14" s="4"/>
      <c r="AB14" s="1"/>
      <c r="AC14" s="1"/>
      <c r="AD14" s="1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12"/>
      <c r="AU14" s="1"/>
      <c r="AV14" s="1"/>
      <c r="AW14" s="1"/>
      <c r="AX14" s="1"/>
      <c r="AY14" s="51"/>
      <c r="AZ14" s="1"/>
      <c r="BA14" s="1"/>
      <c r="BB14" s="1"/>
      <c r="BC14" s="1"/>
      <c r="BD14" s="1"/>
      <c r="BE14" s="1"/>
      <c r="BF14" s="1"/>
      <c r="BG14" s="51"/>
      <c r="BH14" s="51"/>
      <c r="BI14" s="51"/>
      <c r="BJ14" s="12"/>
      <c r="BK14" s="51"/>
      <c r="BL14" s="12"/>
      <c r="BM14" s="51"/>
      <c r="BN14" s="12"/>
      <c r="BO14" s="12"/>
      <c r="BP14" s="1"/>
      <c r="BQ14" s="12"/>
      <c r="BR14" s="12"/>
      <c r="BS14" s="12"/>
      <c r="BT14" s="1"/>
      <c r="BU14" s="12"/>
      <c r="BV14" s="12"/>
      <c r="BW14" s="12"/>
      <c r="BX14" s="12"/>
      <c r="BY14" s="12"/>
      <c r="BZ14" s="12"/>
      <c r="CA14" s="12"/>
      <c r="CB14" s="12"/>
      <c r="CC14" s="51"/>
      <c r="CD14" s="1"/>
      <c r="CE14" s="51"/>
      <c r="CF14" s="51"/>
      <c r="CG14" s="51"/>
      <c r="CH14" s="12"/>
      <c r="CI14" s="51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  <c r="CY14" s="75"/>
      <c r="CZ14" s="51"/>
      <c r="DA14" s="12"/>
      <c r="DB14" s="12"/>
      <c r="DC14" s="12"/>
      <c r="DD14" s="51"/>
      <c r="DE14" s="1"/>
      <c r="DF14" s="12"/>
      <c r="DG14" s="12"/>
      <c r="DH14" s="12"/>
      <c r="DI14" s="51"/>
      <c r="DJ14" s="1"/>
      <c r="DK14" s="51"/>
      <c r="DL14" s="51"/>
      <c r="DM14" s="8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76"/>
      <c r="DZ14" s="4"/>
      <c r="EA14" s="4"/>
      <c r="EB14" s="75"/>
      <c r="EC14" s="1"/>
      <c r="ED14" s="51"/>
      <c r="EE14" s="1"/>
      <c r="EF14" s="1"/>
      <c r="EG14" s="1"/>
    </row>
    <row r="15" spans="1:137" x14ac:dyDescent="0.3">
      <c r="A15" s="1" t="s">
        <v>105</v>
      </c>
      <c r="B15" s="1">
        <v>49.92</v>
      </c>
      <c r="C15">
        <v>0.17</v>
      </c>
      <c r="D15">
        <v>36.76</v>
      </c>
      <c r="E15">
        <v>1.64</v>
      </c>
      <c r="F15">
        <v>1.4E-2</v>
      </c>
      <c r="G15" s="1">
        <v>1.1499999999999999</v>
      </c>
      <c r="H15">
        <v>0</v>
      </c>
      <c r="I15">
        <v>10.17</v>
      </c>
      <c r="J15">
        <v>0.26</v>
      </c>
      <c r="K15">
        <v>0</v>
      </c>
      <c r="L15" s="1">
        <v>0</v>
      </c>
      <c r="M15" s="1"/>
      <c r="N15" s="4">
        <v>19.41</v>
      </c>
      <c r="O15" s="7">
        <f t="shared" ref="O15:O18" si="172">N15*$P$14</f>
        <v>19.480128462464876</v>
      </c>
      <c r="P15" s="4"/>
      <c r="Q15" s="4">
        <f t="shared" ref="Q15:Q17" si="173">O15/100</f>
        <v>0.19480128462464877</v>
      </c>
      <c r="R15" s="4"/>
      <c r="S15" s="4"/>
      <c r="T15" s="4"/>
      <c r="U15" s="4"/>
      <c r="V15" s="4"/>
      <c r="W15" s="4"/>
      <c r="X15" s="4"/>
      <c r="Y15" s="4"/>
      <c r="Z15" s="4"/>
      <c r="AA15" s="4"/>
      <c r="AB15" s="1"/>
      <c r="AC15" s="1"/>
      <c r="AD15" s="1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12"/>
      <c r="AU15" s="1"/>
      <c r="AV15" s="1"/>
      <c r="AW15" s="1"/>
      <c r="AX15" s="1"/>
      <c r="AY15" s="51"/>
      <c r="AZ15" s="1"/>
      <c r="BA15" s="1"/>
      <c r="BB15" s="1"/>
      <c r="BC15" s="1"/>
      <c r="BD15" s="1"/>
      <c r="BE15" s="1"/>
      <c r="BF15" s="1"/>
      <c r="BG15" s="51"/>
      <c r="BH15" s="51"/>
      <c r="BI15" s="51"/>
      <c r="BJ15" s="12"/>
      <c r="BK15" s="51"/>
      <c r="BL15" s="12"/>
      <c r="BM15" s="51"/>
      <c r="BN15" s="12"/>
      <c r="BO15" s="12"/>
      <c r="BP15" s="1"/>
      <c r="BQ15" s="12"/>
      <c r="BR15" s="12"/>
      <c r="BS15" s="12"/>
      <c r="BT15" s="1"/>
      <c r="BU15" s="12"/>
      <c r="BV15" s="12"/>
      <c r="BW15" s="12"/>
      <c r="BX15" s="12"/>
      <c r="BY15" s="12"/>
      <c r="BZ15" s="12"/>
      <c r="CA15" s="12"/>
      <c r="CB15" s="12"/>
      <c r="CC15" s="51"/>
      <c r="CD15" s="1"/>
      <c r="CE15" s="51"/>
      <c r="CF15" s="51"/>
      <c r="CG15" s="51"/>
      <c r="CH15" s="12"/>
      <c r="CI15" s="51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75"/>
      <c r="CZ15" s="51"/>
      <c r="DA15" s="12"/>
      <c r="DB15" s="12"/>
      <c r="DC15" s="12"/>
      <c r="DD15" s="51"/>
      <c r="DE15" s="1"/>
      <c r="DF15" s="12"/>
      <c r="DG15" s="12"/>
      <c r="DH15" s="12"/>
      <c r="DI15" s="51"/>
      <c r="DJ15" s="1"/>
      <c r="DK15" s="51"/>
      <c r="DL15" s="51"/>
      <c r="DM15" s="8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76"/>
      <c r="DZ15" s="4"/>
      <c r="EA15" s="4"/>
      <c r="EB15" s="75"/>
      <c r="EC15" s="1"/>
      <c r="ED15" s="51"/>
      <c r="EE15" s="1"/>
      <c r="EF15" s="1"/>
      <c r="EG15" s="1"/>
    </row>
    <row r="16" spans="1:137" x14ac:dyDescent="0.3">
      <c r="A16" s="1" t="s">
        <v>106</v>
      </c>
      <c r="B16" s="1">
        <v>38.659999999999997</v>
      </c>
      <c r="C16">
        <v>2.1800000000000002</v>
      </c>
      <c r="D16">
        <v>19.52</v>
      </c>
      <c r="E16">
        <v>21.79</v>
      </c>
      <c r="F16">
        <v>0.22</v>
      </c>
      <c r="G16">
        <v>8.1199999999999992</v>
      </c>
      <c r="H16">
        <v>7.0000000000000001E-3</v>
      </c>
      <c r="I16">
        <v>9.61</v>
      </c>
      <c r="J16">
        <v>7.0000000000000007E-2</v>
      </c>
      <c r="K16">
        <v>0</v>
      </c>
      <c r="L16" s="1">
        <v>0</v>
      </c>
      <c r="M16" s="1"/>
      <c r="N16" s="4">
        <v>7.58</v>
      </c>
      <c r="O16" s="7">
        <f t="shared" si="172"/>
        <v>7.6073865917302301</v>
      </c>
      <c r="P16" s="4"/>
      <c r="Q16" s="4">
        <f t="shared" si="173"/>
        <v>7.6073865917302308E-2</v>
      </c>
      <c r="R16" s="4"/>
      <c r="S16" s="4"/>
      <c r="T16" s="4"/>
      <c r="U16" s="4"/>
      <c r="V16" s="4"/>
      <c r="W16" s="4"/>
      <c r="X16" s="4"/>
      <c r="Y16" s="4"/>
      <c r="Z16" s="4"/>
      <c r="AA16" s="4"/>
      <c r="AB16" s="1"/>
      <c r="AC16" s="1"/>
      <c r="AD16" s="1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12"/>
      <c r="AU16" s="1"/>
      <c r="AV16" s="1"/>
      <c r="AW16" s="1"/>
      <c r="AX16" s="1"/>
      <c r="AY16" s="51"/>
      <c r="AZ16" s="1"/>
      <c r="BA16" s="1"/>
      <c r="BB16" s="1"/>
      <c r="BC16" s="1"/>
      <c r="BD16" s="1"/>
      <c r="BE16" s="1"/>
      <c r="BF16" s="1"/>
      <c r="BG16" s="51"/>
      <c r="BH16" s="51"/>
      <c r="BI16" s="51"/>
      <c r="BJ16" s="12"/>
      <c r="BK16" s="51"/>
      <c r="BL16" s="12"/>
      <c r="BM16" s="51"/>
      <c r="BN16" s="12"/>
      <c r="BO16" s="12"/>
      <c r="BP16" s="1"/>
      <c r="BQ16" s="12"/>
      <c r="BR16" s="12"/>
      <c r="BS16" s="12"/>
      <c r="BT16" s="1"/>
      <c r="BU16" s="12"/>
      <c r="BV16" s="12"/>
      <c r="BW16" s="12"/>
      <c r="BX16" s="12"/>
      <c r="BY16" s="12"/>
      <c r="BZ16" s="12"/>
      <c r="CA16" s="12"/>
      <c r="CB16" s="12"/>
      <c r="CC16" s="51"/>
      <c r="CD16" s="1"/>
      <c r="CE16" s="51"/>
      <c r="CF16" s="51"/>
      <c r="CG16" s="51"/>
      <c r="CH16" s="12"/>
      <c r="CI16" s="51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  <c r="CY16" s="75"/>
      <c r="CZ16" s="51"/>
      <c r="DA16" s="12"/>
      <c r="DB16" s="12"/>
      <c r="DC16" s="12"/>
      <c r="DD16" s="51"/>
      <c r="DE16" s="1"/>
      <c r="DF16" s="12"/>
      <c r="DG16" s="12"/>
      <c r="DH16" s="12"/>
      <c r="DI16" s="51"/>
      <c r="DJ16" s="1"/>
      <c r="DK16" s="51"/>
      <c r="DL16" s="51"/>
      <c r="DM16" s="8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76"/>
      <c r="DZ16" s="4"/>
      <c r="EA16" s="4"/>
      <c r="EB16" s="75"/>
      <c r="EC16" s="1"/>
      <c r="ED16" s="51"/>
      <c r="EE16" s="1"/>
      <c r="EF16" s="1"/>
      <c r="EG16" s="1"/>
    </row>
    <row r="17" spans="1:137" x14ac:dyDescent="0.3">
      <c r="A17" s="1" t="s">
        <v>25</v>
      </c>
      <c r="B17" s="1">
        <v>100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 s="1"/>
      <c r="N17" s="4">
        <v>39.15</v>
      </c>
      <c r="O17" s="7">
        <f t="shared" si="172"/>
        <v>39.291449217181857</v>
      </c>
      <c r="P17" s="77"/>
      <c r="Q17" s="4">
        <f t="shared" si="173"/>
        <v>0.39291449217181856</v>
      </c>
      <c r="R17" s="4"/>
      <c r="S17" s="4"/>
      <c r="T17" s="4"/>
      <c r="U17" s="4"/>
      <c r="V17" s="4"/>
      <c r="W17" s="4"/>
      <c r="X17" s="4"/>
      <c r="Y17" s="4"/>
      <c r="Z17" s="4"/>
      <c r="AA17" s="4"/>
      <c r="AB17" s="1"/>
      <c r="AC17" s="1"/>
      <c r="AD17" s="1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12"/>
      <c r="AU17" s="1"/>
      <c r="AV17" s="1"/>
      <c r="AW17" s="1"/>
      <c r="AX17" s="1"/>
      <c r="AY17" s="51"/>
      <c r="AZ17" s="1"/>
      <c r="BA17" s="1"/>
      <c r="BB17" s="1"/>
      <c r="BC17" s="1"/>
      <c r="BD17" s="1"/>
      <c r="BE17" s="1"/>
      <c r="BF17" s="1"/>
      <c r="BG17" s="51"/>
      <c r="BH17" s="51"/>
      <c r="BI17" s="51"/>
      <c r="BJ17" s="12"/>
      <c r="BK17" s="51"/>
      <c r="BL17" s="12"/>
      <c r="BM17" s="51"/>
      <c r="BN17" s="12"/>
      <c r="BO17" s="12"/>
      <c r="BP17" s="1"/>
      <c r="BQ17" s="12"/>
      <c r="BR17" s="12"/>
      <c r="BS17" s="12"/>
      <c r="BT17" s="1"/>
      <c r="BU17" s="12"/>
      <c r="BV17" s="12"/>
      <c r="BW17" s="12"/>
      <c r="BX17" s="12"/>
      <c r="BY17" s="12"/>
      <c r="BZ17" s="12"/>
      <c r="CA17" s="12"/>
      <c r="CB17" s="12"/>
      <c r="CC17" s="51"/>
      <c r="CD17" s="1"/>
      <c r="CE17" s="51"/>
      <c r="CF17" s="51"/>
      <c r="CG17" s="51"/>
      <c r="CH17" s="12"/>
      <c r="CI17" s="51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  <c r="CY17" s="75"/>
      <c r="CZ17" s="51"/>
      <c r="DA17" s="12"/>
      <c r="DB17" s="12"/>
      <c r="DC17" s="12"/>
      <c r="DD17" s="51"/>
      <c r="DE17" s="1"/>
      <c r="DF17" s="12"/>
      <c r="DG17" s="12"/>
      <c r="DH17" s="12"/>
      <c r="DI17" s="51"/>
      <c r="DJ17" s="1"/>
      <c r="DK17" s="51"/>
      <c r="DL17" s="51"/>
      <c r="DM17" s="8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76"/>
      <c r="DZ17" s="4"/>
      <c r="EA17" s="4"/>
      <c r="EB17" s="75"/>
      <c r="EC17" s="1"/>
      <c r="ED17" s="51"/>
      <c r="EE17" s="1"/>
      <c r="EF17" s="1"/>
      <c r="EG17" s="1"/>
    </row>
    <row r="18" spans="1:137" x14ac:dyDescent="0.3">
      <c r="A18" s="1"/>
      <c r="B18" s="1"/>
      <c r="L18" s="1"/>
      <c r="M18" s="1"/>
      <c r="N18" s="4">
        <f>SUM(N14:N17)</f>
        <v>99.639999999999986</v>
      </c>
      <c r="O18" s="7">
        <f t="shared" si="172"/>
        <v>100</v>
      </c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1"/>
      <c r="AC18" s="1"/>
      <c r="AD18" s="1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12"/>
      <c r="AU18" s="1"/>
      <c r="AV18" s="1"/>
      <c r="AW18" s="1"/>
      <c r="AX18" s="1"/>
      <c r="AY18" s="51"/>
      <c r="AZ18" s="1"/>
      <c r="BA18" s="1"/>
      <c r="BB18" s="1"/>
      <c r="BC18" s="1"/>
      <c r="BD18" s="1"/>
      <c r="BE18" s="1"/>
      <c r="BF18" s="1"/>
      <c r="BG18" s="51"/>
      <c r="BH18" s="51"/>
      <c r="BI18" s="51"/>
      <c r="BJ18" s="12"/>
      <c r="BK18" s="51"/>
      <c r="BL18" s="12"/>
      <c r="BM18" s="51"/>
      <c r="BN18" s="12"/>
      <c r="BO18" s="12"/>
      <c r="BP18" s="1"/>
      <c r="BQ18" s="12"/>
      <c r="BR18" s="12"/>
      <c r="BS18" s="12"/>
      <c r="BT18" s="1"/>
      <c r="BU18" s="12"/>
      <c r="BV18" s="12"/>
      <c r="BW18" s="12"/>
      <c r="BX18" s="12"/>
      <c r="BY18" s="12"/>
      <c r="BZ18" s="12"/>
      <c r="CA18" s="12"/>
      <c r="CB18" s="12"/>
      <c r="CC18" s="51"/>
      <c r="CD18" s="1"/>
      <c r="CE18" s="51"/>
      <c r="CF18" s="51"/>
      <c r="CG18" s="51"/>
      <c r="CH18" s="12"/>
      <c r="CI18" s="51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75"/>
      <c r="CZ18" s="51"/>
      <c r="DA18" s="12"/>
      <c r="DB18" s="12"/>
      <c r="DC18" s="12"/>
      <c r="DD18" s="51"/>
      <c r="DE18" s="1"/>
      <c r="DF18" s="12"/>
      <c r="DG18" s="12"/>
      <c r="DH18" s="12"/>
      <c r="DI18" s="51"/>
      <c r="DJ18" s="1"/>
      <c r="DK18" s="51"/>
      <c r="DL18" s="51"/>
      <c r="DM18" s="8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76"/>
      <c r="DZ18" s="4"/>
      <c r="EA18" s="4"/>
      <c r="EB18" s="75"/>
      <c r="EC18" s="1"/>
      <c r="ED18" s="51"/>
      <c r="EE18" s="1"/>
      <c r="EF18" s="1"/>
      <c r="EG18" s="1"/>
    </row>
    <row r="19" spans="1:137" x14ac:dyDescent="0.3">
      <c r="A19" s="1"/>
      <c r="B19" s="3" t="s">
        <v>32</v>
      </c>
      <c r="C19" s="3" t="s">
        <v>33</v>
      </c>
      <c r="D19" s="3" t="s">
        <v>34</v>
      </c>
      <c r="E19" s="3" t="s">
        <v>35</v>
      </c>
      <c r="F19" s="3" t="s">
        <v>36</v>
      </c>
      <c r="G19" s="3" t="s">
        <v>37</v>
      </c>
      <c r="H19" s="3" t="s">
        <v>38</v>
      </c>
      <c r="I19" s="3" t="s">
        <v>39</v>
      </c>
      <c r="J19" s="3" t="s">
        <v>40</v>
      </c>
      <c r="K19" s="11" t="s">
        <v>41</v>
      </c>
      <c r="L19" s="6" t="s">
        <v>42</v>
      </c>
      <c r="M19" s="1"/>
      <c r="N19" s="4" t="s">
        <v>107</v>
      </c>
      <c r="O19" s="7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1"/>
      <c r="AC19" s="1"/>
      <c r="AD19" s="1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12"/>
      <c r="AU19" s="1"/>
      <c r="AV19" s="1"/>
      <c r="AW19" s="1"/>
      <c r="AX19" s="1"/>
      <c r="AY19" s="51"/>
      <c r="AZ19" s="1"/>
      <c r="BA19" s="1"/>
      <c r="BB19" s="1"/>
      <c r="BC19" s="1"/>
      <c r="BD19" s="1"/>
      <c r="BE19" s="1"/>
      <c r="BF19" s="1"/>
      <c r="BG19" s="51"/>
      <c r="BH19" s="51"/>
      <c r="BI19" s="51"/>
      <c r="BJ19" s="12"/>
      <c r="BK19" s="51"/>
      <c r="BL19" s="12"/>
      <c r="BM19" s="51"/>
      <c r="BN19" s="12"/>
      <c r="BO19" s="12"/>
      <c r="BP19" s="1"/>
      <c r="BQ19" s="12"/>
      <c r="BR19" s="12"/>
      <c r="BS19" s="12"/>
      <c r="BT19" s="1"/>
      <c r="BU19" s="12"/>
      <c r="BV19" s="12"/>
      <c r="BW19" s="12"/>
      <c r="BX19" s="12"/>
      <c r="BY19" s="12"/>
      <c r="BZ19" s="12"/>
      <c r="CA19" s="12"/>
      <c r="CB19" s="12"/>
      <c r="CC19" s="51"/>
      <c r="CD19" s="1"/>
      <c r="CE19" s="51"/>
      <c r="CF19" s="51"/>
      <c r="CG19" s="51"/>
      <c r="CH19" s="12"/>
      <c r="CI19" s="51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75"/>
      <c r="CZ19" s="51"/>
      <c r="DA19" s="12"/>
      <c r="DB19" s="12"/>
      <c r="DC19" s="12"/>
      <c r="DD19" s="51"/>
      <c r="DE19" s="1"/>
      <c r="DF19" s="12"/>
      <c r="DG19" s="12"/>
      <c r="DH19" s="12"/>
      <c r="DI19" s="51"/>
      <c r="DJ19" s="1"/>
      <c r="DK19" s="51"/>
      <c r="DL19" s="51"/>
      <c r="DM19" s="8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76"/>
      <c r="DZ19" s="4"/>
      <c r="EA19" s="4"/>
      <c r="EB19" s="75"/>
      <c r="EC19" s="1"/>
      <c r="ED19" s="51"/>
      <c r="EE19" s="1"/>
      <c r="EF19" s="1"/>
      <c r="EG19" s="1"/>
    </row>
    <row r="20" spans="1:137" x14ac:dyDescent="0.3">
      <c r="A20" s="1" t="s">
        <v>104</v>
      </c>
      <c r="B20" s="1">
        <v>59.79</v>
      </c>
      <c r="C20">
        <v>0</v>
      </c>
      <c r="D20">
        <v>25.67</v>
      </c>
      <c r="E20">
        <v>0.11</v>
      </c>
      <c r="F20">
        <v>3.0000000000000001E-3</v>
      </c>
      <c r="G20">
        <v>7.6999999999999999E-2</v>
      </c>
      <c r="H20">
        <v>5.88</v>
      </c>
      <c r="I20">
        <v>6.5000000000000002E-2</v>
      </c>
      <c r="J20">
        <v>8.31</v>
      </c>
      <c r="K20">
        <v>0</v>
      </c>
      <c r="L20" s="1">
        <v>0</v>
      </c>
      <c r="M20" s="1"/>
      <c r="N20" s="4">
        <v>22.52</v>
      </c>
      <c r="O20" s="7">
        <f>N20*$P$20</f>
        <v>22.944472745797245</v>
      </c>
      <c r="P20" s="51">
        <f>100/N24</f>
        <v>1.0188487009679061</v>
      </c>
      <c r="Q20" s="4">
        <f>O20/100</f>
        <v>0.22944472745797245</v>
      </c>
      <c r="R20" s="4"/>
      <c r="S20" s="4"/>
      <c r="T20" s="4"/>
      <c r="U20" s="4"/>
      <c r="V20" s="4"/>
      <c r="W20" s="4"/>
      <c r="X20" s="4"/>
      <c r="Y20" s="4"/>
      <c r="Z20" s="4"/>
      <c r="AA20" s="4"/>
      <c r="AB20" s="1"/>
      <c r="AC20" s="1"/>
      <c r="AD20" s="1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12"/>
      <c r="AU20" s="1"/>
      <c r="AV20" s="1"/>
      <c r="AW20" s="1"/>
      <c r="AX20" s="1"/>
      <c r="AY20" s="51"/>
      <c r="AZ20" s="1"/>
      <c r="BA20" s="1"/>
      <c r="BB20" s="1"/>
      <c r="BC20" s="1"/>
      <c r="BD20" s="1"/>
      <c r="BE20" s="1"/>
      <c r="BF20" s="1"/>
      <c r="BG20" s="51"/>
      <c r="BH20" s="51"/>
      <c r="BI20" s="51"/>
      <c r="BJ20" s="12"/>
      <c r="BK20" s="51"/>
      <c r="BL20" s="12"/>
      <c r="BM20" s="51"/>
      <c r="BN20" s="12"/>
      <c r="BO20" s="12"/>
      <c r="BP20" s="1"/>
      <c r="BQ20" s="12"/>
      <c r="BR20" s="12"/>
      <c r="BS20" s="12"/>
      <c r="BT20" s="1"/>
      <c r="BU20" s="12"/>
      <c r="BV20" s="12"/>
      <c r="BW20" s="12"/>
      <c r="BX20" s="12"/>
      <c r="BY20" s="12"/>
      <c r="BZ20" s="12"/>
      <c r="CA20" s="12"/>
      <c r="CB20" s="12"/>
      <c r="CC20" s="51"/>
      <c r="CD20" s="1"/>
      <c r="CE20" s="51"/>
      <c r="CF20" s="51"/>
      <c r="CG20" s="51"/>
      <c r="CH20" s="12"/>
      <c r="CI20" s="51"/>
      <c r="CJ20" s="12"/>
      <c r="CK20" s="12"/>
      <c r="CL20" s="12"/>
      <c r="CM20" s="12"/>
      <c r="CN20" s="12"/>
      <c r="CO20" s="12"/>
      <c r="CP20" s="12"/>
      <c r="CQ20" s="12"/>
      <c r="CR20" s="12"/>
      <c r="CS20" s="12"/>
      <c r="CT20" s="12"/>
      <c r="CU20" s="12"/>
      <c r="CV20" s="12"/>
      <c r="CW20" s="12"/>
      <c r="CX20" s="12"/>
      <c r="CY20" s="75"/>
      <c r="CZ20" s="51"/>
      <c r="DA20" s="12"/>
      <c r="DB20" s="12"/>
      <c r="DC20" s="12"/>
      <c r="DD20" s="51"/>
      <c r="DE20" s="1"/>
      <c r="DF20" s="12"/>
      <c r="DG20" s="12"/>
      <c r="DH20" s="12"/>
      <c r="DI20" s="51"/>
      <c r="DJ20" s="1"/>
      <c r="DK20" s="51"/>
      <c r="DL20" s="51"/>
      <c r="DM20" s="8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76"/>
      <c r="DZ20" s="4"/>
      <c r="EA20" s="4"/>
      <c r="EB20" s="75"/>
      <c r="EC20" s="1"/>
      <c r="ED20" s="51"/>
      <c r="EE20" s="1"/>
      <c r="EF20" s="1"/>
      <c r="EG20" s="1"/>
    </row>
    <row r="21" spans="1:137" x14ac:dyDescent="0.3">
      <c r="A21" s="1" t="s">
        <v>105</v>
      </c>
      <c r="B21" s="1">
        <v>49.48</v>
      </c>
      <c r="C21">
        <v>0.49</v>
      </c>
      <c r="D21">
        <v>35.04</v>
      </c>
      <c r="E21">
        <v>2.2799999999999998</v>
      </c>
      <c r="F21">
        <v>1.7999999999999999E-2</v>
      </c>
      <c r="G21">
        <v>1.36</v>
      </c>
      <c r="H21">
        <v>0</v>
      </c>
      <c r="I21">
        <v>11.39</v>
      </c>
      <c r="J21">
        <v>0.31</v>
      </c>
      <c r="K21">
        <v>0</v>
      </c>
      <c r="L21" s="1">
        <v>0</v>
      </c>
      <c r="M21" s="1"/>
      <c r="N21" s="4">
        <v>24.15</v>
      </c>
      <c r="O21" s="7">
        <f t="shared" ref="O21:O24" si="174">N21*$P$20</f>
        <v>24.605196128374931</v>
      </c>
      <c r="P21" s="4"/>
      <c r="Q21" s="4">
        <f t="shared" ref="Q21:Q23" si="175">O21/100</f>
        <v>0.24605196128374932</v>
      </c>
      <c r="R21" s="4"/>
      <c r="S21" s="4"/>
      <c r="T21" s="4"/>
      <c r="U21" s="4"/>
      <c r="V21" s="4"/>
      <c r="W21" s="4"/>
      <c r="X21" s="4"/>
      <c r="Y21" s="4"/>
      <c r="Z21" s="4"/>
      <c r="AA21" s="4"/>
      <c r="AB21" s="1"/>
      <c r="AC21" s="1"/>
      <c r="AD21" s="1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12"/>
      <c r="AU21" s="1"/>
      <c r="AV21" s="1"/>
      <c r="AW21" s="1"/>
      <c r="AX21" s="1"/>
      <c r="AY21" s="51"/>
      <c r="AZ21" s="1"/>
      <c r="BA21" s="1"/>
      <c r="BB21" s="1"/>
      <c r="BC21" s="1"/>
      <c r="BD21" s="1"/>
      <c r="BE21" s="1"/>
      <c r="BF21" s="1"/>
      <c r="BG21" s="51"/>
      <c r="BH21" s="51"/>
      <c r="BI21" s="51"/>
      <c r="BJ21" s="12"/>
      <c r="BK21" s="51"/>
      <c r="BL21" s="12"/>
      <c r="BM21" s="51"/>
      <c r="BN21" s="12"/>
      <c r="BO21" s="12"/>
      <c r="BP21" s="1"/>
      <c r="BQ21" s="12"/>
      <c r="BR21" s="12"/>
      <c r="BS21" s="12"/>
      <c r="BT21" s="1"/>
      <c r="BU21" s="12"/>
      <c r="BV21" s="12"/>
      <c r="BW21" s="12"/>
      <c r="BX21" s="12"/>
      <c r="BY21" s="12"/>
      <c r="BZ21" s="12"/>
      <c r="CA21" s="12"/>
      <c r="CB21" s="12"/>
      <c r="CC21" s="51"/>
      <c r="CD21" s="1"/>
      <c r="CE21" s="51"/>
      <c r="CF21" s="51"/>
      <c r="CG21" s="51"/>
      <c r="CH21" s="12"/>
      <c r="CI21" s="51"/>
      <c r="CJ21" s="12"/>
      <c r="CK21" s="12"/>
      <c r="CL21" s="12"/>
      <c r="CM21" s="12"/>
      <c r="CN21" s="12"/>
      <c r="CO21" s="12"/>
      <c r="CP21" s="12"/>
      <c r="CQ21" s="12"/>
      <c r="CR21" s="12"/>
      <c r="CS21" s="12"/>
      <c r="CT21" s="12"/>
      <c r="CU21" s="12"/>
      <c r="CV21" s="12"/>
      <c r="CW21" s="12"/>
      <c r="CX21" s="12"/>
      <c r="CY21" s="75"/>
      <c r="CZ21" s="51"/>
      <c r="DA21" s="12"/>
      <c r="DB21" s="12"/>
      <c r="DC21" s="12"/>
      <c r="DD21" s="51"/>
      <c r="DE21" s="1"/>
      <c r="DF21" s="12"/>
      <c r="DG21" s="12"/>
      <c r="DH21" s="12"/>
      <c r="DI21" s="51"/>
      <c r="DJ21" s="1"/>
      <c r="DK21" s="51"/>
      <c r="DL21" s="51"/>
      <c r="DM21" s="8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76"/>
      <c r="DZ21" s="4"/>
      <c r="EA21" s="4"/>
      <c r="EB21" s="75"/>
      <c r="EC21" s="1"/>
      <c r="ED21" s="51"/>
      <c r="EE21" s="1"/>
      <c r="EF21" s="1"/>
      <c r="EG21" s="1"/>
    </row>
    <row r="22" spans="1:137" x14ac:dyDescent="0.3">
      <c r="A22" s="1" t="s">
        <v>106</v>
      </c>
      <c r="B22" s="1">
        <v>38.380000000000003</v>
      </c>
      <c r="C22">
        <v>1.81</v>
      </c>
      <c r="D22">
        <v>19.190000000000001</v>
      </c>
      <c r="E22">
        <v>22.2</v>
      </c>
      <c r="F22">
        <v>0.24</v>
      </c>
      <c r="G22">
        <v>8.99</v>
      </c>
      <c r="H22">
        <v>0.03</v>
      </c>
      <c r="I22">
        <v>9.83</v>
      </c>
      <c r="J22">
        <v>0.09</v>
      </c>
      <c r="K22">
        <v>0</v>
      </c>
      <c r="L22" s="1">
        <v>0</v>
      </c>
      <c r="M22" s="1"/>
      <c r="N22" s="4">
        <v>13.5</v>
      </c>
      <c r="O22" s="7">
        <f t="shared" si="174"/>
        <v>13.754457463066732</v>
      </c>
      <c r="P22" s="4"/>
      <c r="Q22" s="4">
        <f t="shared" si="175"/>
        <v>0.13754457463066733</v>
      </c>
      <c r="R22" s="4"/>
      <c r="S22" s="4"/>
      <c r="T22" s="4"/>
      <c r="U22" s="4"/>
      <c r="V22" s="4"/>
      <c r="W22" s="4"/>
      <c r="X22" s="4"/>
      <c r="Y22" s="4"/>
      <c r="Z22" s="4"/>
      <c r="AA22" s="4"/>
      <c r="AB22" s="1"/>
      <c r="AC22" s="1"/>
      <c r="AD22" s="1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12"/>
      <c r="AU22" s="1"/>
      <c r="AV22" s="1"/>
      <c r="AW22" s="1"/>
      <c r="AX22" s="1"/>
      <c r="AY22" s="51"/>
      <c r="AZ22" s="1"/>
      <c r="BA22" s="1"/>
      <c r="BB22" s="1"/>
      <c r="BC22" s="1"/>
      <c r="BD22" s="1"/>
      <c r="BE22" s="1"/>
      <c r="BF22" s="1"/>
      <c r="BG22" s="51"/>
      <c r="BH22" s="51"/>
      <c r="BI22" s="51"/>
      <c r="BJ22" s="12"/>
      <c r="BK22" s="51"/>
      <c r="BL22" s="12"/>
      <c r="BM22" s="51"/>
      <c r="BN22" s="12"/>
      <c r="BO22" s="12"/>
      <c r="BP22" s="1"/>
      <c r="BQ22" s="12"/>
      <c r="BR22" s="12"/>
      <c r="BS22" s="12"/>
      <c r="BT22" s="1"/>
      <c r="BU22" s="12"/>
      <c r="BV22" s="12"/>
      <c r="BW22" s="12"/>
      <c r="BX22" s="12"/>
      <c r="BY22" s="12"/>
      <c r="BZ22" s="12"/>
      <c r="CA22" s="12"/>
      <c r="CB22" s="12"/>
      <c r="CC22" s="51"/>
      <c r="CD22" s="1"/>
      <c r="CE22" s="51"/>
      <c r="CF22" s="51"/>
      <c r="CG22" s="51"/>
      <c r="CH22" s="12"/>
      <c r="CI22" s="51"/>
      <c r="CJ22" s="12"/>
      <c r="CK22" s="12"/>
      <c r="CL22" s="12"/>
      <c r="CM22" s="12"/>
      <c r="CN22" s="12"/>
      <c r="CO22" s="12"/>
      <c r="CP22" s="12"/>
      <c r="CQ22" s="12"/>
      <c r="CR22" s="12"/>
      <c r="CS22" s="12"/>
      <c r="CT22" s="12"/>
      <c r="CU22" s="12"/>
      <c r="CV22" s="12"/>
      <c r="CW22" s="12"/>
      <c r="CX22" s="12"/>
      <c r="CY22" s="75"/>
      <c r="CZ22" s="51"/>
      <c r="DA22" s="12"/>
      <c r="DB22" s="12"/>
      <c r="DC22" s="12"/>
      <c r="DD22" s="51"/>
      <c r="DE22" s="1"/>
      <c r="DF22" s="12"/>
      <c r="DG22" s="12"/>
      <c r="DH22" s="12"/>
      <c r="DI22" s="51"/>
      <c r="DJ22" s="1"/>
      <c r="DK22" s="51"/>
      <c r="DL22" s="51"/>
      <c r="DM22" s="8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76"/>
      <c r="DZ22" s="4"/>
      <c r="EA22" s="4"/>
      <c r="EB22" s="75"/>
      <c r="EC22" s="1"/>
      <c r="ED22" s="51"/>
      <c r="EE22" s="1"/>
      <c r="EF22" s="1"/>
      <c r="EG22" s="1"/>
    </row>
    <row r="23" spans="1:137" x14ac:dyDescent="0.3">
      <c r="A23" s="1" t="s">
        <v>25</v>
      </c>
      <c r="B23" s="1">
        <v>100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 s="1"/>
      <c r="N23" s="4">
        <v>37.979999999999997</v>
      </c>
      <c r="O23" s="7">
        <f t="shared" si="174"/>
        <v>38.695873662761073</v>
      </c>
      <c r="P23" s="4"/>
      <c r="Q23" s="4">
        <f t="shared" si="175"/>
        <v>0.38695873662761071</v>
      </c>
      <c r="R23" s="4"/>
      <c r="S23" s="4"/>
      <c r="T23" s="4"/>
      <c r="U23" s="4"/>
      <c r="V23" s="4"/>
      <c r="W23" s="4"/>
      <c r="X23" s="4"/>
      <c r="Y23" s="4"/>
      <c r="Z23" s="4"/>
      <c r="AA23" s="4"/>
      <c r="AB23" s="1"/>
      <c r="AC23" s="1"/>
      <c r="AD23" s="1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12"/>
      <c r="AU23" s="1"/>
      <c r="AV23" s="1"/>
      <c r="AW23" s="1"/>
      <c r="AX23" s="1"/>
      <c r="AY23" s="51"/>
      <c r="AZ23" s="1"/>
      <c r="BA23" s="1"/>
      <c r="BB23" s="1"/>
      <c r="BC23" s="1"/>
      <c r="BD23" s="1"/>
      <c r="BE23" s="1"/>
      <c r="BF23" s="1"/>
      <c r="BG23" s="51"/>
      <c r="BH23" s="51"/>
      <c r="BI23" s="51"/>
      <c r="BJ23" s="12"/>
      <c r="BK23" s="51"/>
      <c r="BL23" s="12"/>
      <c r="BM23" s="51"/>
      <c r="BN23" s="12"/>
      <c r="BO23" s="12"/>
      <c r="BP23" s="1"/>
      <c r="BQ23" s="12"/>
      <c r="BR23" s="12"/>
      <c r="BS23" s="12"/>
      <c r="BT23" s="1"/>
      <c r="BU23" s="12"/>
      <c r="BV23" s="12"/>
      <c r="BW23" s="12"/>
      <c r="BX23" s="12"/>
      <c r="BY23" s="12"/>
      <c r="BZ23" s="12"/>
      <c r="CA23" s="12"/>
      <c r="CB23" s="12"/>
      <c r="CC23" s="51"/>
      <c r="CD23" s="1"/>
      <c r="CE23" s="51"/>
      <c r="CF23" s="51"/>
      <c r="CG23" s="51"/>
      <c r="CH23" s="12"/>
      <c r="CI23" s="51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  <c r="CY23" s="75"/>
      <c r="CZ23" s="51"/>
      <c r="DA23" s="12"/>
      <c r="DB23" s="12"/>
      <c r="DC23" s="12"/>
      <c r="DD23" s="51"/>
      <c r="DE23" s="1"/>
      <c r="DF23" s="12"/>
      <c r="DG23" s="12"/>
      <c r="DH23" s="12"/>
      <c r="DI23" s="51"/>
      <c r="DJ23" s="1"/>
      <c r="DK23" s="51"/>
      <c r="DL23" s="51"/>
      <c r="DM23" s="8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76"/>
      <c r="DZ23" s="4"/>
      <c r="EA23" s="4"/>
      <c r="EB23" s="75"/>
      <c r="EC23" s="1"/>
      <c r="ED23" s="51"/>
      <c r="EE23" s="1"/>
      <c r="EF23" s="1"/>
      <c r="EG23" s="1"/>
    </row>
    <row r="24" spans="1:137" x14ac:dyDescent="0.3">
      <c r="A24" s="1"/>
      <c r="B24" s="1"/>
      <c r="L24" s="1"/>
      <c r="M24" s="1" t="s">
        <v>55</v>
      </c>
      <c r="N24" s="4">
        <f>SUM(N20:N23)</f>
        <v>98.15</v>
      </c>
      <c r="O24" s="7">
        <f t="shared" si="174"/>
        <v>100</v>
      </c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1"/>
      <c r="AC24" s="1"/>
      <c r="AD24" s="1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12"/>
      <c r="AU24" s="1"/>
      <c r="AV24" s="1"/>
      <c r="AW24" s="1"/>
      <c r="AX24" s="1"/>
      <c r="AY24" s="51"/>
      <c r="AZ24" s="1"/>
      <c r="BA24" s="1"/>
      <c r="BB24" s="1"/>
      <c r="BC24" s="1"/>
      <c r="BD24" s="1"/>
      <c r="BE24" s="1"/>
      <c r="BF24" s="1"/>
      <c r="BG24" s="51"/>
      <c r="BH24" s="51"/>
      <c r="BI24" s="51"/>
      <c r="BJ24" s="12"/>
      <c r="BK24" s="51"/>
      <c r="BL24" s="12"/>
      <c r="BM24" s="51"/>
      <c r="BN24" s="12"/>
      <c r="BO24" s="12"/>
      <c r="BP24" s="1"/>
      <c r="BQ24" s="12"/>
      <c r="BR24" s="12"/>
      <c r="BS24" s="12"/>
      <c r="BT24" s="1"/>
      <c r="BU24" s="12"/>
      <c r="BV24" s="12"/>
      <c r="BW24" s="12"/>
      <c r="BX24" s="12"/>
      <c r="BY24" s="12"/>
      <c r="BZ24" s="12"/>
      <c r="CA24" s="12"/>
      <c r="CB24" s="12"/>
      <c r="CC24" s="51"/>
      <c r="CD24" s="1"/>
      <c r="CE24" s="51"/>
      <c r="CF24" s="51"/>
      <c r="CG24" s="51"/>
      <c r="CH24" s="12"/>
      <c r="CI24" s="51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75"/>
      <c r="CZ24" s="51"/>
      <c r="DA24" s="12"/>
      <c r="DB24" s="12"/>
      <c r="DC24" s="12"/>
      <c r="DD24" s="51"/>
      <c r="DE24" s="1"/>
      <c r="DF24" s="12"/>
      <c r="DG24" s="12"/>
      <c r="DH24" s="12"/>
      <c r="DI24" s="51"/>
      <c r="DJ24" s="1"/>
      <c r="DK24" s="51"/>
      <c r="DL24" s="51"/>
      <c r="DM24" s="8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76"/>
      <c r="DZ24" s="4"/>
      <c r="EA24" s="4"/>
      <c r="EB24" s="75"/>
      <c r="EC24" s="1"/>
      <c r="ED24" s="51"/>
      <c r="EE24" s="1"/>
      <c r="EF24" s="1"/>
      <c r="EG24" s="1"/>
    </row>
    <row r="25" spans="1:137" x14ac:dyDescent="0.3">
      <c r="A25" s="1"/>
      <c r="B25" s="1"/>
      <c r="L25" s="1"/>
      <c r="M25" s="1"/>
      <c r="N25" s="4"/>
      <c r="O25" s="1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1"/>
      <c r="AC25" s="1"/>
      <c r="AD25" s="1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12"/>
      <c r="AU25" s="1"/>
      <c r="AV25" s="1"/>
      <c r="AW25" s="1"/>
      <c r="AX25" s="1"/>
      <c r="AY25" s="51"/>
      <c r="AZ25" s="1"/>
      <c r="BA25" s="1"/>
      <c r="BB25" s="1"/>
      <c r="BC25" s="1"/>
      <c r="BD25" s="1"/>
      <c r="BE25" s="1"/>
      <c r="BF25" s="1"/>
      <c r="BG25" s="51"/>
      <c r="BH25" s="51"/>
      <c r="BI25" s="51"/>
      <c r="BJ25" s="12"/>
      <c r="BK25" s="51"/>
      <c r="BL25" s="12"/>
      <c r="BM25" s="51"/>
      <c r="BN25" s="12"/>
      <c r="BO25" s="12"/>
      <c r="BP25" s="1"/>
      <c r="BQ25" s="12"/>
      <c r="BR25" s="12"/>
      <c r="BS25" s="12"/>
      <c r="BT25" s="1"/>
      <c r="BU25" s="12"/>
      <c r="BV25" s="12"/>
      <c r="BW25" s="12"/>
      <c r="BX25" s="12"/>
      <c r="BY25" s="12"/>
      <c r="BZ25" s="12"/>
      <c r="CA25" s="12"/>
      <c r="CB25" s="12"/>
      <c r="CC25" s="51"/>
      <c r="CD25" s="1"/>
      <c r="CE25" s="51"/>
      <c r="CF25" s="51"/>
      <c r="CG25" s="51"/>
      <c r="CH25" s="12"/>
      <c r="CI25" s="51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  <c r="CY25" s="75"/>
      <c r="CZ25" s="51"/>
      <c r="DA25" s="12"/>
      <c r="DB25" s="12"/>
      <c r="DC25" s="12"/>
      <c r="DD25" s="51"/>
      <c r="DE25" s="1"/>
      <c r="DF25" s="12"/>
      <c r="DG25" s="12"/>
      <c r="DH25" s="12"/>
      <c r="DI25" s="51"/>
      <c r="DJ25" s="1"/>
      <c r="DK25" s="51"/>
      <c r="DL25" s="51"/>
      <c r="DM25" s="8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76"/>
      <c r="DZ25" s="4"/>
      <c r="EA25" s="4"/>
      <c r="EB25" s="75"/>
      <c r="EC25" s="1"/>
      <c r="ED25" s="51"/>
      <c r="EE25" s="1"/>
      <c r="EF25" s="1"/>
      <c r="EG25" s="1"/>
    </row>
    <row r="26" spans="1:137" x14ac:dyDescent="0.3">
      <c r="A26" s="1"/>
      <c r="B26" s="1"/>
      <c r="C26" s="78"/>
      <c r="D26" s="78"/>
      <c r="E26" s="78"/>
      <c r="F26" s="78"/>
      <c r="G26" s="78"/>
      <c r="H26" s="78"/>
      <c r="I26" s="78"/>
      <c r="J26" s="78"/>
      <c r="K26" s="78"/>
      <c r="L26" s="1"/>
      <c r="M26" s="1"/>
      <c r="N26" s="4"/>
      <c r="O26" s="1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1"/>
      <c r="AC26" s="1"/>
      <c r="AD26" s="1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12"/>
      <c r="AU26" s="1"/>
      <c r="AV26" s="1"/>
      <c r="AW26" s="1"/>
      <c r="AX26" s="1"/>
      <c r="AY26" s="51"/>
      <c r="AZ26" s="1"/>
      <c r="BA26" s="1"/>
      <c r="BB26" s="1"/>
      <c r="BC26" s="1"/>
      <c r="BD26" s="1"/>
      <c r="BE26" s="1"/>
      <c r="BF26" s="1"/>
      <c r="BG26" s="51"/>
      <c r="BH26" s="51"/>
      <c r="BI26" s="51"/>
      <c r="BJ26" s="12"/>
      <c r="BK26" s="51"/>
      <c r="BL26" s="12"/>
      <c r="BM26" s="51"/>
      <c r="BN26" s="12"/>
      <c r="BO26" s="12"/>
      <c r="BP26" s="1"/>
      <c r="BQ26" s="12"/>
      <c r="BR26" s="12"/>
      <c r="BS26" s="12"/>
      <c r="BT26" s="1"/>
      <c r="BU26" s="12"/>
      <c r="BV26" s="12"/>
      <c r="BW26" s="12"/>
      <c r="BX26" s="12"/>
      <c r="BY26" s="12"/>
      <c r="BZ26" s="12"/>
      <c r="CA26" s="12"/>
      <c r="CB26" s="12"/>
      <c r="CC26" s="51"/>
      <c r="CD26" s="1"/>
      <c r="CE26" s="51"/>
      <c r="CF26" s="51"/>
      <c r="CG26" s="51"/>
      <c r="CH26" s="12"/>
      <c r="CI26" s="51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  <c r="CY26" s="75"/>
      <c r="CZ26" s="51"/>
      <c r="DA26" s="12"/>
      <c r="DB26" s="12"/>
      <c r="DC26" s="12"/>
      <c r="DD26" s="51"/>
      <c r="DE26" s="1"/>
      <c r="DF26" s="12"/>
      <c r="DG26" s="12"/>
      <c r="DH26" s="12"/>
      <c r="DI26" s="51"/>
      <c r="DJ26" s="1"/>
      <c r="DK26" s="51"/>
      <c r="DL26" s="51"/>
      <c r="DM26" s="8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76"/>
      <c r="DZ26" s="4"/>
      <c r="EA26" s="4"/>
      <c r="EB26" s="75"/>
      <c r="EC26" s="1"/>
      <c r="ED26" s="51"/>
      <c r="EE26" s="1"/>
      <c r="EF26" s="1"/>
      <c r="EG26" s="1"/>
    </row>
    <row r="27" spans="1:137" x14ac:dyDescent="0.3">
      <c r="A27" s="1"/>
      <c r="B27" s="1"/>
      <c r="C27" s="78"/>
      <c r="D27" s="78"/>
      <c r="E27" s="78"/>
      <c r="F27" s="78"/>
      <c r="G27" s="78"/>
      <c r="H27" s="78"/>
      <c r="I27" s="78"/>
      <c r="J27" s="78"/>
      <c r="K27" s="78"/>
      <c r="L27" s="1"/>
      <c r="M27" s="1"/>
      <c r="N27" s="4"/>
      <c r="O27" s="1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1"/>
      <c r="AC27" s="1"/>
      <c r="AD27" s="1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12"/>
      <c r="AU27" s="1"/>
      <c r="AV27" s="1"/>
      <c r="AW27" s="1"/>
      <c r="AX27" s="1"/>
      <c r="AY27" s="51"/>
      <c r="AZ27" s="1"/>
      <c r="BA27" s="1"/>
      <c r="BB27" s="1"/>
      <c r="BC27" s="1"/>
      <c r="BD27" s="1"/>
      <c r="BE27" s="1"/>
      <c r="BF27" s="1"/>
      <c r="BG27" s="51"/>
      <c r="BH27" s="51"/>
      <c r="BI27" s="51"/>
      <c r="BJ27" s="12"/>
      <c r="BK27" s="51"/>
      <c r="BL27" s="12"/>
      <c r="BM27" s="51"/>
      <c r="BN27" s="12"/>
      <c r="BO27" s="12"/>
      <c r="BP27" s="1"/>
      <c r="BQ27" s="12"/>
      <c r="BR27" s="12"/>
      <c r="BS27" s="12"/>
      <c r="BT27" s="1"/>
      <c r="BU27" s="12"/>
      <c r="BV27" s="12"/>
      <c r="BW27" s="12"/>
      <c r="BX27" s="12"/>
      <c r="BY27" s="12"/>
      <c r="BZ27" s="12"/>
      <c r="CA27" s="12"/>
      <c r="CB27" s="12"/>
      <c r="CC27" s="51"/>
      <c r="CD27" s="1"/>
      <c r="CE27" s="51"/>
      <c r="CF27" s="51"/>
      <c r="CG27" s="51"/>
      <c r="CH27" s="12"/>
      <c r="CI27" s="51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  <c r="CY27" s="75"/>
      <c r="CZ27" s="51"/>
      <c r="DA27" s="12"/>
      <c r="DB27" s="12"/>
      <c r="DC27" s="12"/>
      <c r="DD27" s="51"/>
      <c r="DE27" s="1"/>
      <c r="DF27" s="12"/>
      <c r="DG27" s="12"/>
      <c r="DH27" s="12"/>
      <c r="DI27" s="51"/>
      <c r="DJ27" s="1"/>
      <c r="DK27" s="51"/>
      <c r="DL27" s="51"/>
      <c r="DM27" s="8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76"/>
      <c r="DZ27" s="4"/>
      <c r="EA27" s="4"/>
      <c r="EB27" s="75"/>
      <c r="EC27" s="1"/>
      <c r="ED27" s="51"/>
      <c r="EE27" s="1"/>
      <c r="EF27" s="1"/>
      <c r="EG27" s="1"/>
    </row>
    <row r="28" spans="1:137" x14ac:dyDescent="0.3">
      <c r="A28" s="7" t="s">
        <v>108</v>
      </c>
      <c r="B28" s="1"/>
      <c r="C28" s="78"/>
      <c r="D28" s="78"/>
      <c r="E28" s="78"/>
      <c r="F28" s="78"/>
      <c r="G28" s="78"/>
      <c r="H28" s="78"/>
      <c r="I28" s="78"/>
      <c r="J28" s="78"/>
      <c r="K28" s="78"/>
      <c r="L28" s="1"/>
      <c r="M28" s="1"/>
      <c r="N28" s="4"/>
      <c r="O28" s="1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1"/>
      <c r="AC28" s="1"/>
      <c r="AD28" s="1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12"/>
      <c r="AU28" s="1"/>
      <c r="AV28" s="1"/>
      <c r="AW28" s="1"/>
      <c r="AX28" s="1"/>
      <c r="AY28" s="51"/>
      <c r="AZ28" s="1"/>
      <c r="BA28" s="1"/>
      <c r="BB28" s="1"/>
      <c r="BC28" s="1"/>
      <c r="BD28" s="1"/>
      <c r="BE28" s="1"/>
      <c r="BF28" s="1"/>
      <c r="BG28" s="51"/>
      <c r="BH28" s="51"/>
      <c r="BI28" s="51"/>
      <c r="BJ28" s="12"/>
      <c r="BK28" s="51"/>
      <c r="BL28" s="12"/>
      <c r="BM28" s="51"/>
      <c r="BN28" s="12"/>
      <c r="BO28" s="12"/>
      <c r="BP28" s="1"/>
      <c r="BQ28" s="12"/>
      <c r="BR28" s="12"/>
      <c r="BS28" s="12"/>
      <c r="BT28" s="1"/>
      <c r="BU28" s="12"/>
      <c r="BV28" s="12"/>
      <c r="BW28" s="12"/>
      <c r="BX28" s="12"/>
      <c r="BY28" s="12"/>
      <c r="BZ28" s="12"/>
      <c r="CA28" s="12"/>
      <c r="CB28" s="12"/>
      <c r="CC28" s="51"/>
      <c r="CD28" s="1"/>
      <c r="CE28" s="51"/>
      <c r="CF28" s="51"/>
      <c r="CG28" s="51"/>
      <c r="CH28" s="12"/>
      <c r="CI28" s="51"/>
      <c r="CJ28" s="12"/>
      <c r="CK28" s="12"/>
      <c r="CL28" s="12"/>
      <c r="CM28" s="12"/>
      <c r="CN28" s="12"/>
      <c r="CO28" s="12"/>
      <c r="CP28" s="12"/>
      <c r="CQ28" s="12"/>
      <c r="CR28" s="12"/>
      <c r="CS28" s="12"/>
      <c r="CT28" s="12"/>
      <c r="CU28" s="12"/>
      <c r="CV28" s="12"/>
      <c r="CW28" s="12"/>
      <c r="CX28" s="12"/>
      <c r="CY28" s="75"/>
      <c r="CZ28" s="51"/>
      <c r="DA28" s="12"/>
      <c r="DB28" s="12"/>
      <c r="DC28" s="12"/>
      <c r="DD28" s="51"/>
      <c r="DE28" s="1"/>
      <c r="DF28" s="12"/>
      <c r="DG28" s="12"/>
      <c r="DH28" s="12"/>
      <c r="DI28" s="51"/>
      <c r="DJ28" s="1"/>
      <c r="DK28" s="51"/>
      <c r="DL28" s="51"/>
      <c r="DM28" s="8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76"/>
      <c r="DZ28" s="4"/>
      <c r="EA28" s="4"/>
      <c r="EB28" s="75"/>
      <c r="EC28" s="1"/>
      <c r="ED28" s="51"/>
      <c r="EE28" s="1"/>
      <c r="EF28" s="1"/>
      <c r="EG28" s="1"/>
    </row>
    <row r="29" spans="1:137" x14ac:dyDescent="0.3">
      <c r="A29" s="1"/>
      <c r="B29" s="3" t="s">
        <v>32</v>
      </c>
      <c r="C29" s="3" t="s">
        <v>33</v>
      </c>
      <c r="D29" s="3" t="s">
        <v>34</v>
      </c>
      <c r="E29" s="3" t="s">
        <v>35</v>
      </c>
      <c r="F29" s="3" t="s">
        <v>36</v>
      </c>
      <c r="G29" s="3" t="s">
        <v>37</v>
      </c>
      <c r="H29" s="3" t="s">
        <v>38</v>
      </c>
      <c r="I29" s="3" t="s">
        <v>39</v>
      </c>
      <c r="J29" s="3" t="s">
        <v>40</v>
      </c>
      <c r="K29" s="11" t="s">
        <v>41</v>
      </c>
      <c r="L29" s="6" t="s">
        <v>42</v>
      </c>
      <c r="M29" s="1"/>
      <c r="N29" s="4"/>
      <c r="O29" s="1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1"/>
      <c r="AC29" s="1"/>
      <c r="AD29" s="1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12"/>
      <c r="AU29" s="1"/>
      <c r="AV29" s="1"/>
      <c r="AW29" s="1"/>
      <c r="AX29" s="1"/>
      <c r="AY29" s="51"/>
      <c r="AZ29" s="1"/>
      <c r="BA29" s="1"/>
      <c r="BB29" s="1"/>
      <c r="BC29" s="1"/>
      <c r="BD29" s="1"/>
      <c r="BE29" s="1"/>
      <c r="BF29" s="1"/>
      <c r="BG29" s="51"/>
      <c r="BH29" s="51"/>
      <c r="BI29" s="51"/>
      <c r="BJ29" s="12"/>
      <c r="BK29" s="51"/>
      <c r="BL29" s="12"/>
      <c r="BM29" s="51"/>
      <c r="BN29" s="12"/>
      <c r="BO29" s="12"/>
      <c r="BP29" s="1"/>
      <c r="BQ29" s="12"/>
      <c r="BR29" s="12"/>
      <c r="BS29" s="12"/>
      <c r="BT29" s="1"/>
      <c r="BU29" s="12"/>
      <c r="BV29" s="12"/>
      <c r="BW29" s="12"/>
      <c r="BX29" s="12"/>
      <c r="BY29" s="12"/>
      <c r="BZ29" s="12"/>
      <c r="CA29" s="12"/>
      <c r="CB29" s="12"/>
      <c r="CC29" s="51"/>
      <c r="CD29" s="1"/>
      <c r="CE29" s="51"/>
      <c r="CF29" s="51"/>
      <c r="CG29" s="51"/>
      <c r="CH29" s="12"/>
      <c r="CI29" s="51"/>
      <c r="CJ29" s="12"/>
      <c r="CK29" s="12"/>
      <c r="CL29" s="12"/>
      <c r="CM29" s="12"/>
      <c r="CN29" s="12"/>
      <c r="CO29" s="12"/>
      <c r="CP29" s="12"/>
      <c r="CQ29" s="12"/>
      <c r="CR29" s="12"/>
      <c r="CS29" s="12"/>
      <c r="CT29" s="12"/>
      <c r="CU29" s="12"/>
      <c r="CV29" s="12"/>
      <c r="CW29" s="12"/>
      <c r="CX29" s="12"/>
      <c r="CY29" s="75"/>
      <c r="CZ29" s="51"/>
      <c r="DA29" s="12"/>
      <c r="DB29" s="12"/>
      <c r="DC29" s="12"/>
      <c r="DD29" s="51"/>
      <c r="DE29" s="1"/>
      <c r="DF29" s="12"/>
      <c r="DG29" s="12"/>
      <c r="DH29" s="12"/>
      <c r="DI29" s="51"/>
      <c r="DJ29" s="1"/>
      <c r="DK29" s="51"/>
      <c r="DL29" s="51"/>
      <c r="DM29" s="8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76"/>
      <c r="DZ29" s="4"/>
      <c r="EA29" s="4"/>
      <c r="EB29" s="75"/>
      <c r="EC29" s="1"/>
      <c r="ED29" s="51"/>
      <c r="EE29" s="1"/>
      <c r="EF29" s="1"/>
      <c r="EG29" s="1"/>
    </row>
    <row r="30" spans="1:137" x14ac:dyDescent="0.3">
      <c r="A30" s="7" t="s">
        <v>94</v>
      </c>
      <c r="B30" s="1">
        <f>(B14*$Q$14)+(B15*$Q$15)+(B16*$Q$16)+(B17*$Q$17)</f>
        <v>72.842332396627867</v>
      </c>
      <c r="C30" s="1">
        <f t="shared" ref="C30:L30" si="176">(C14*$Q$14)+(C15*$Q$15)+(C16*$Q$16)+(C17*$Q$17)</f>
        <v>0.20601766358892015</v>
      </c>
      <c r="D30" s="1">
        <f t="shared" si="176"/>
        <v>16.728354074668811</v>
      </c>
      <c r="E30" s="1">
        <f t="shared" si="176"/>
        <v>1.9771236451224412</v>
      </c>
      <c r="F30" s="1">
        <f t="shared" si="176"/>
        <v>1.9564331593737459E-2</v>
      </c>
      <c r="G30" s="1">
        <f t="shared" si="176"/>
        <v>0.84180851063829798</v>
      </c>
      <c r="H30" s="1">
        <f t="shared" si="176"/>
        <v>1.3252013247691694</v>
      </c>
      <c r="I30" s="1">
        <f t="shared" si="176"/>
        <v>2.7212765957446816</v>
      </c>
      <c r="J30" s="1">
        <f t="shared" si="176"/>
        <v>3.3642834203131278</v>
      </c>
      <c r="K30" s="1">
        <f t="shared" si="176"/>
        <v>0</v>
      </c>
      <c r="L30" s="1">
        <f t="shared" si="176"/>
        <v>0</v>
      </c>
      <c r="M30" s="1"/>
      <c r="N30" s="4"/>
      <c r="O30" s="1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1"/>
      <c r="AC30" s="1"/>
      <c r="AD30" s="1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12"/>
      <c r="AU30" s="1"/>
      <c r="AV30" s="1"/>
      <c r="AW30" s="1"/>
      <c r="AX30" s="1"/>
      <c r="AY30" s="51"/>
      <c r="AZ30" s="1"/>
      <c r="BA30" s="1"/>
      <c r="BB30" s="1"/>
      <c r="BC30" s="1"/>
      <c r="BD30" s="1"/>
      <c r="BE30" s="1"/>
      <c r="BF30" s="1"/>
      <c r="BG30" s="51"/>
      <c r="BH30" s="51"/>
      <c r="BI30" s="51"/>
      <c r="BJ30" s="12"/>
      <c r="BK30" s="51"/>
      <c r="BL30" s="12"/>
      <c r="BM30" s="51"/>
      <c r="BN30" s="12"/>
      <c r="BO30" s="12"/>
      <c r="BP30" s="1"/>
      <c r="BQ30" s="12"/>
      <c r="BR30" s="12"/>
      <c r="BS30" s="12"/>
      <c r="BT30" s="1"/>
      <c r="BU30" s="12"/>
      <c r="BV30" s="12"/>
      <c r="BW30" s="12"/>
      <c r="BX30" s="12"/>
      <c r="BY30" s="12"/>
      <c r="BZ30" s="12"/>
      <c r="CA30" s="12"/>
      <c r="CB30" s="12"/>
      <c r="CC30" s="51"/>
      <c r="CD30" s="1"/>
      <c r="CE30" s="51"/>
      <c r="CF30" s="51"/>
      <c r="CG30" s="51"/>
      <c r="CH30" s="12"/>
      <c r="CI30" s="51"/>
      <c r="CJ30" s="12"/>
      <c r="CK30" s="12"/>
      <c r="CL30" s="12"/>
      <c r="CM30" s="12"/>
      <c r="CN30" s="12"/>
      <c r="CO30" s="12"/>
      <c r="CP30" s="12"/>
      <c r="CQ30" s="12"/>
      <c r="CR30" s="12"/>
      <c r="CS30" s="12"/>
      <c r="CT30" s="12"/>
      <c r="CU30" s="12"/>
      <c r="CV30" s="12"/>
      <c r="CW30" s="12"/>
      <c r="CX30" s="12"/>
      <c r="CY30" s="75"/>
      <c r="CZ30" s="51"/>
      <c r="DA30" s="12"/>
      <c r="DB30" s="12"/>
      <c r="DC30" s="12"/>
      <c r="DD30" s="51"/>
      <c r="DE30" s="1"/>
      <c r="DF30" s="12"/>
      <c r="DG30" s="12"/>
      <c r="DH30" s="12"/>
      <c r="DI30" s="51"/>
      <c r="DJ30" s="1"/>
      <c r="DK30" s="51"/>
      <c r="DL30" s="51"/>
      <c r="DM30" s="8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76"/>
      <c r="DZ30" s="4"/>
      <c r="EA30" s="4"/>
      <c r="EB30" s="75"/>
      <c r="EC30" s="1"/>
      <c r="ED30" s="51"/>
      <c r="EE30" s="1"/>
      <c r="EF30" s="1"/>
      <c r="EG30" s="1"/>
    </row>
    <row r="31" spans="1:137" x14ac:dyDescent="0.3">
      <c r="A31" s="7" t="s">
        <v>95</v>
      </c>
      <c r="B31" s="1">
        <f>(B20*$Q$20)+(B21*$Q$21)+(B22*$Q$22)+(B23*$Q$23)</f>
        <v>69.867985736118172</v>
      </c>
      <c r="C31" s="1">
        <f t="shared" ref="C31:L31" si="177">(C20*$Q$20)+(C21*$Q$21)+(C22*$Q$22)+(C23*$Q$23)</f>
        <v>0.36952114111054501</v>
      </c>
      <c r="D31" s="1">
        <f t="shared" si="177"/>
        <v>17.150987264391237</v>
      </c>
      <c r="E31" s="1">
        <f t="shared" si="177"/>
        <v>3.6397269485481401</v>
      </c>
      <c r="F31" s="1">
        <f t="shared" si="177"/>
        <v>3.8127967396841565E-2</v>
      </c>
      <c r="G31" s="1">
        <f t="shared" si="177"/>
        <v>1.5888236372898623</v>
      </c>
      <c r="H31" s="1">
        <f t="shared" si="177"/>
        <v>1.3532613346917979</v>
      </c>
      <c r="I31" s="1">
        <f t="shared" si="177"/>
        <v>4.1695089149261326</v>
      </c>
      <c r="J31" s="1">
        <f t="shared" si="177"/>
        <v>1.9953408048904737</v>
      </c>
      <c r="K31" s="1">
        <f t="shared" si="177"/>
        <v>0</v>
      </c>
      <c r="L31" s="1">
        <f t="shared" si="177"/>
        <v>0</v>
      </c>
      <c r="M31" s="1"/>
      <c r="N31" s="4"/>
      <c r="O31" s="1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1"/>
      <c r="AC31" s="1"/>
      <c r="AD31" s="1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12"/>
      <c r="AU31" s="1"/>
      <c r="AV31" s="1"/>
      <c r="AW31" s="1"/>
      <c r="AX31" s="1"/>
      <c r="AY31" s="51"/>
      <c r="AZ31" s="1"/>
      <c r="BA31" s="1"/>
      <c r="BB31" s="1"/>
      <c r="BC31" s="1"/>
      <c r="BD31" s="1"/>
      <c r="BE31" s="1"/>
      <c r="BF31" s="1"/>
      <c r="BG31" s="51"/>
      <c r="BH31" s="51"/>
      <c r="BI31" s="51"/>
      <c r="BJ31" s="12"/>
      <c r="BK31" s="51"/>
      <c r="BL31" s="12"/>
      <c r="BM31" s="51"/>
      <c r="BN31" s="12"/>
      <c r="BO31" s="12"/>
      <c r="BP31" s="1"/>
      <c r="BQ31" s="12"/>
      <c r="BR31" s="12"/>
      <c r="BS31" s="12"/>
      <c r="BT31" s="1"/>
      <c r="BU31" s="12"/>
      <c r="BV31" s="12"/>
      <c r="BW31" s="12"/>
      <c r="BX31" s="12"/>
      <c r="BY31" s="12"/>
      <c r="BZ31" s="12"/>
      <c r="CA31" s="12"/>
      <c r="CB31" s="12"/>
      <c r="CC31" s="51"/>
      <c r="CD31" s="1"/>
      <c r="CE31" s="51"/>
      <c r="CF31" s="51"/>
      <c r="CG31" s="51"/>
      <c r="CH31" s="12"/>
      <c r="CI31" s="51"/>
      <c r="CJ31" s="12"/>
      <c r="CK31" s="12"/>
      <c r="CL31" s="12"/>
      <c r="CM31" s="12"/>
      <c r="CN31" s="12"/>
      <c r="CO31" s="12"/>
      <c r="CP31" s="12"/>
      <c r="CQ31" s="12"/>
      <c r="CR31" s="12"/>
      <c r="CS31" s="12"/>
      <c r="CT31" s="12"/>
      <c r="CU31" s="12"/>
      <c r="CV31" s="12"/>
      <c r="CW31" s="12"/>
      <c r="CX31" s="12"/>
      <c r="CY31" s="75"/>
      <c r="CZ31" s="51"/>
      <c r="DA31" s="12"/>
      <c r="DB31" s="12"/>
      <c r="DC31" s="12"/>
      <c r="DD31" s="51"/>
      <c r="DE31" s="1"/>
      <c r="DF31" s="12"/>
      <c r="DG31" s="12"/>
      <c r="DH31" s="12"/>
      <c r="DI31" s="51"/>
      <c r="DJ31" s="1"/>
      <c r="DK31" s="51"/>
      <c r="DL31" s="51"/>
      <c r="DM31" s="8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76"/>
      <c r="DZ31" s="4"/>
      <c r="EA31" s="4"/>
      <c r="EB31" s="75"/>
      <c r="EC31" s="1"/>
      <c r="ED31" s="51"/>
      <c r="EE31" s="1"/>
      <c r="EF31" s="1"/>
      <c r="EG31" s="1"/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Durham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NICHOLSON, WILL J.</dc:creator>
  <cp:lastModifiedBy>Will Nicholson</cp:lastModifiedBy>
  <dcterms:created xsi:type="dcterms:W3CDTF">2025-05-30T15:57:23Z</dcterms:created>
  <dcterms:modified xsi:type="dcterms:W3CDTF">2025-05-30T15:58:46Z</dcterms:modified>
</cp:coreProperties>
</file>