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4.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Users/alexanderjefferies/Documents/Masters/Corrections/"/>
    </mc:Choice>
  </mc:AlternateContent>
  <xr:revisionPtr revIDLastSave="0" documentId="13_ncr:1_{C569812E-08E4-3649-8C44-6F7BBA859294}" xr6:coauthVersionLast="47" xr6:coauthVersionMax="47" xr10:uidLastSave="{00000000-0000-0000-0000-000000000000}"/>
  <bookViews>
    <workbookView xWindow="-5260" yWindow="-21100" windowWidth="38400" windowHeight="21100" xr2:uid="{52AB1110-589E-5345-AD79-8CEE78FCF4D7}"/>
  </bookViews>
  <sheets>
    <sheet name="Discounted fields" sheetId="3" r:id="rId1"/>
    <sheet name="Selecting a target field" sheetId="4" r:id="rId2"/>
    <sheet name="Cooling calculations" sheetId="19" r:id="rId3"/>
    <sheet name="Cooling summary" sheetId="20" r:id="rId4"/>
    <sheet name="(Section 5) South Sean" sheetId="23" r:id="rId5"/>
    <sheet name="Study comarison demonstrations" sheetId="21" r:id="rId6"/>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4" i="19" l="1"/>
  <c r="S21" i="23"/>
  <c r="K37" i="21"/>
  <c r="Q4" i="23"/>
  <c r="Q5" i="23"/>
  <c r="Q6" i="23"/>
  <c r="Q7" i="23"/>
  <c r="Q8" i="23"/>
  <c r="Q9" i="23"/>
  <c r="Q10" i="23"/>
  <c r="Q11" i="23"/>
  <c r="Q12" i="23"/>
  <c r="Q13" i="23"/>
  <c r="Q14" i="23"/>
  <c r="Q15" i="23"/>
  <c r="Q16" i="23"/>
  <c r="Q17" i="23"/>
  <c r="Q18" i="23"/>
  <c r="Q19" i="23"/>
  <c r="Q20" i="23"/>
  <c r="Q21" i="23"/>
  <c r="Q22" i="23"/>
  <c r="Q23" i="23"/>
  <c r="Q24" i="23"/>
  <c r="Q25" i="23"/>
  <c r="Q26" i="23"/>
  <c r="Q27" i="23"/>
  <c r="Q28" i="23"/>
  <c r="Q29" i="23"/>
  <c r="Q30" i="23"/>
  <c r="J9" i="23"/>
  <c r="M9" i="23" s="1"/>
  <c r="Q3" i="23" s="1"/>
  <c r="Q31" i="23"/>
  <c r="Q32" i="23"/>
  <c r="Q33" i="23"/>
  <c r="Q34" i="23"/>
  <c r="Q35" i="23"/>
  <c r="Q36" i="23"/>
  <c r="P3" i="23"/>
  <c r="P4" i="23"/>
  <c r="P5" i="23"/>
  <c r="P6" i="23"/>
  <c r="P7" i="23"/>
  <c r="P8" i="23"/>
  <c r="P9" i="23"/>
  <c r="P10" i="23"/>
  <c r="P11" i="23"/>
  <c r="P12" i="23"/>
  <c r="P13" i="23"/>
  <c r="P14" i="23"/>
  <c r="P15" i="23"/>
  <c r="P16" i="23"/>
  <c r="P17" i="23"/>
  <c r="P18" i="23"/>
  <c r="P19" i="23"/>
  <c r="P20" i="23"/>
  <c r="P21" i="23"/>
  <c r="P22" i="23"/>
  <c r="P23" i="23"/>
  <c r="P24" i="23"/>
  <c r="P25" i="23"/>
  <c r="P26" i="23"/>
  <c r="P27" i="23"/>
  <c r="P28" i="23"/>
  <c r="P29" i="23"/>
  <c r="P30" i="23"/>
  <c r="P31" i="23"/>
  <c r="P32" i="23"/>
  <c r="P33" i="23"/>
  <c r="P34" i="23"/>
  <c r="P35" i="23"/>
  <c r="P36" i="23"/>
  <c r="P37" i="23"/>
  <c r="Q37" i="23"/>
  <c r="P38" i="23"/>
  <c r="Q38" i="23"/>
  <c r="P39" i="23"/>
  <c r="Q39" i="23"/>
  <c r="P40" i="23"/>
  <c r="Q40" i="23"/>
  <c r="P41" i="23"/>
  <c r="Q41" i="23"/>
  <c r="P42" i="23"/>
  <c r="Q42" i="23"/>
  <c r="P43" i="23"/>
  <c r="Q43" i="23"/>
  <c r="P44" i="23"/>
  <c r="Q44" i="23"/>
  <c r="P45" i="23"/>
  <c r="Q45" i="23"/>
  <c r="P46" i="23"/>
  <c r="Q46" i="23"/>
  <c r="P47" i="23"/>
  <c r="Q47" i="23"/>
  <c r="P48" i="23"/>
  <c r="Q48" i="23"/>
  <c r="P49" i="23"/>
  <c r="Q49" i="23"/>
  <c r="P50" i="23"/>
  <c r="Q50" i="23"/>
  <c r="P51" i="23"/>
  <c r="Q51" i="23"/>
  <c r="P52" i="23"/>
  <c r="Q52" i="23"/>
  <c r="P53" i="23"/>
  <c r="Q53" i="23"/>
  <c r="P54" i="23"/>
  <c r="Q54" i="23"/>
  <c r="P55" i="23"/>
  <c r="Q55" i="23"/>
  <c r="P56" i="23"/>
  <c r="Q56" i="23"/>
  <c r="P57" i="23"/>
  <c r="Q57" i="23"/>
  <c r="P58" i="23"/>
  <c r="Q58" i="23"/>
  <c r="P59" i="23"/>
  <c r="Q59" i="23"/>
  <c r="P60" i="23"/>
  <c r="Q60" i="23"/>
  <c r="P61" i="23"/>
  <c r="Q61" i="23"/>
  <c r="P62" i="23"/>
  <c r="Q62" i="23"/>
  <c r="P63" i="23"/>
  <c r="Q63" i="23"/>
  <c r="P64" i="23"/>
  <c r="Q64" i="23"/>
  <c r="P65" i="23"/>
  <c r="Q65" i="23"/>
  <c r="P66" i="23"/>
  <c r="Q66" i="23"/>
  <c r="P67" i="23"/>
  <c r="Q67" i="23"/>
  <c r="P68" i="23"/>
  <c r="Q68" i="23"/>
  <c r="P69" i="23"/>
  <c r="Q69" i="23"/>
  <c r="P70" i="23"/>
  <c r="Q70" i="23"/>
  <c r="P71" i="23"/>
  <c r="Q71" i="23"/>
  <c r="P72" i="23"/>
  <c r="Q72" i="23"/>
  <c r="P73" i="23"/>
  <c r="Q73" i="23"/>
  <c r="P74" i="23"/>
  <c r="Q74" i="23"/>
  <c r="P75" i="23"/>
  <c r="Q75" i="23"/>
  <c r="P76" i="23"/>
  <c r="Q76" i="23"/>
  <c r="P77" i="23"/>
  <c r="Q77" i="23"/>
  <c r="P78" i="23"/>
  <c r="Q78" i="23"/>
  <c r="P79" i="23"/>
  <c r="Q79" i="23"/>
  <c r="P80" i="23"/>
  <c r="Q80" i="23"/>
  <c r="P81" i="23"/>
  <c r="Q81" i="23"/>
  <c r="P82" i="23"/>
  <c r="Q82" i="23"/>
  <c r="P83" i="23"/>
  <c r="Q83" i="23"/>
  <c r="P84" i="23"/>
  <c r="Q84" i="23"/>
  <c r="P85" i="23"/>
  <c r="Q85" i="23"/>
  <c r="P86" i="23"/>
  <c r="Q86" i="23"/>
  <c r="P87" i="23"/>
  <c r="Q87" i="23"/>
  <c r="P88" i="23"/>
  <c r="Q88" i="23"/>
  <c r="P89" i="23"/>
  <c r="Q89" i="23"/>
  <c r="P90" i="23"/>
  <c r="Q90" i="23"/>
  <c r="P91" i="23"/>
  <c r="Q91" i="23"/>
  <c r="P92" i="23"/>
  <c r="Q92" i="23"/>
  <c r="P93" i="23"/>
  <c r="Q93" i="23"/>
  <c r="P94" i="23"/>
  <c r="Q94" i="23"/>
  <c r="L7" i="23"/>
  <c r="M3" i="23"/>
  <c r="AA130" i="23"/>
  <c r="AA104" i="23"/>
  <c r="U94" i="23"/>
  <c r="U93" i="23"/>
  <c r="U92" i="23"/>
  <c r="U91" i="23"/>
  <c r="U90" i="23"/>
  <c r="U89" i="23"/>
  <c r="U88" i="23"/>
  <c r="U87" i="23"/>
  <c r="U86" i="23"/>
  <c r="U85" i="23"/>
  <c r="U84" i="23"/>
  <c r="U83" i="23"/>
  <c r="U82" i="23"/>
  <c r="U81" i="23"/>
  <c r="U80" i="23"/>
  <c r="U79" i="23"/>
  <c r="U78" i="23"/>
  <c r="U77" i="23"/>
  <c r="U76" i="23"/>
  <c r="U75" i="23"/>
  <c r="U74" i="23"/>
  <c r="U73" i="23"/>
  <c r="U72" i="23"/>
  <c r="U71" i="23"/>
  <c r="U70" i="23"/>
  <c r="U69" i="23"/>
  <c r="U68" i="23"/>
  <c r="U67" i="23"/>
  <c r="U66" i="23"/>
  <c r="U65" i="23"/>
  <c r="U64" i="23"/>
  <c r="U63" i="23"/>
  <c r="U62" i="23"/>
  <c r="U61" i="23"/>
  <c r="U60" i="23"/>
  <c r="U59" i="23"/>
  <c r="U58" i="23"/>
  <c r="U57" i="23"/>
  <c r="U56" i="23"/>
  <c r="U55" i="23"/>
  <c r="U54" i="23"/>
  <c r="U53" i="23"/>
  <c r="U52" i="23"/>
  <c r="U51" i="23"/>
  <c r="U50" i="23"/>
  <c r="U49" i="23"/>
  <c r="U48" i="23"/>
  <c r="U47" i="23"/>
  <c r="U46" i="23"/>
  <c r="U45" i="23"/>
  <c r="U44" i="23"/>
  <c r="U43" i="23"/>
  <c r="U42" i="23"/>
  <c r="U41" i="23"/>
  <c r="U40" i="23"/>
  <c r="U39" i="23"/>
  <c r="U38" i="23"/>
  <c r="U37" i="23"/>
  <c r="U36" i="23"/>
  <c r="U35" i="23"/>
  <c r="U34" i="23"/>
  <c r="U33" i="23"/>
  <c r="U32" i="23"/>
  <c r="U31" i="23"/>
  <c r="U30" i="23"/>
  <c r="U29" i="23"/>
  <c r="U28" i="23"/>
  <c r="U27" i="23"/>
  <c r="U26" i="23"/>
  <c r="U25" i="23"/>
  <c r="U24" i="23"/>
  <c r="U23" i="23"/>
  <c r="U22" i="23"/>
  <c r="U21" i="23"/>
  <c r="U20" i="23"/>
  <c r="U19" i="23"/>
  <c r="U18" i="23"/>
  <c r="AJ17" i="23"/>
  <c r="U17" i="23"/>
  <c r="U16" i="23"/>
  <c r="U15" i="23"/>
  <c r="U14" i="23"/>
  <c r="U13" i="23"/>
  <c r="U12" i="23"/>
  <c r="U11" i="23"/>
  <c r="U10" i="23"/>
  <c r="U9" i="23"/>
  <c r="U8" i="23"/>
  <c r="AA7" i="23"/>
  <c r="U7" i="23"/>
  <c r="U6" i="23"/>
  <c r="AA5" i="23"/>
  <c r="U5" i="23"/>
  <c r="M5" i="23"/>
  <c r="AJ158" i="23" s="1"/>
  <c r="C5" i="23"/>
  <c r="L5" i="23" s="1"/>
  <c r="AI4" i="23" s="1"/>
  <c r="U4" i="23"/>
  <c r="M4" i="23"/>
  <c r="AA153" i="23" s="1"/>
  <c r="C4" i="23"/>
  <c r="L4" i="23" s="1"/>
  <c r="U3" i="23"/>
  <c r="C3" i="23"/>
  <c r="L3" i="23" s="1"/>
  <c r="Z106" i="23" l="1"/>
  <c r="Z113" i="23"/>
  <c r="Z62" i="23"/>
  <c r="Z51" i="23"/>
  <c r="Z12" i="23"/>
  <c r="Z8" i="23"/>
  <c r="Z88" i="23"/>
  <c r="Z59" i="23"/>
  <c r="Z114" i="23"/>
  <c r="Z57" i="23"/>
  <c r="Z175" i="23"/>
  <c r="Z56" i="23"/>
  <c r="Z16" i="23"/>
  <c r="AB16" i="23" s="1"/>
  <c r="AC16" i="23" s="1"/>
  <c r="AD16" i="23" s="1"/>
  <c r="Z6" i="23"/>
  <c r="AB6" i="23" s="1"/>
  <c r="AC6" i="23" s="1"/>
  <c r="AD6" i="23" s="1"/>
  <c r="Z10" i="23"/>
  <c r="Z118" i="23"/>
  <c r="Z156" i="23"/>
  <c r="Z109" i="23"/>
  <c r="Z142" i="23"/>
  <c r="Z108" i="23"/>
  <c r="Z75" i="23"/>
  <c r="Z64" i="23"/>
  <c r="Z48" i="23"/>
  <c r="Z14" i="23"/>
  <c r="Z5" i="23"/>
  <c r="Z63" i="23"/>
  <c r="Z47" i="23"/>
  <c r="Z136" i="23"/>
  <c r="AB136" i="23" s="1"/>
  <c r="AC136" i="23" s="1"/>
  <c r="AD136" i="23" s="1"/>
  <c r="Z52" i="23"/>
  <c r="Z3" i="23"/>
  <c r="AB3" i="23" s="1"/>
  <c r="AC3" i="23" s="1"/>
  <c r="AD3" i="23" s="1"/>
  <c r="Z67" i="23"/>
  <c r="AI41" i="23"/>
  <c r="AI25" i="23"/>
  <c r="AI43" i="23"/>
  <c r="AI3" i="23"/>
  <c r="AB5" i="23"/>
  <c r="AC5" i="23" s="1"/>
  <c r="AD5" i="23" s="1"/>
  <c r="AJ43" i="23"/>
  <c r="AI33" i="23"/>
  <c r="AJ13" i="23"/>
  <c r="AJ11" i="23"/>
  <c r="AI27" i="23"/>
  <c r="AK27" i="23" s="1"/>
  <c r="AL27" i="23" s="1"/>
  <c r="AM27" i="23" s="1"/>
  <c r="AJ27" i="23"/>
  <c r="AA109" i="23"/>
  <c r="AI8" i="23"/>
  <c r="AI35" i="23"/>
  <c r="AJ35" i="23"/>
  <c r="AI7" i="23"/>
  <c r="AI19" i="23"/>
  <c r="AA6" i="23"/>
  <c r="AJ141" i="23"/>
  <c r="AI253" i="23"/>
  <c r="AI250" i="23"/>
  <c r="AK250" i="23" s="1"/>
  <c r="AL250" i="23" s="1"/>
  <c r="AM250" i="23" s="1"/>
  <c r="AO250" i="23" s="1"/>
  <c r="AI242" i="23"/>
  <c r="AI234" i="23"/>
  <c r="AI226" i="23"/>
  <c r="AI218" i="23"/>
  <c r="AI210" i="23"/>
  <c r="AI202" i="23"/>
  <c r="AI194" i="23"/>
  <c r="AI188" i="23"/>
  <c r="AK188" i="23" s="1"/>
  <c r="AL188" i="23" s="1"/>
  <c r="AM188" i="23" s="1"/>
  <c r="AI184" i="23"/>
  <c r="AI180" i="23"/>
  <c r="AI176" i="23"/>
  <c r="AI172" i="23"/>
  <c r="AI168" i="23"/>
  <c r="AI164" i="23"/>
  <c r="AI256" i="23"/>
  <c r="AI245" i="23"/>
  <c r="AI237" i="23"/>
  <c r="AI229" i="23"/>
  <c r="AI221" i="23"/>
  <c r="AI213" i="23"/>
  <c r="AI205" i="23"/>
  <c r="AI197" i="23"/>
  <c r="AI251" i="23"/>
  <c r="AI248" i="23"/>
  <c r="AI240" i="23"/>
  <c r="AI232" i="23"/>
  <c r="AI224" i="23"/>
  <c r="AI216" i="23"/>
  <c r="AI208" i="23"/>
  <c r="AI200" i="23"/>
  <c r="AI192" i="23"/>
  <c r="AI187" i="23"/>
  <c r="AI183" i="23"/>
  <c r="AI179" i="23"/>
  <c r="AI175" i="23"/>
  <c r="AI171" i="23"/>
  <c r="AI167" i="23"/>
  <c r="AI163" i="23"/>
  <c r="AI255" i="23"/>
  <c r="AI244" i="23"/>
  <c r="AK244" i="23" s="1"/>
  <c r="AL244" i="23" s="1"/>
  <c r="AM244" i="23" s="1"/>
  <c r="AI236" i="23"/>
  <c r="AI228" i="23"/>
  <c r="AI220" i="23"/>
  <c r="AI212" i="23"/>
  <c r="AI204" i="23"/>
  <c r="AI196" i="23"/>
  <c r="AI189" i="23"/>
  <c r="AI185" i="23"/>
  <c r="AI181" i="23"/>
  <c r="AI177" i="23"/>
  <c r="AI173" i="23"/>
  <c r="AI169" i="23"/>
  <c r="AI254" i="23"/>
  <c r="AI235" i="23"/>
  <c r="AI219" i="23"/>
  <c r="AI203" i="23"/>
  <c r="AI157" i="23"/>
  <c r="AI257" i="23"/>
  <c r="AI238" i="23"/>
  <c r="AI222" i="23"/>
  <c r="AI206" i="23"/>
  <c r="AI190" i="23"/>
  <c r="AI182" i="23"/>
  <c r="AI174" i="23"/>
  <c r="AI166" i="23"/>
  <c r="AI156" i="23"/>
  <c r="AI152" i="23"/>
  <c r="AI241" i="23"/>
  <c r="AI225" i="23"/>
  <c r="AI209" i="23"/>
  <c r="AI193" i="23"/>
  <c r="AI246" i="23"/>
  <c r="AI230" i="23"/>
  <c r="AI214" i="23"/>
  <c r="AI198" i="23"/>
  <c r="AI186" i="23"/>
  <c r="AI178" i="23"/>
  <c r="AI231" i="23"/>
  <c r="AI199" i="23"/>
  <c r="AI146" i="23"/>
  <c r="AK146" i="23" s="1"/>
  <c r="AL146" i="23" s="1"/>
  <c r="AM146" i="23" s="1"/>
  <c r="AI135" i="23"/>
  <c r="AI125" i="23"/>
  <c r="AI121" i="23"/>
  <c r="AI117" i="23"/>
  <c r="AI113" i="23"/>
  <c r="AI109" i="23"/>
  <c r="AI105" i="23"/>
  <c r="AI243" i="23"/>
  <c r="AI211" i="23"/>
  <c r="AI170" i="23"/>
  <c r="AI145" i="23"/>
  <c r="AI144" i="23"/>
  <c r="AI134" i="23"/>
  <c r="AI249" i="23"/>
  <c r="AI217" i="23"/>
  <c r="AI165" i="23"/>
  <c r="AK165" i="23" s="1"/>
  <c r="AL165" i="23" s="1"/>
  <c r="AM165" i="23" s="1"/>
  <c r="AI160" i="23"/>
  <c r="AI143" i="23"/>
  <c r="AI133" i="23"/>
  <c r="AI132" i="23"/>
  <c r="AI124" i="23"/>
  <c r="AI120" i="23"/>
  <c r="AI116" i="23"/>
  <c r="AI112" i="23"/>
  <c r="AK112" i="23" s="1"/>
  <c r="AL112" i="23" s="1"/>
  <c r="AM112" i="23" s="1"/>
  <c r="AI108" i="23"/>
  <c r="AI104" i="23"/>
  <c r="AI227" i="23"/>
  <c r="AI195" i="23"/>
  <c r="AI158" i="23"/>
  <c r="AK158" i="23" s="1"/>
  <c r="AL158" i="23" s="1"/>
  <c r="AM158" i="23" s="1"/>
  <c r="AI155" i="23"/>
  <c r="AI191" i="23"/>
  <c r="AI142" i="23"/>
  <c r="AK142" i="23" s="1"/>
  <c r="AL142" i="23" s="1"/>
  <c r="AM142" i="23" s="1"/>
  <c r="AI129" i="23"/>
  <c r="AI103" i="23"/>
  <c r="AI99" i="23"/>
  <c r="AI95" i="23"/>
  <c r="AI215" i="23"/>
  <c r="AI154" i="23"/>
  <c r="AI139" i="23"/>
  <c r="AK139" i="23" s="1"/>
  <c r="AL139" i="23" s="1"/>
  <c r="AM139" i="23" s="1"/>
  <c r="AI126" i="23"/>
  <c r="AK126" i="23" s="1"/>
  <c r="AL126" i="23" s="1"/>
  <c r="AM126" i="23" s="1"/>
  <c r="AI122" i="23"/>
  <c r="AI252" i="23"/>
  <c r="AI201" i="23"/>
  <c r="AI162" i="23"/>
  <c r="AI151" i="23"/>
  <c r="AI149" i="23"/>
  <c r="AI136" i="23"/>
  <c r="AI130" i="23"/>
  <c r="AI123" i="23"/>
  <c r="AI118" i="23"/>
  <c r="AI102" i="23"/>
  <c r="AI98" i="23"/>
  <c r="AI94" i="23"/>
  <c r="AI93" i="23"/>
  <c r="AI92" i="23"/>
  <c r="AI91" i="23"/>
  <c r="AI90" i="23"/>
  <c r="AI89" i="23"/>
  <c r="AI88" i="23"/>
  <c r="AI87" i="23"/>
  <c r="AI86" i="23"/>
  <c r="AI85" i="23"/>
  <c r="AI84" i="23"/>
  <c r="AI83" i="23"/>
  <c r="AI82" i="23"/>
  <c r="AI81" i="23"/>
  <c r="AI80" i="23"/>
  <c r="AI79" i="23"/>
  <c r="AI78" i="23"/>
  <c r="AI77" i="23"/>
  <c r="AI76" i="23"/>
  <c r="AI75" i="23"/>
  <c r="AI74" i="23"/>
  <c r="AI73" i="23"/>
  <c r="AI72" i="23"/>
  <c r="AI71" i="23"/>
  <c r="AI70" i="23"/>
  <c r="AI69" i="23"/>
  <c r="AI68" i="23"/>
  <c r="AI67" i="23"/>
  <c r="AI66" i="23"/>
  <c r="AI65" i="23"/>
  <c r="AI64" i="23"/>
  <c r="AI63" i="23"/>
  <c r="AI62" i="23"/>
  <c r="AI61" i="23"/>
  <c r="AI60" i="23"/>
  <c r="AI59" i="23"/>
  <c r="AI58" i="23"/>
  <c r="AI57" i="23"/>
  <c r="AI56" i="23"/>
  <c r="AI55" i="23"/>
  <c r="AI54" i="23"/>
  <c r="AI53" i="23"/>
  <c r="AI52" i="23"/>
  <c r="AI51" i="23"/>
  <c r="AI50" i="23"/>
  <c r="AI49" i="23"/>
  <c r="AI48" i="23"/>
  <c r="AI47" i="23"/>
  <c r="AI233" i="23"/>
  <c r="AI150" i="23"/>
  <c r="AI148" i="23"/>
  <c r="AK148" i="23" s="1"/>
  <c r="AL148" i="23" s="1"/>
  <c r="AM148" i="23" s="1"/>
  <c r="AI141" i="23"/>
  <c r="AK141" i="23" s="1"/>
  <c r="AL141" i="23" s="1"/>
  <c r="AM141" i="23" s="1"/>
  <c r="AI107" i="23"/>
  <c r="AI100" i="23"/>
  <c r="AI96" i="23"/>
  <c r="AI247" i="23"/>
  <c r="AI161" i="23"/>
  <c r="AI137" i="23"/>
  <c r="AI128" i="23"/>
  <c r="AI239" i="23"/>
  <c r="AI159" i="23"/>
  <c r="AI127" i="23"/>
  <c r="AI119" i="23"/>
  <c r="AI114" i="23"/>
  <c r="AI147" i="23"/>
  <c r="AI140" i="23"/>
  <c r="AI153" i="23"/>
  <c r="AI40" i="23"/>
  <c r="AI32" i="23"/>
  <c r="AI24" i="23"/>
  <c r="AI111" i="23"/>
  <c r="AI106" i="23"/>
  <c r="AI39" i="23"/>
  <c r="AI31" i="23"/>
  <c r="AI23" i="23"/>
  <c r="AI5" i="23"/>
  <c r="AI138" i="23"/>
  <c r="AI46" i="23"/>
  <c r="AI38" i="23"/>
  <c r="AI30" i="23"/>
  <c r="AI22" i="23"/>
  <c r="AI16" i="23"/>
  <c r="AI14" i="23"/>
  <c r="AI12" i="23"/>
  <c r="AI10" i="23"/>
  <c r="AI6" i="23"/>
  <c r="AI223" i="23"/>
  <c r="AK223" i="23" s="1"/>
  <c r="AL223" i="23" s="1"/>
  <c r="AM223" i="23" s="1"/>
  <c r="AI131" i="23"/>
  <c r="AI115" i="23"/>
  <c r="AI110" i="23"/>
  <c r="AI101" i="23"/>
  <c r="AK101" i="23" s="1"/>
  <c r="AL101" i="23" s="1"/>
  <c r="AM101" i="23" s="1"/>
  <c r="AI45" i="23"/>
  <c r="AK45" i="23" s="1"/>
  <c r="AL45" i="23" s="1"/>
  <c r="AM45" i="23" s="1"/>
  <c r="AI37" i="23"/>
  <c r="AI29" i="23"/>
  <c r="AI21" i="23"/>
  <c r="AI207" i="23"/>
  <c r="AI42" i="23"/>
  <c r="AI34" i="23"/>
  <c r="AI26" i="23"/>
  <c r="AI17" i="23"/>
  <c r="AK17" i="23" s="1"/>
  <c r="AL17" i="23" s="1"/>
  <c r="AM17" i="23" s="1"/>
  <c r="AI15" i="23"/>
  <c r="AI13" i="23"/>
  <c r="AK13" i="23" s="1"/>
  <c r="AL13" i="23" s="1"/>
  <c r="AM13" i="23" s="1"/>
  <c r="AI11" i="23"/>
  <c r="AI9" i="23"/>
  <c r="AJ256" i="23"/>
  <c r="AJ245" i="23"/>
  <c r="AJ237" i="23"/>
  <c r="AJ229" i="23"/>
  <c r="AJ221" i="23"/>
  <c r="AJ213" i="23"/>
  <c r="AJ205" i="23"/>
  <c r="AJ197" i="23"/>
  <c r="AJ251" i="23"/>
  <c r="AJ248" i="23"/>
  <c r="AJ240" i="23"/>
  <c r="AJ232" i="23"/>
  <c r="AJ224" i="23"/>
  <c r="AJ216" i="23"/>
  <c r="AJ208" i="23"/>
  <c r="AJ200" i="23"/>
  <c r="AJ192" i="23"/>
  <c r="AJ187" i="23"/>
  <c r="AJ183" i="23"/>
  <c r="AJ179" i="23"/>
  <c r="AJ175" i="23"/>
  <c r="AJ171" i="23"/>
  <c r="AJ167" i="23"/>
  <c r="AJ163" i="23"/>
  <c r="AJ159" i="23"/>
  <c r="AJ254" i="23"/>
  <c r="AJ243" i="23"/>
  <c r="AJ235" i="23"/>
  <c r="AJ227" i="23"/>
  <c r="AJ219" i="23"/>
  <c r="AJ211" i="23"/>
  <c r="AJ203" i="23"/>
  <c r="AJ195" i="23"/>
  <c r="AJ247" i="23"/>
  <c r="AJ239" i="23"/>
  <c r="AJ231" i="23"/>
  <c r="AJ223" i="23"/>
  <c r="AJ215" i="23"/>
  <c r="AJ207" i="23"/>
  <c r="AJ199" i="23"/>
  <c r="AJ191" i="23"/>
  <c r="AJ257" i="23"/>
  <c r="AJ238" i="23"/>
  <c r="AJ222" i="23"/>
  <c r="AJ206" i="23"/>
  <c r="AJ190" i="23"/>
  <c r="AJ182" i="23"/>
  <c r="AJ174" i="23"/>
  <c r="AJ166" i="23"/>
  <c r="AJ156" i="23"/>
  <c r="AJ152" i="23"/>
  <c r="AJ148" i="23"/>
  <c r="AJ144" i="23"/>
  <c r="AJ140" i="23"/>
  <c r="AJ136" i="23"/>
  <c r="AJ132" i="23"/>
  <c r="AJ128" i="23"/>
  <c r="AJ241" i="23"/>
  <c r="AJ225" i="23"/>
  <c r="AJ209" i="23"/>
  <c r="AJ193" i="23"/>
  <c r="AJ244" i="23"/>
  <c r="AJ228" i="23"/>
  <c r="AJ212" i="23"/>
  <c r="AJ196" i="23"/>
  <c r="AJ185" i="23"/>
  <c r="AJ177" i="23"/>
  <c r="AJ169" i="23"/>
  <c r="AJ155" i="23"/>
  <c r="AJ151" i="23"/>
  <c r="AJ252" i="23"/>
  <c r="AJ249" i="23"/>
  <c r="AJ233" i="23"/>
  <c r="AJ217" i="23"/>
  <c r="AJ201" i="23"/>
  <c r="AJ250" i="23"/>
  <c r="AJ218" i="23"/>
  <c r="AJ188" i="23"/>
  <c r="AJ173" i="23"/>
  <c r="AJ170" i="23"/>
  <c r="AJ168" i="23"/>
  <c r="AJ145" i="23"/>
  <c r="AJ134" i="23"/>
  <c r="AJ230" i="23"/>
  <c r="AJ198" i="23"/>
  <c r="AJ178" i="23"/>
  <c r="AJ165" i="23"/>
  <c r="AJ160" i="23"/>
  <c r="AJ143" i="23"/>
  <c r="AJ133" i="23"/>
  <c r="AJ124" i="23"/>
  <c r="AJ120" i="23"/>
  <c r="AJ116" i="23"/>
  <c r="AJ112" i="23"/>
  <c r="AJ108" i="23"/>
  <c r="AJ104" i="23"/>
  <c r="AJ255" i="23"/>
  <c r="AJ236" i="23"/>
  <c r="AJ204" i="23"/>
  <c r="AJ181" i="23"/>
  <c r="AJ172" i="23"/>
  <c r="AJ157" i="23"/>
  <c r="AJ153" i="23"/>
  <c r="AJ142" i="23"/>
  <c r="AJ131" i="23"/>
  <c r="AJ246" i="23"/>
  <c r="AJ214" i="23"/>
  <c r="AJ186" i="23"/>
  <c r="AJ164" i="23"/>
  <c r="AJ162" i="23"/>
  <c r="AJ150" i="23"/>
  <c r="AJ149" i="23"/>
  <c r="AJ242" i="23"/>
  <c r="AJ184" i="23"/>
  <c r="AJ154" i="23"/>
  <c r="AJ139" i="23"/>
  <c r="AJ126" i="23"/>
  <c r="AJ122" i="23"/>
  <c r="AJ117" i="23"/>
  <c r="AJ253" i="23"/>
  <c r="AJ202" i="23"/>
  <c r="AJ130" i="23"/>
  <c r="AJ123" i="23"/>
  <c r="AJ118" i="23"/>
  <c r="AJ113" i="23"/>
  <c r="AJ102" i="23"/>
  <c r="AJ98" i="23"/>
  <c r="AJ94" i="23"/>
  <c r="AJ93" i="23"/>
  <c r="AJ92" i="23"/>
  <c r="AJ91" i="23"/>
  <c r="AJ90" i="23"/>
  <c r="AJ89" i="23"/>
  <c r="AJ88" i="23"/>
  <c r="AJ87" i="23"/>
  <c r="AJ86" i="23"/>
  <c r="AJ85" i="23"/>
  <c r="AJ84" i="23"/>
  <c r="AJ83" i="23"/>
  <c r="AJ82" i="23"/>
  <c r="AJ81" i="23"/>
  <c r="AJ80" i="23"/>
  <c r="AJ79" i="23"/>
  <c r="AJ78" i="23"/>
  <c r="AJ77" i="23"/>
  <c r="AJ76" i="23"/>
  <c r="AJ75" i="23"/>
  <c r="AJ74" i="23"/>
  <c r="AJ73" i="23"/>
  <c r="AJ72" i="23"/>
  <c r="AJ71" i="23"/>
  <c r="AJ70" i="23"/>
  <c r="AJ69" i="23"/>
  <c r="AJ68" i="23"/>
  <c r="AJ67" i="23"/>
  <c r="AJ66" i="23"/>
  <c r="AJ65" i="23"/>
  <c r="AJ64" i="23"/>
  <c r="AJ63" i="23"/>
  <c r="AJ62" i="23"/>
  <c r="AJ61" i="23"/>
  <c r="AJ60" i="23"/>
  <c r="AJ59" i="23"/>
  <c r="AJ58" i="23"/>
  <c r="AJ57" i="23"/>
  <c r="AJ56" i="23"/>
  <c r="AJ55" i="23"/>
  <c r="AJ54" i="23"/>
  <c r="AJ53" i="23"/>
  <c r="AJ52" i="23"/>
  <c r="AJ51" i="23"/>
  <c r="AJ50" i="23"/>
  <c r="AJ49" i="23"/>
  <c r="AJ48" i="23"/>
  <c r="AJ47" i="23"/>
  <c r="AJ189" i="23"/>
  <c r="AJ147" i="23"/>
  <c r="AJ127" i="23"/>
  <c r="AJ119" i="23"/>
  <c r="AJ114" i="23"/>
  <c r="AJ109" i="23"/>
  <c r="AJ220" i="23"/>
  <c r="AJ138" i="23"/>
  <c r="AJ125" i="23"/>
  <c r="AJ180" i="23"/>
  <c r="AJ107" i="23"/>
  <c r="AJ96" i="23"/>
  <c r="AJ194" i="23"/>
  <c r="AJ146" i="23"/>
  <c r="AJ99" i="23"/>
  <c r="AJ176" i="23"/>
  <c r="AJ97" i="23"/>
  <c r="AJ226" i="23"/>
  <c r="AJ115" i="23"/>
  <c r="AJ110" i="23"/>
  <c r="AJ105" i="23"/>
  <c r="AJ101" i="23"/>
  <c r="AJ111" i="23"/>
  <c r="AJ106" i="23"/>
  <c r="AJ39" i="23"/>
  <c r="AJ31" i="23"/>
  <c r="AJ23" i="23"/>
  <c r="AJ5" i="23"/>
  <c r="AJ234" i="23"/>
  <c r="AJ46" i="23"/>
  <c r="AJ38" i="23"/>
  <c r="AJ30" i="23"/>
  <c r="AJ22" i="23"/>
  <c r="AJ16" i="23"/>
  <c r="AJ14" i="23"/>
  <c r="AJ12" i="23"/>
  <c r="AJ10" i="23"/>
  <c r="AJ6" i="23"/>
  <c r="AJ44" i="23"/>
  <c r="AJ36" i="23"/>
  <c r="AJ28" i="23"/>
  <c r="AJ20" i="23"/>
  <c r="AJ19" i="23"/>
  <c r="AK19" i="23" s="1"/>
  <c r="AL19" i="23" s="1"/>
  <c r="AM19" i="23" s="1"/>
  <c r="AJ121" i="23"/>
  <c r="AJ95" i="23"/>
  <c r="AJ45" i="23"/>
  <c r="AJ37" i="23"/>
  <c r="AJ29" i="23"/>
  <c r="AJ21" i="23"/>
  <c r="AJ161" i="23"/>
  <c r="AJ137" i="23"/>
  <c r="AJ18" i="23"/>
  <c r="AJ8" i="23"/>
  <c r="AK8" i="23" s="1"/>
  <c r="AL8" i="23" s="1"/>
  <c r="AM8" i="23" s="1"/>
  <c r="AJ7" i="23"/>
  <c r="AJ4" i="23"/>
  <c r="AK4" i="23" s="1"/>
  <c r="AL4" i="23" s="1"/>
  <c r="AM4" i="23" s="1"/>
  <c r="AJ210" i="23"/>
  <c r="AJ135" i="23"/>
  <c r="AJ129" i="23"/>
  <c r="AJ103" i="23"/>
  <c r="AJ41" i="23"/>
  <c r="AK41" i="23" s="1"/>
  <c r="AL41" i="23" s="1"/>
  <c r="AM41" i="23" s="1"/>
  <c r="AJ33" i="23"/>
  <c r="AJ25" i="23"/>
  <c r="AJ3" i="23"/>
  <c r="AK3" i="23" s="1"/>
  <c r="AL3" i="23" s="1"/>
  <c r="AM3" i="23" s="1"/>
  <c r="AJ9" i="23"/>
  <c r="AJ24" i="23"/>
  <c r="AJ32" i="23"/>
  <c r="AJ40" i="23"/>
  <c r="AI97" i="23"/>
  <c r="AK97" i="23" s="1"/>
  <c r="AL97" i="23" s="1"/>
  <c r="AM97" i="23" s="1"/>
  <c r="AK25" i="23"/>
  <c r="AL25" i="23" s="1"/>
  <c r="AM25" i="23" s="1"/>
  <c r="AJ15" i="23"/>
  <c r="AI18" i="23"/>
  <c r="AI20" i="23"/>
  <c r="AJ26" i="23"/>
  <c r="AI28" i="23"/>
  <c r="AJ34" i="23"/>
  <c r="AI36" i="23"/>
  <c r="AJ42" i="23"/>
  <c r="AI44" i="23"/>
  <c r="AK44" i="23" s="1"/>
  <c r="AL44" i="23" s="1"/>
  <c r="AM44" i="23" s="1"/>
  <c r="AJ100" i="23"/>
  <c r="AA103" i="23"/>
  <c r="AA147" i="23"/>
  <c r="AA8" i="23"/>
  <c r="Z53" i="23"/>
  <c r="Z58" i="23"/>
  <c r="AA72" i="23"/>
  <c r="AA80" i="23"/>
  <c r="Z86" i="23"/>
  <c r="Z94" i="23"/>
  <c r="AA124" i="23"/>
  <c r="AA3" i="23"/>
  <c r="AA67" i="23"/>
  <c r="AB67" i="23" s="1"/>
  <c r="AC67" i="23" s="1"/>
  <c r="AD67" i="23" s="1"/>
  <c r="AA75" i="23"/>
  <c r="AB75" i="23" s="1"/>
  <c r="AC75" i="23" s="1"/>
  <c r="AD75" i="23" s="1"/>
  <c r="AA95" i="23"/>
  <c r="Z50" i="23"/>
  <c r="Z61" i="23"/>
  <c r="AA66" i="23"/>
  <c r="Z70" i="23"/>
  <c r="AA74" i="23"/>
  <c r="Z78" i="23"/>
  <c r="Z102" i="23"/>
  <c r="AA164" i="23"/>
  <c r="R3" i="23"/>
  <c r="Z190" i="23"/>
  <c r="Z186" i="23"/>
  <c r="Z182" i="23"/>
  <c r="Z178" i="23"/>
  <c r="Z174" i="23"/>
  <c r="Z170" i="23"/>
  <c r="Z166" i="23"/>
  <c r="Z162" i="23"/>
  <c r="Z158" i="23"/>
  <c r="Z189" i="23"/>
  <c r="Z181" i="23"/>
  <c r="AB181" i="23" s="1"/>
  <c r="AC181" i="23" s="1"/>
  <c r="AD181" i="23" s="1"/>
  <c r="Z173" i="23"/>
  <c r="Z164" i="23"/>
  <c r="Z163" i="23"/>
  <c r="Z155" i="23"/>
  <c r="Z151" i="23"/>
  <c r="Z147" i="23"/>
  <c r="Z143" i="23"/>
  <c r="Z139" i="23"/>
  <c r="AB139" i="23" s="1"/>
  <c r="AC139" i="23" s="1"/>
  <c r="AD139" i="23" s="1"/>
  <c r="Z135" i="23"/>
  <c r="Z131" i="23"/>
  <c r="Z127" i="23"/>
  <c r="Z165" i="23"/>
  <c r="Z161" i="23"/>
  <c r="Z184" i="23"/>
  <c r="AB184" i="23" s="1"/>
  <c r="AC184" i="23" s="1"/>
  <c r="AD184" i="23" s="1"/>
  <c r="Z176" i="23"/>
  <c r="Z168" i="23"/>
  <c r="AB168" i="23" s="1"/>
  <c r="AC168" i="23" s="1"/>
  <c r="AD168" i="23" s="1"/>
  <c r="Z160" i="23"/>
  <c r="Z154" i="23"/>
  <c r="Z150" i="23"/>
  <c r="Z179" i="23"/>
  <c r="Z141" i="23"/>
  <c r="Z130" i="23"/>
  <c r="AB130" i="23" s="1"/>
  <c r="AC130" i="23" s="1"/>
  <c r="AD130" i="23" s="1"/>
  <c r="Z104" i="23"/>
  <c r="AB104" i="23" s="1"/>
  <c r="AC104" i="23" s="1"/>
  <c r="AD104" i="23" s="1"/>
  <c r="AF104" i="23" s="1"/>
  <c r="Z185" i="23"/>
  <c r="AB185" i="23" s="1"/>
  <c r="AC185" i="23" s="1"/>
  <c r="AD185" i="23" s="1"/>
  <c r="Z159" i="23"/>
  <c r="Z140" i="23"/>
  <c r="Z129" i="23"/>
  <c r="Z123" i="23"/>
  <c r="Z119" i="23"/>
  <c r="Z115" i="23"/>
  <c r="Z111" i="23"/>
  <c r="Z107" i="23"/>
  <c r="Z188" i="23"/>
  <c r="Z149" i="23"/>
  <c r="Z138" i="23"/>
  <c r="Z128" i="23"/>
  <c r="Z177" i="23"/>
  <c r="Z172" i="23"/>
  <c r="Z169" i="23"/>
  <c r="Z167" i="23"/>
  <c r="Z153" i="23"/>
  <c r="AB153" i="23" s="1"/>
  <c r="AC153" i="23" s="1"/>
  <c r="AD153" i="23" s="1"/>
  <c r="Z145" i="23"/>
  <c r="Z148" i="23"/>
  <c r="Z124" i="23"/>
  <c r="Z157" i="23"/>
  <c r="Z152" i="23"/>
  <c r="Z146" i="23"/>
  <c r="Z125" i="23"/>
  <c r="Z120" i="23"/>
  <c r="Z101" i="23"/>
  <c r="Z97" i="23"/>
  <c r="Z144" i="23"/>
  <c r="Z126" i="23"/>
  <c r="Z121" i="23"/>
  <c r="Z116" i="23"/>
  <c r="Z180" i="23"/>
  <c r="Z137" i="23"/>
  <c r="Z110" i="23"/>
  <c r="Z105" i="23"/>
  <c r="AB105" i="23" s="1"/>
  <c r="AC105" i="23" s="1"/>
  <c r="AD105" i="23" s="1"/>
  <c r="Z103" i="23"/>
  <c r="Z95" i="23"/>
  <c r="Z91" i="23"/>
  <c r="Z83" i="23"/>
  <c r="Z74" i="23"/>
  <c r="Z66" i="23"/>
  <c r="AB66" i="23" s="1"/>
  <c r="AC66" i="23" s="1"/>
  <c r="AD66" i="23" s="1"/>
  <c r="Z134" i="23"/>
  <c r="Z98" i="23"/>
  <c r="Z90" i="23"/>
  <c r="Z82" i="23"/>
  <c r="Z79" i="23"/>
  <c r="Z71" i="23"/>
  <c r="AB71" i="23" s="1"/>
  <c r="AC71" i="23" s="1"/>
  <c r="AD71" i="23" s="1"/>
  <c r="Z46" i="23"/>
  <c r="AB46" i="23" s="1"/>
  <c r="AC46" i="23" s="1"/>
  <c r="AD46" i="23" s="1"/>
  <c r="Z45" i="23"/>
  <c r="Z44" i="23"/>
  <c r="Z43" i="23"/>
  <c r="Z42" i="23"/>
  <c r="Z41" i="23"/>
  <c r="Z40" i="23"/>
  <c r="Z39" i="23"/>
  <c r="AB39" i="23" s="1"/>
  <c r="AC39" i="23" s="1"/>
  <c r="AD39" i="23" s="1"/>
  <c r="Z38" i="23"/>
  <c r="AB38" i="23" s="1"/>
  <c r="AC38" i="23" s="1"/>
  <c r="AD38" i="23" s="1"/>
  <c r="Z37" i="23"/>
  <c r="Z36" i="23"/>
  <c r="Z35" i="23"/>
  <c r="Z34" i="23"/>
  <c r="Z33" i="23"/>
  <c r="Z32" i="23"/>
  <c r="Z31" i="23"/>
  <c r="AB31" i="23" s="1"/>
  <c r="AC31" i="23" s="1"/>
  <c r="AD31" i="23" s="1"/>
  <c r="Z30" i="23"/>
  <c r="AB30" i="23" s="1"/>
  <c r="AC30" i="23" s="1"/>
  <c r="AD30" i="23" s="1"/>
  <c r="Z29" i="23"/>
  <c r="Z28" i="23"/>
  <c r="Z27" i="23"/>
  <c r="Z26" i="23"/>
  <c r="Z25" i="23"/>
  <c r="Z24" i="23"/>
  <c r="Z23" i="23"/>
  <c r="AB23" i="23" s="1"/>
  <c r="AC23" i="23" s="1"/>
  <c r="AD23" i="23" s="1"/>
  <c r="Z22" i="23"/>
  <c r="AB22" i="23" s="1"/>
  <c r="AC22" i="23" s="1"/>
  <c r="AD22" i="23" s="1"/>
  <c r="Z21" i="23"/>
  <c r="Z122" i="23"/>
  <c r="Z117" i="23"/>
  <c r="Z112" i="23"/>
  <c r="Z96" i="23"/>
  <c r="Z89" i="23"/>
  <c r="Z76" i="23"/>
  <c r="Z68" i="23"/>
  <c r="Z20" i="23"/>
  <c r="Z19" i="23"/>
  <c r="Z18" i="23"/>
  <c r="Z183" i="23"/>
  <c r="Z171" i="23"/>
  <c r="Z132" i="23"/>
  <c r="Z100" i="23"/>
  <c r="AB100" i="23" s="1"/>
  <c r="AC100" i="23" s="1"/>
  <c r="AD100" i="23" s="1"/>
  <c r="Z93" i="23"/>
  <c r="AB93" i="23" s="1"/>
  <c r="AC93" i="23" s="1"/>
  <c r="AD93" i="23" s="1"/>
  <c r="Z85" i="23"/>
  <c r="Z80" i="23"/>
  <c r="Z72" i="23"/>
  <c r="Z4" i="23"/>
  <c r="Z9" i="23"/>
  <c r="AB9" i="23" s="1"/>
  <c r="AC9" i="23" s="1"/>
  <c r="AD9" i="23" s="1"/>
  <c r="Z11" i="23"/>
  <c r="Z13" i="23"/>
  <c r="Z15" i="23"/>
  <c r="AB15" i="23" s="1"/>
  <c r="AC15" i="23" s="1"/>
  <c r="AD15" i="23" s="1"/>
  <c r="Z17" i="23"/>
  <c r="Z55" i="23"/>
  <c r="Z60" i="23"/>
  <c r="AA70" i="23"/>
  <c r="AA78" i="23"/>
  <c r="Z87" i="23"/>
  <c r="Z99" i="23"/>
  <c r="Z133" i="23"/>
  <c r="AA145" i="23"/>
  <c r="Z187" i="23"/>
  <c r="AB187" i="23" s="1"/>
  <c r="AC187" i="23" s="1"/>
  <c r="AD187" i="23" s="1"/>
  <c r="AA190" i="23"/>
  <c r="AA186" i="23"/>
  <c r="AA182" i="23"/>
  <c r="AA178" i="23"/>
  <c r="AA174" i="23"/>
  <c r="AA170" i="23"/>
  <c r="AA166" i="23"/>
  <c r="AA189" i="23"/>
  <c r="AA185" i="23"/>
  <c r="AA181" i="23"/>
  <c r="AA177" i="23"/>
  <c r="AA173" i="23"/>
  <c r="AA169" i="23"/>
  <c r="AA165" i="23"/>
  <c r="AA187" i="23"/>
  <c r="AA183" i="23"/>
  <c r="AA179" i="23"/>
  <c r="AA175" i="23"/>
  <c r="AB175" i="23" s="1"/>
  <c r="AC175" i="23" s="1"/>
  <c r="AD175" i="23" s="1"/>
  <c r="AA171" i="23"/>
  <c r="AA167" i="23"/>
  <c r="AA162" i="23"/>
  <c r="AA161" i="23"/>
  <c r="AA184" i="23"/>
  <c r="AA176" i="23"/>
  <c r="AA168" i="23"/>
  <c r="AA160" i="23"/>
  <c r="AA154" i="23"/>
  <c r="AA159" i="23"/>
  <c r="AA188" i="23"/>
  <c r="AA180" i="23"/>
  <c r="AA140" i="23"/>
  <c r="AA129" i="23"/>
  <c r="AA123" i="23"/>
  <c r="AA119" i="23"/>
  <c r="AA115" i="23"/>
  <c r="AA111" i="23"/>
  <c r="AA107" i="23"/>
  <c r="AA155" i="23"/>
  <c r="AA150" i="23"/>
  <c r="AA149" i="23"/>
  <c r="AA139" i="23"/>
  <c r="AA138" i="23"/>
  <c r="AA128" i="23"/>
  <c r="AA156" i="23"/>
  <c r="AB156" i="23" s="1"/>
  <c r="AC156" i="23" s="1"/>
  <c r="AD156" i="23" s="1"/>
  <c r="AA151" i="23"/>
  <c r="AA148" i="23"/>
  <c r="AA137" i="23"/>
  <c r="AA127" i="23"/>
  <c r="AA126" i="23"/>
  <c r="AA122" i="23"/>
  <c r="AA118" i="23"/>
  <c r="AB118" i="23" s="1"/>
  <c r="AC118" i="23" s="1"/>
  <c r="AD118" i="23" s="1"/>
  <c r="AA114" i="23"/>
  <c r="AB114" i="23" s="1"/>
  <c r="AC114" i="23" s="1"/>
  <c r="AD114" i="23" s="1"/>
  <c r="AA110" i="23"/>
  <c r="AA106" i="23"/>
  <c r="AB106" i="23" s="1"/>
  <c r="AC106" i="23" s="1"/>
  <c r="AD106" i="23" s="1"/>
  <c r="AA144" i="23"/>
  <c r="AA157" i="23"/>
  <c r="AA152" i="23"/>
  <c r="AA146" i="23"/>
  <c r="AA131" i="23"/>
  <c r="AA125" i="23"/>
  <c r="AA120" i="23"/>
  <c r="AA101" i="23"/>
  <c r="AA97" i="23"/>
  <c r="AA172" i="23"/>
  <c r="AA163" i="23"/>
  <c r="AA141" i="23"/>
  <c r="AA135" i="23"/>
  <c r="AA121" i="23"/>
  <c r="AA116" i="23"/>
  <c r="AA132" i="23"/>
  <c r="AA117" i="23"/>
  <c r="AA112" i="23"/>
  <c r="AA100" i="23"/>
  <c r="AA96" i="23"/>
  <c r="AA158" i="23"/>
  <c r="AA143" i="23"/>
  <c r="AA134" i="23"/>
  <c r="AA102" i="23"/>
  <c r="AA98" i="23"/>
  <c r="AA94" i="23"/>
  <c r="AA93" i="23"/>
  <c r="AA92" i="23"/>
  <c r="AA91" i="23"/>
  <c r="AA90" i="23"/>
  <c r="AA89" i="23"/>
  <c r="AA88" i="23"/>
  <c r="AB88" i="23" s="1"/>
  <c r="AC88" i="23" s="1"/>
  <c r="AD88" i="23" s="1"/>
  <c r="AA87" i="23"/>
  <c r="AA86" i="23"/>
  <c r="AA85" i="23"/>
  <c r="AA84" i="23"/>
  <c r="AA83" i="23"/>
  <c r="AA82" i="23"/>
  <c r="AA105" i="23"/>
  <c r="AA79" i="23"/>
  <c r="AA71" i="23"/>
  <c r="AA46" i="23"/>
  <c r="AA45" i="23"/>
  <c r="AA44" i="23"/>
  <c r="AA43" i="23"/>
  <c r="AA42" i="23"/>
  <c r="AA41" i="23"/>
  <c r="AA40" i="23"/>
  <c r="AA39" i="23"/>
  <c r="AA38" i="23"/>
  <c r="AA37" i="23"/>
  <c r="AA36" i="23"/>
  <c r="AA35" i="23"/>
  <c r="AA34" i="23"/>
  <c r="AA33" i="23"/>
  <c r="AA32" i="23"/>
  <c r="AA31" i="23"/>
  <c r="AA30" i="23"/>
  <c r="AA29" i="23"/>
  <c r="AA28" i="23"/>
  <c r="AA27" i="23"/>
  <c r="AA26" i="23"/>
  <c r="AA25" i="23"/>
  <c r="AA24" i="23"/>
  <c r="AA23" i="23"/>
  <c r="AA22" i="23"/>
  <c r="AA21" i="23"/>
  <c r="AA76" i="23"/>
  <c r="AA68" i="23"/>
  <c r="AA20" i="23"/>
  <c r="AA19" i="23"/>
  <c r="AA18" i="23"/>
  <c r="AA17" i="23"/>
  <c r="AA16" i="23"/>
  <c r="AA15" i="23"/>
  <c r="AA14" i="23"/>
  <c r="AB14" i="23" s="1"/>
  <c r="AC14" i="23" s="1"/>
  <c r="AD14" i="23" s="1"/>
  <c r="AA13" i="23"/>
  <c r="AA12" i="23"/>
  <c r="AB12" i="23" s="1"/>
  <c r="AC12" i="23" s="1"/>
  <c r="AD12" i="23" s="1"/>
  <c r="AA11" i="23"/>
  <c r="AA10" i="23"/>
  <c r="AB10" i="23" s="1"/>
  <c r="AC10" i="23" s="1"/>
  <c r="AD10" i="23" s="1"/>
  <c r="AA9" i="23"/>
  <c r="AA142" i="23"/>
  <c r="AB142" i="23" s="1"/>
  <c r="AC142" i="23" s="1"/>
  <c r="AD142" i="23" s="1"/>
  <c r="AA136" i="23"/>
  <c r="AA81" i="23"/>
  <c r="AA73" i="23"/>
  <c r="AA65" i="23"/>
  <c r="AA63" i="23"/>
  <c r="AB63" i="23" s="1"/>
  <c r="AC63" i="23" s="1"/>
  <c r="AD63" i="23" s="1"/>
  <c r="AA61" i="23"/>
  <c r="AA59" i="23"/>
  <c r="AB59" i="23" s="1"/>
  <c r="AC59" i="23" s="1"/>
  <c r="AD59" i="23" s="1"/>
  <c r="AA57" i="23"/>
  <c r="AB57" i="23" s="1"/>
  <c r="AC57" i="23" s="1"/>
  <c r="AD57" i="23" s="1"/>
  <c r="AA55" i="23"/>
  <c r="AA53" i="23"/>
  <c r="AA51" i="23"/>
  <c r="AB51" i="23" s="1"/>
  <c r="AC51" i="23" s="1"/>
  <c r="AD51" i="23" s="1"/>
  <c r="AA49" i="23"/>
  <c r="AA47" i="23"/>
  <c r="AB47" i="23" s="1"/>
  <c r="AC47" i="23" s="1"/>
  <c r="AD47" i="23" s="1"/>
  <c r="AA113" i="23"/>
  <c r="AB113" i="23" s="1"/>
  <c r="AC113" i="23" s="1"/>
  <c r="AD113" i="23" s="1"/>
  <c r="AA108" i="23"/>
  <c r="AB108" i="23" s="1"/>
  <c r="AC108" i="23" s="1"/>
  <c r="AD108" i="23" s="1"/>
  <c r="AA77" i="23"/>
  <c r="AA69" i="23"/>
  <c r="AA64" i="23"/>
  <c r="AB64" i="23" s="1"/>
  <c r="AC64" i="23" s="1"/>
  <c r="AD64" i="23" s="1"/>
  <c r="AA62" i="23"/>
  <c r="AB62" i="23" s="1"/>
  <c r="AC62" i="23" s="1"/>
  <c r="AD62" i="23" s="1"/>
  <c r="AA60" i="23"/>
  <c r="AA58" i="23"/>
  <c r="AA56" i="23"/>
  <c r="AB56" i="23" s="1"/>
  <c r="AC56" i="23" s="1"/>
  <c r="AD56" i="23" s="1"/>
  <c r="AA54" i="23"/>
  <c r="AA52" i="23"/>
  <c r="AB52" i="23" s="1"/>
  <c r="AC52" i="23" s="1"/>
  <c r="AD52" i="23" s="1"/>
  <c r="AA50" i="23"/>
  <c r="AA48" i="23"/>
  <c r="AB48" i="23" s="1"/>
  <c r="AC48" i="23" s="1"/>
  <c r="AD48" i="23" s="1"/>
  <c r="AA4" i="23"/>
  <c r="Z7" i="23"/>
  <c r="AB7" i="23" s="1"/>
  <c r="AC7" i="23" s="1"/>
  <c r="AD7" i="23" s="1"/>
  <c r="Z49" i="23"/>
  <c r="Z54" i="23"/>
  <c r="Z65" i="23"/>
  <c r="Z69" i="23"/>
  <c r="AB69" i="23" s="1"/>
  <c r="AC69" i="23" s="1"/>
  <c r="AD69" i="23" s="1"/>
  <c r="Z73" i="23"/>
  <c r="Z77" i="23"/>
  <c r="Z81" i="23"/>
  <c r="Z84" i="23"/>
  <c r="Z92" i="23"/>
  <c r="AA99" i="23"/>
  <c r="AA133" i="23"/>
  <c r="J8" i="19"/>
  <c r="AJ8"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 i="4"/>
  <c r="AK18" i="23" l="1"/>
  <c r="AL18" i="23" s="1"/>
  <c r="AM18" i="23" s="1"/>
  <c r="AB77" i="23"/>
  <c r="AC77" i="23" s="1"/>
  <c r="AD77" i="23" s="1"/>
  <c r="AB87" i="23"/>
  <c r="AC87" i="23" s="1"/>
  <c r="AD87" i="23" s="1"/>
  <c r="AB17" i="23"/>
  <c r="AC17" i="23" s="1"/>
  <c r="AD17" i="23" s="1"/>
  <c r="AB85" i="23"/>
  <c r="AC85" i="23" s="1"/>
  <c r="AD85" i="23" s="1"/>
  <c r="AB21" i="23"/>
  <c r="AC21" i="23" s="1"/>
  <c r="AD21" i="23" s="1"/>
  <c r="AB29" i="23"/>
  <c r="AC29" i="23" s="1"/>
  <c r="AD29" i="23" s="1"/>
  <c r="AB37" i="23"/>
  <c r="AC37" i="23" s="1"/>
  <c r="AD37" i="23" s="1"/>
  <c r="AB45" i="23"/>
  <c r="AC45" i="23" s="1"/>
  <c r="AD45" i="23" s="1"/>
  <c r="AB137" i="23"/>
  <c r="AC137" i="23" s="1"/>
  <c r="AD137" i="23" s="1"/>
  <c r="AB160" i="23"/>
  <c r="AC160" i="23" s="1"/>
  <c r="AD160" i="23" s="1"/>
  <c r="AB135" i="23"/>
  <c r="AC135" i="23" s="1"/>
  <c r="AD135" i="23" s="1"/>
  <c r="AB94" i="23"/>
  <c r="AC94" i="23" s="1"/>
  <c r="AD94" i="23" s="1"/>
  <c r="AK33" i="23"/>
  <c r="AL33" i="23" s="1"/>
  <c r="AM33" i="23" s="1"/>
  <c r="AK37" i="23"/>
  <c r="AL37" i="23" s="1"/>
  <c r="AM37" i="23" s="1"/>
  <c r="AK10" i="23"/>
  <c r="AL10" i="23" s="1"/>
  <c r="AM10" i="23" s="1"/>
  <c r="AK138" i="23"/>
  <c r="AL138" i="23" s="1"/>
  <c r="AM138" i="23" s="1"/>
  <c r="AK50" i="23"/>
  <c r="AL50" i="23" s="1"/>
  <c r="AM50" i="23" s="1"/>
  <c r="AK58" i="23"/>
  <c r="AL58" i="23" s="1"/>
  <c r="AM58" i="23" s="1"/>
  <c r="AK66" i="23"/>
  <c r="AL66" i="23" s="1"/>
  <c r="AM66" i="23" s="1"/>
  <c r="AK74" i="23"/>
  <c r="AL74" i="23" s="1"/>
  <c r="AM74" i="23" s="1"/>
  <c r="AK82" i="23"/>
  <c r="AL82" i="23" s="1"/>
  <c r="AM82" i="23" s="1"/>
  <c r="AK90" i="23"/>
  <c r="AL90" i="23" s="1"/>
  <c r="AM90" i="23" s="1"/>
  <c r="AK122" i="23"/>
  <c r="AL122" i="23" s="1"/>
  <c r="AM122" i="23" s="1"/>
  <c r="AK108" i="23"/>
  <c r="AL108" i="23" s="1"/>
  <c r="AM108" i="23" s="1"/>
  <c r="AK160" i="23"/>
  <c r="AL160" i="23" s="1"/>
  <c r="AM160" i="23" s="1"/>
  <c r="AK211" i="23"/>
  <c r="AL211" i="23" s="1"/>
  <c r="AM211" i="23" s="1"/>
  <c r="AK135" i="23"/>
  <c r="AL135" i="23" s="1"/>
  <c r="AM135" i="23" s="1"/>
  <c r="AK230" i="23"/>
  <c r="AL230" i="23" s="1"/>
  <c r="AM230" i="23" s="1"/>
  <c r="AK157" i="23"/>
  <c r="AL157" i="23" s="1"/>
  <c r="AM157" i="23" s="1"/>
  <c r="AK181" i="23"/>
  <c r="AL181" i="23" s="1"/>
  <c r="AM181" i="23" s="1"/>
  <c r="AB8" i="23"/>
  <c r="AC8" i="23" s="1"/>
  <c r="AD8" i="23" s="1"/>
  <c r="AB54" i="23"/>
  <c r="AC54" i="23" s="1"/>
  <c r="AD54" i="23" s="1"/>
  <c r="AB72" i="23"/>
  <c r="AC72" i="23" s="1"/>
  <c r="AD72" i="23" s="1"/>
  <c r="AB117" i="23"/>
  <c r="AC117" i="23" s="1"/>
  <c r="AD117" i="23" s="1"/>
  <c r="AB35" i="23"/>
  <c r="AC35" i="23" s="1"/>
  <c r="AD35" i="23" s="1"/>
  <c r="AB43" i="23"/>
  <c r="AC43" i="23" s="1"/>
  <c r="AD43" i="23" s="1"/>
  <c r="AB97" i="23"/>
  <c r="AC97" i="23" s="1"/>
  <c r="AD97" i="23" s="1"/>
  <c r="AB138" i="23"/>
  <c r="AC138" i="23" s="1"/>
  <c r="AD138" i="23" s="1"/>
  <c r="AB129" i="23"/>
  <c r="AC129" i="23" s="1"/>
  <c r="AD129" i="23" s="1"/>
  <c r="AB150" i="23"/>
  <c r="AC150" i="23" s="1"/>
  <c r="AD150" i="23" s="1"/>
  <c r="AB127" i="23"/>
  <c r="AC127" i="23" s="1"/>
  <c r="AD127" i="23" s="1"/>
  <c r="AB163" i="23"/>
  <c r="AC163" i="23" s="1"/>
  <c r="AD163" i="23" s="1"/>
  <c r="AK11" i="23"/>
  <c r="AL11" i="23" s="1"/>
  <c r="AM11" i="23" s="1"/>
  <c r="AK21" i="23"/>
  <c r="AL21" i="23" s="1"/>
  <c r="AM21" i="23" s="1"/>
  <c r="AK38" i="23"/>
  <c r="AL38" i="23" s="1"/>
  <c r="AM38" i="23" s="1"/>
  <c r="AK111" i="23"/>
  <c r="AL111" i="23" s="1"/>
  <c r="AM111" i="23" s="1"/>
  <c r="AK48" i="23"/>
  <c r="AL48" i="23" s="1"/>
  <c r="AM48" i="23" s="1"/>
  <c r="AK56" i="23"/>
  <c r="AL56" i="23" s="1"/>
  <c r="AM56" i="23" s="1"/>
  <c r="AK64" i="23"/>
  <c r="AL64" i="23" s="1"/>
  <c r="AM64" i="23" s="1"/>
  <c r="AK72" i="23"/>
  <c r="AL72" i="23" s="1"/>
  <c r="AM72" i="23" s="1"/>
  <c r="AK80" i="23"/>
  <c r="AL80" i="23" s="1"/>
  <c r="AM80" i="23" s="1"/>
  <c r="AK88" i="23"/>
  <c r="AL88" i="23" s="1"/>
  <c r="AM88" i="23" s="1"/>
  <c r="AK102" i="23"/>
  <c r="AL102" i="23" s="1"/>
  <c r="AM102" i="23" s="1"/>
  <c r="AK99" i="23"/>
  <c r="AL99" i="23" s="1"/>
  <c r="AM99" i="23" s="1"/>
  <c r="AK227" i="23"/>
  <c r="AL227" i="23" s="1"/>
  <c r="AM227" i="23" s="1"/>
  <c r="AK133" i="23"/>
  <c r="AL133" i="23" s="1"/>
  <c r="AM133" i="23" s="1"/>
  <c r="AK145" i="23"/>
  <c r="AL145" i="23" s="1"/>
  <c r="AM145" i="23" s="1"/>
  <c r="AK198" i="23"/>
  <c r="AL198" i="23" s="1"/>
  <c r="AM198" i="23" s="1"/>
  <c r="AK173" i="23"/>
  <c r="AL173" i="23" s="1"/>
  <c r="AM173" i="23" s="1"/>
  <c r="AK220" i="23"/>
  <c r="AL220" i="23" s="1"/>
  <c r="AM220" i="23" s="1"/>
  <c r="AK175" i="23"/>
  <c r="AL175" i="23" s="1"/>
  <c r="AM175" i="23" s="1"/>
  <c r="AK224" i="23"/>
  <c r="AL224" i="23" s="1"/>
  <c r="AM224" i="23" s="1"/>
  <c r="AK221" i="23"/>
  <c r="AL221" i="23" s="1"/>
  <c r="AM221" i="23" s="1"/>
  <c r="AK176" i="23"/>
  <c r="AL176" i="23" s="1"/>
  <c r="AM176" i="23" s="1"/>
  <c r="AK226" i="23"/>
  <c r="AL226" i="23" s="1"/>
  <c r="AM226" i="23" s="1"/>
  <c r="AK35" i="23"/>
  <c r="AL35" i="23" s="1"/>
  <c r="AM35" i="23" s="1"/>
  <c r="AK43" i="23"/>
  <c r="AL43" i="23" s="1"/>
  <c r="AM43" i="23" s="1"/>
  <c r="AB109" i="23"/>
  <c r="AC109" i="23" s="1"/>
  <c r="AD109" i="23" s="1"/>
  <c r="AB84" i="23"/>
  <c r="AC84" i="23" s="1"/>
  <c r="AD84" i="23" s="1"/>
  <c r="AB133" i="23"/>
  <c r="AC133" i="23" s="1"/>
  <c r="AD133" i="23" s="1"/>
  <c r="AB27" i="23"/>
  <c r="AC27" i="23" s="1"/>
  <c r="AD27" i="23" s="1"/>
  <c r="AB98" i="23"/>
  <c r="AC98" i="23" s="1"/>
  <c r="AD98" i="23" s="1"/>
  <c r="AB81" i="23"/>
  <c r="AC81" i="23" s="1"/>
  <c r="AD81" i="23" s="1"/>
  <c r="AB49" i="23"/>
  <c r="AC49" i="23" s="1"/>
  <c r="AD49" i="23" s="1"/>
  <c r="AB99" i="23"/>
  <c r="AC99" i="23" s="1"/>
  <c r="AD99" i="23" s="1"/>
  <c r="AB80" i="23"/>
  <c r="AC80" i="23" s="1"/>
  <c r="AD80" i="23" s="1"/>
  <c r="AB122" i="23"/>
  <c r="AC122" i="23" s="1"/>
  <c r="AD122" i="23" s="1"/>
  <c r="AB28" i="23"/>
  <c r="AC28" i="23" s="1"/>
  <c r="AD28" i="23" s="1"/>
  <c r="AB36" i="23"/>
  <c r="AC36" i="23" s="1"/>
  <c r="AD36" i="23" s="1"/>
  <c r="AB44" i="23"/>
  <c r="AC44" i="23" s="1"/>
  <c r="AD44" i="23" s="1"/>
  <c r="AB145" i="23"/>
  <c r="AC145" i="23" s="1"/>
  <c r="AD145" i="23" s="1"/>
  <c r="AB149" i="23"/>
  <c r="AC149" i="23" s="1"/>
  <c r="AD149" i="23" s="1"/>
  <c r="AB140" i="23"/>
  <c r="AC140" i="23" s="1"/>
  <c r="AD140" i="23" s="1"/>
  <c r="AB154" i="23"/>
  <c r="AC154" i="23" s="1"/>
  <c r="AD154" i="23" s="1"/>
  <c r="AB131" i="23"/>
  <c r="AC131" i="23" s="1"/>
  <c r="AD131" i="23" s="1"/>
  <c r="AB164" i="23"/>
  <c r="AC164" i="23" s="1"/>
  <c r="AD164" i="23" s="1"/>
  <c r="AB70" i="23"/>
  <c r="AC70" i="23" s="1"/>
  <c r="AD70" i="23" s="1"/>
  <c r="AB53" i="23"/>
  <c r="AC53" i="23" s="1"/>
  <c r="AD53" i="23" s="1"/>
  <c r="AK36" i="23"/>
  <c r="AL36" i="23" s="1"/>
  <c r="AM36" i="23" s="1"/>
  <c r="AK7" i="23"/>
  <c r="AL7" i="23" s="1"/>
  <c r="AM7" i="23" s="1"/>
  <c r="AK29" i="23"/>
  <c r="AL29" i="23" s="1"/>
  <c r="AM29" i="23" s="1"/>
  <c r="AK6" i="23"/>
  <c r="AL6" i="23" s="1"/>
  <c r="AM6" i="23" s="1"/>
  <c r="AK46" i="23"/>
  <c r="AL46" i="23" s="1"/>
  <c r="AM46" i="23" s="1"/>
  <c r="AK24" i="23"/>
  <c r="AL24" i="23" s="1"/>
  <c r="AM24" i="23" s="1"/>
  <c r="AK100" i="23"/>
  <c r="AL100" i="23" s="1"/>
  <c r="AM100" i="23" s="1"/>
  <c r="AK49" i="23"/>
  <c r="AL49" i="23" s="1"/>
  <c r="AM49" i="23" s="1"/>
  <c r="AK57" i="23"/>
  <c r="AL57" i="23" s="1"/>
  <c r="AM57" i="23" s="1"/>
  <c r="AK65" i="23"/>
  <c r="AL65" i="23" s="1"/>
  <c r="AM65" i="23" s="1"/>
  <c r="AK73" i="23"/>
  <c r="AL73" i="23" s="1"/>
  <c r="AM73" i="23" s="1"/>
  <c r="AK81" i="23"/>
  <c r="AL81" i="23" s="1"/>
  <c r="AM81" i="23" s="1"/>
  <c r="AK89" i="23"/>
  <c r="AL89" i="23" s="1"/>
  <c r="AM89" i="23" s="1"/>
  <c r="AK118" i="23"/>
  <c r="AL118" i="23" s="1"/>
  <c r="AM118" i="23" s="1"/>
  <c r="AK252" i="23"/>
  <c r="AL252" i="23" s="1"/>
  <c r="AM252" i="23" s="1"/>
  <c r="AK104" i="23"/>
  <c r="AL104" i="23" s="1"/>
  <c r="AM104" i="23" s="1"/>
  <c r="AK170" i="23"/>
  <c r="AL170" i="23" s="1"/>
  <c r="AM170" i="23" s="1"/>
  <c r="AK125" i="23"/>
  <c r="AL125" i="23" s="1"/>
  <c r="AM125" i="23" s="1"/>
  <c r="AK228" i="23"/>
  <c r="AL228" i="23" s="1"/>
  <c r="AM228" i="23" s="1"/>
  <c r="AK179" i="23"/>
  <c r="AL179" i="23" s="1"/>
  <c r="AM179" i="23" s="1"/>
  <c r="AK232" i="23"/>
  <c r="AL232" i="23" s="1"/>
  <c r="AM232" i="23" s="1"/>
  <c r="AK229" i="23"/>
  <c r="AL229" i="23" s="1"/>
  <c r="AM229" i="23" s="1"/>
  <c r="AK234" i="23"/>
  <c r="AL234" i="23" s="1"/>
  <c r="AM234" i="23" s="1"/>
  <c r="AK103" i="23"/>
  <c r="AL103" i="23" s="1"/>
  <c r="AM103" i="23" s="1"/>
  <c r="AK143" i="23"/>
  <c r="AL143" i="23" s="1"/>
  <c r="AM143" i="23" s="1"/>
  <c r="AK214" i="23"/>
  <c r="AL214" i="23" s="1"/>
  <c r="AM214" i="23" s="1"/>
  <c r="AK156" i="23"/>
  <c r="AL156" i="23" s="1"/>
  <c r="AM156" i="23" s="1"/>
  <c r="AK257" i="23"/>
  <c r="AL257" i="23" s="1"/>
  <c r="AM257" i="23" s="1"/>
  <c r="AK177" i="23"/>
  <c r="AL177" i="23" s="1"/>
  <c r="AM177" i="23" s="1"/>
  <c r="AK180" i="23"/>
  <c r="AL180" i="23" s="1"/>
  <c r="AM180" i="23" s="1"/>
  <c r="AK32" i="23"/>
  <c r="AL32" i="23" s="1"/>
  <c r="AM32" i="23" s="1"/>
  <c r="AK123" i="23"/>
  <c r="AL123" i="23" s="1"/>
  <c r="AM123" i="23" s="1"/>
  <c r="AK166" i="23"/>
  <c r="AL166" i="23" s="1"/>
  <c r="AM166" i="23" s="1"/>
  <c r="AK236" i="23"/>
  <c r="AL236" i="23" s="1"/>
  <c r="AM236" i="23" s="1"/>
  <c r="AK183" i="23"/>
  <c r="AL183" i="23" s="1"/>
  <c r="AM183" i="23" s="1"/>
  <c r="AK240" i="23"/>
  <c r="AL240" i="23" s="1"/>
  <c r="AM240" i="23" s="1"/>
  <c r="AK237" i="23"/>
  <c r="AL237" i="23" s="1"/>
  <c r="AM237" i="23" s="1"/>
  <c r="AK184" i="23"/>
  <c r="AL184" i="23" s="1"/>
  <c r="AM184" i="23" s="1"/>
  <c r="AK242" i="23"/>
  <c r="AL242" i="23" s="1"/>
  <c r="AM242" i="23" s="1"/>
  <c r="AB148" i="23"/>
  <c r="AC148" i="23" s="1"/>
  <c r="AD148" i="23" s="1"/>
  <c r="AK121" i="23"/>
  <c r="AL121" i="23" s="1"/>
  <c r="AM121" i="23" s="1"/>
  <c r="AK238" i="23"/>
  <c r="AL238" i="23" s="1"/>
  <c r="AM238" i="23" s="1"/>
  <c r="AB58" i="23"/>
  <c r="AC58" i="23" s="1"/>
  <c r="AD58" i="23" s="1"/>
  <c r="AB20" i="23"/>
  <c r="AC20" i="23" s="1"/>
  <c r="AD20" i="23" s="1"/>
  <c r="AB120" i="23"/>
  <c r="AC120" i="23" s="1"/>
  <c r="AD120" i="23" s="1"/>
  <c r="AB159" i="23"/>
  <c r="AC159" i="23" s="1"/>
  <c r="AD159" i="23" s="1"/>
  <c r="AB178" i="23"/>
  <c r="AC178" i="23" s="1"/>
  <c r="AD178" i="23" s="1"/>
  <c r="AK159" i="23"/>
  <c r="AL159" i="23" s="1"/>
  <c r="AM159" i="23" s="1"/>
  <c r="AB74" i="23"/>
  <c r="AC74" i="23" s="1"/>
  <c r="AD74" i="23" s="1"/>
  <c r="AB182" i="23"/>
  <c r="AC182" i="23" s="1"/>
  <c r="AD182" i="23" s="1"/>
  <c r="AK239" i="23"/>
  <c r="AL239" i="23" s="1"/>
  <c r="AM239" i="23" s="1"/>
  <c r="AK59" i="23"/>
  <c r="AL59" i="23" s="1"/>
  <c r="AM59" i="23" s="1"/>
  <c r="AK83" i="23"/>
  <c r="AL83" i="23" s="1"/>
  <c r="AM83" i="23" s="1"/>
  <c r="AK130" i="23"/>
  <c r="AL130" i="23" s="1"/>
  <c r="AM130" i="23" s="1"/>
  <c r="AK243" i="23"/>
  <c r="AL243" i="23" s="1"/>
  <c r="AM243" i="23" s="1"/>
  <c r="AK246" i="23"/>
  <c r="AL246" i="23" s="1"/>
  <c r="AM246" i="23" s="1"/>
  <c r="AK174" i="23"/>
  <c r="AL174" i="23" s="1"/>
  <c r="AM174" i="23" s="1"/>
  <c r="AK203" i="23"/>
  <c r="AL203" i="23" s="1"/>
  <c r="AM203" i="23" s="1"/>
  <c r="AK185" i="23"/>
  <c r="AL185" i="23" s="1"/>
  <c r="AM185" i="23" s="1"/>
  <c r="AK187" i="23"/>
  <c r="AL187" i="23" s="1"/>
  <c r="AM187" i="23" s="1"/>
  <c r="AK248" i="23"/>
  <c r="AL248" i="23" s="1"/>
  <c r="AM248" i="23" s="1"/>
  <c r="AB73" i="23"/>
  <c r="AC73" i="23" s="1"/>
  <c r="AD73" i="23" s="1"/>
  <c r="AB13" i="23"/>
  <c r="AC13" i="23" s="1"/>
  <c r="AD13" i="23" s="1"/>
  <c r="AB76" i="23"/>
  <c r="AC76" i="23" s="1"/>
  <c r="AD76" i="23" s="1"/>
  <c r="AB83" i="23"/>
  <c r="AC83" i="23" s="1"/>
  <c r="AD83" i="23" s="1"/>
  <c r="AB116" i="23"/>
  <c r="AC116" i="23" s="1"/>
  <c r="AD116" i="23" s="1"/>
  <c r="AB146" i="23"/>
  <c r="AC146" i="23" s="1"/>
  <c r="AD146" i="23" s="1"/>
  <c r="AB169" i="23"/>
  <c r="AC169" i="23" s="1"/>
  <c r="AD169" i="23" s="1"/>
  <c r="AB111" i="23"/>
  <c r="AC111" i="23" s="1"/>
  <c r="AD111" i="23" s="1"/>
  <c r="AB176" i="23"/>
  <c r="AC176" i="23" s="1"/>
  <c r="AD176" i="23" s="1"/>
  <c r="AB143" i="23"/>
  <c r="AC143" i="23" s="1"/>
  <c r="AD143" i="23" s="1"/>
  <c r="AB189" i="23"/>
  <c r="AC189" i="23" s="1"/>
  <c r="AD189" i="23" s="1"/>
  <c r="AB186" i="23"/>
  <c r="AC186" i="23" s="1"/>
  <c r="AD186" i="23" s="1"/>
  <c r="AB50" i="23"/>
  <c r="AC50" i="23" s="1"/>
  <c r="AD50" i="23" s="1"/>
  <c r="AB86" i="23"/>
  <c r="AC86" i="23" s="1"/>
  <c r="AD86" i="23" s="1"/>
  <c r="AK26" i="23"/>
  <c r="AL26" i="23" s="1"/>
  <c r="AM26" i="23" s="1"/>
  <c r="AK14" i="23"/>
  <c r="AL14" i="23" s="1"/>
  <c r="AM14" i="23" s="1"/>
  <c r="AK23" i="23"/>
  <c r="AL23" i="23" s="1"/>
  <c r="AM23" i="23" s="1"/>
  <c r="AK153" i="23"/>
  <c r="AL153" i="23" s="1"/>
  <c r="AM153" i="23" s="1"/>
  <c r="AK128" i="23"/>
  <c r="AL128" i="23" s="1"/>
  <c r="AM128" i="23" s="1"/>
  <c r="AK52" i="23"/>
  <c r="AL52" i="23" s="1"/>
  <c r="AM52" i="23" s="1"/>
  <c r="AK60" i="23"/>
  <c r="AL60" i="23" s="1"/>
  <c r="AM60" i="23" s="1"/>
  <c r="AK68" i="23"/>
  <c r="AL68" i="23" s="1"/>
  <c r="AM68" i="23" s="1"/>
  <c r="AK76" i="23"/>
  <c r="AL76" i="23" s="1"/>
  <c r="AM76" i="23" s="1"/>
  <c r="AK84" i="23"/>
  <c r="AL84" i="23" s="1"/>
  <c r="AM84" i="23" s="1"/>
  <c r="AK92" i="23"/>
  <c r="AL92" i="23" s="1"/>
  <c r="AM92" i="23" s="1"/>
  <c r="AK136" i="23"/>
  <c r="AL136" i="23" s="1"/>
  <c r="AM136" i="23" s="1"/>
  <c r="AK191" i="23"/>
  <c r="AL191" i="23" s="1"/>
  <c r="AM191" i="23" s="1"/>
  <c r="AK116" i="23"/>
  <c r="AL116" i="23" s="1"/>
  <c r="AM116" i="23" s="1"/>
  <c r="AK217" i="23"/>
  <c r="AL217" i="23" s="1"/>
  <c r="AM217" i="23" s="1"/>
  <c r="AK105" i="23"/>
  <c r="AL105" i="23" s="1"/>
  <c r="AM105" i="23" s="1"/>
  <c r="AK199" i="23"/>
  <c r="AL199" i="23" s="1"/>
  <c r="AM199" i="23" s="1"/>
  <c r="AK193" i="23"/>
  <c r="AL193" i="23" s="1"/>
  <c r="AM193" i="23" s="1"/>
  <c r="AK182" i="23"/>
  <c r="AL182" i="23" s="1"/>
  <c r="AM182" i="23" s="1"/>
  <c r="AK219" i="23"/>
  <c r="AL219" i="23" s="1"/>
  <c r="AM219" i="23" s="1"/>
  <c r="AK189" i="23"/>
  <c r="AL189" i="23" s="1"/>
  <c r="AM189" i="23" s="1"/>
  <c r="AK255" i="23"/>
  <c r="AL255" i="23" s="1"/>
  <c r="AM255" i="23" s="1"/>
  <c r="AK192" i="23"/>
  <c r="AL192" i="23" s="1"/>
  <c r="AM192" i="23" s="1"/>
  <c r="AK251" i="23"/>
  <c r="AL251" i="23" s="1"/>
  <c r="AM251" i="23" s="1"/>
  <c r="AK256" i="23"/>
  <c r="AL256" i="23" s="1"/>
  <c r="AM256" i="23" s="1"/>
  <c r="AK194" i="23"/>
  <c r="AL194" i="23" s="1"/>
  <c r="AM194" i="23" s="1"/>
  <c r="AK253" i="23"/>
  <c r="AL253" i="23" s="1"/>
  <c r="AM253" i="23" s="1"/>
  <c r="AK96" i="23"/>
  <c r="AL96" i="23" s="1"/>
  <c r="AM96" i="23" s="1"/>
  <c r="AB134" i="23"/>
  <c r="AC134" i="23" s="1"/>
  <c r="AD134" i="23" s="1"/>
  <c r="AB101" i="23"/>
  <c r="AC101" i="23" s="1"/>
  <c r="AD101" i="23" s="1"/>
  <c r="AK15" i="23"/>
  <c r="AL15" i="23" s="1"/>
  <c r="AM15" i="23" s="1"/>
  <c r="AB68" i="23"/>
  <c r="AC68" i="23" s="1"/>
  <c r="AD68" i="23" s="1"/>
  <c r="AB167" i="23"/>
  <c r="AC167" i="23" s="1"/>
  <c r="AD167" i="23" s="1"/>
  <c r="AK67" i="23"/>
  <c r="AL67" i="23" s="1"/>
  <c r="AM67" i="23" s="1"/>
  <c r="AB60" i="23"/>
  <c r="AC60" i="23" s="1"/>
  <c r="AD60" i="23" s="1"/>
  <c r="AB11" i="23"/>
  <c r="AC11" i="23" s="1"/>
  <c r="AD11" i="23" s="1"/>
  <c r="AB132" i="23"/>
  <c r="AC132" i="23" s="1"/>
  <c r="AD132" i="23" s="1"/>
  <c r="AB89" i="23"/>
  <c r="AC89" i="23" s="1"/>
  <c r="AD89" i="23" s="1"/>
  <c r="AB24" i="23"/>
  <c r="AC24" i="23" s="1"/>
  <c r="AD24" i="23" s="1"/>
  <c r="AB32" i="23"/>
  <c r="AC32" i="23" s="1"/>
  <c r="AD32" i="23" s="1"/>
  <c r="AB40" i="23"/>
  <c r="AC40" i="23" s="1"/>
  <c r="AD40" i="23" s="1"/>
  <c r="AB79" i="23"/>
  <c r="AC79" i="23" s="1"/>
  <c r="AD79" i="23" s="1"/>
  <c r="AB91" i="23"/>
  <c r="AC91" i="23" s="1"/>
  <c r="AD91" i="23" s="1"/>
  <c r="AB121" i="23"/>
  <c r="AC121" i="23" s="1"/>
  <c r="AD121" i="23" s="1"/>
  <c r="AB152" i="23"/>
  <c r="AC152" i="23" s="1"/>
  <c r="AD152" i="23" s="1"/>
  <c r="AB172" i="23"/>
  <c r="AC172" i="23" s="1"/>
  <c r="AD172" i="23" s="1"/>
  <c r="AB115" i="23"/>
  <c r="AC115" i="23" s="1"/>
  <c r="AD115" i="23" s="1"/>
  <c r="AB147" i="23"/>
  <c r="AC147" i="23" s="1"/>
  <c r="AD147" i="23" s="1"/>
  <c r="AB158" i="23"/>
  <c r="AC158" i="23" s="1"/>
  <c r="AD158" i="23" s="1"/>
  <c r="AB190" i="23"/>
  <c r="AC190" i="23" s="1"/>
  <c r="AD190" i="23" s="1"/>
  <c r="AK28" i="23"/>
  <c r="AL28" i="23" s="1"/>
  <c r="AM28" i="23" s="1"/>
  <c r="AK34" i="23"/>
  <c r="AL34" i="23" s="1"/>
  <c r="AM34" i="23" s="1"/>
  <c r="AK110" i="23"/>
  <c r="AL110" i="23" s="1"/>
  <c r="AM110" i="23" s="1"/>
  <c r="AK16" i="23"/>
  <c r="AL16" i="23" s="1"/>
  <c r="AM16" i="23" s="1"/>
  <c r="AK31" i="23"/>
  <c r="AL31" i="23" s="1"/>
  <c r="AM31" i="23" s="1"/>
  <c r="AK140" i="23"/>
  <c r="AL140" i="23" s="1"/>
  <c r="AM140" i="23" s="1"/>
  <c r="AK137" i="23"/>
  <c r="AL137" i="23" s="1"/>
  <c r="AM137" i="23" s="1"/>
  <c r="AK150" i="23"/>
  <c r="AL150" i="23" s="1"/>
  <c r="AM150" i="23" s="1"/>
  <c r="AK53" i="23"/>
  <c r="AL53" i="23" s="1"/>
  <c r="AM53" i="23" s="1"/>
  <c r="AK61" i="23"/>
  <c r="AL61" i="23" s="1"/>
  <c r="AM61" i="23" s="1"/>
  <c r="AK69" i="23"/>
  <c r="AL69" i="23" s="1"/>
  <c r="AM69" i="23" s="1"/>
  <c r="AK77" i="23"/>
  <c r="AL77" i="23" s="1"/>
  <c r="AM77" i="23" s="1"/>
  <c r="AK85" i="23"/>
  <c r="AL85" i="23" s="1"/>
  <c r="AM85" i="23" s="1"/>
  <c r="AK93" i="23"/>
  <c r="AL93" i="23" s="1"/>
  <c r="AM93" i="23" s="1"/>
  <c r="AK149" i="23"/>
  <c r="AL149" i="23" s="1"/>
  <c r="AM149" i="23" s="1"/>
  <c r="AK154" i="23"/>
  <c r="AL154" i="23" s="1"/>
  <c r="AM154" i="23" s="1"/>
  <c r="AK155" i="23"/>
  <c r="AL155" i="23" s="1"/>
  <c r="AM155" i="23" s="1"/>
  <c r="AK120" i="23"/>
  <c r="AL120" i="23" s="1"/>
  <c r="AM120" i="23" s="1"/>
  <c r="AK249" i="23"/>
  <c r="AL249" i="23" s="1"/>
  <c r="AM249" i="23" s="1"/>
  <c r="AK109" i="23"/>
  <c r="AL109" i="23" s="1"/>
  <c r="AM109" i="23" s="1"/>
  <c r="AK231" i="23"/>
  <c r="AL231" i="23" s="1"/>
  <c r="AM231" i="23" s="1"/>
  <c r="AK209" i="23"/>
  <c r="AL209" i="23" s="1"/>
  <c r="AM209" i="23" s="1"/>
  <c r="AK190" i="23"/>
  <c r="AL190" i="23" s="1"/>
  <c r="AM190" i="23" s="1"/>
  <c r="AK235" i="23"/>
  <c r="AL235" i="23" s="1"/>
  <c r="AM235" i="23" s="1"/>
  <c r="AK196" i="23"/>
  <c r="AL196" i="23" s="1"/>
  <c r="AM196" i="23" s="1"/>
  <c r="AK163" i="23"/>
  <c r="AL163" i="23" s="1"/>
  <c r="AM163" i="23" s="1"/>
  <c r="AK200" i="23"/>
  <c r="AL200" i="23" s="1"/>
  <c r="AM200" i="23" s="1"/>
  <c r="AK197" i="23"/>
  <c r="AL197" i="23" s="1"/>
  <c r="AM197" i="23" s="1"/>
  <c r="AK164" i="23"/>
  <c r="AL164" i="23" s="1"/>
  <c r="AM164" i="23" s="1"/>
  <c r="AK202" i="23"/>
  <c r="AL202" i="23" s="1"/>
  <c r="AM202" i="23" s="1"/>
  <c r="R87" i="23"/>
  <c r="S87" i="23" s="1"/>
  <c r="T87" i="23" s="1"/>
  <c r="R78" i="23"/>
  <c r="S78" i="23" s="1"/>
  <c r="T78" i="23" s="1"/>
  <c r="R70" i="23"/>
  <c r="S70" i="23" s="1"/>
  <c r="T70" i="23" s="1"/>
  <c r="R21" i="23"/>
  <c r="T21" i="23" s="1"/>
  <c r="W21" i="23" s="1"/>
  <c r="R20" i="23"/>
  <c r="S20" i="23" s="1"/>
  <c r="T20" i="23" s="1"/>
  <c r="R19" i="23"/>
  <c r="S19" i="23" s="1"/>
  <c r="T19" i="23" s="1"/>
  <c r="R18" i="23"/>
  <c r="S18" i="23" s="1"/>
  <c r="T18" i="23" s="1"/>
  <c r="R17" i="23"/>
  <c r="S17" i="23" s="1"/>
  <c r="T17" i="23" s="1"/>
  <c r="R16" i="23"/>
  <c r="S16" i="23" s="1"/>
  <c r="T16" i="23" s="1"/>
  <c r="R15" i="23"/>
  <c r="S15" i="23" s="1"/>
  <c r="T15" i="23" s="1"/>
  <c r="R14" i="23"/>
  <c r="S14" i="23" s="1"/>
  <c r="T14" i="23" s="1"/>
  <c r="R13" i="23"/>
  <c r="S13" i="23" s="1"/>
  <c r="T13" i="23" s="1"/>
  <c r="R12" i="23"/>
  <c r="S12" i="23" s="1"/>
  <c r="T12" i="23" s="1"/>
  <c r="R11" i="23"/>
  <c r="S11" i="23" s="1"/>
  <c r="T11" i="23" s="1"/>
  <c r="R10" i="23"/>
  <c r="S10" i="23" s="1"/>
  <c r="T10" i="23" s="1"/>
  <c r="R9" i="23"/>
  <c r="S9" i="23" s="1"/>
  <c r="T9" i="23" s="1"/>
  <c r="R7" i="23"/>
  <c r="S7" i="23" s="1"/>
  <c r="T7" i="23" s="1"/>
  <c r="R94" i="23"/>
  <c r="S94" i="23" s="1"/>
  <c r="T94" i="23" s="1"/>
  <c r="R86" i="23"/>
  <c r="S86" i="23" s="1"/>
  <c r="T86" i="23" s="1"/>
  <c r="R75" i="23"/>
  <c r="S75" i="23" s="1"/>
  <c r="T75" i="23" s="1"/>
  <c r="R67" i="23"/>
  <c r="S67" i="23" s="1"/>
  <c r="T67" i="23" s="1"/>
  <c r="R93" i="23"/>
  <c r="S93" i="23" s="1"/>
  <c r="T93" i="23" s="1"/>
  <c r="R85" i="23"/>
  <c r="S85" i="23" s="1"/>
  <c r="T85" i="23" s="1"/>
  <c r="R80" i="23"/>
  <c r="S80" i="23" s="1"/>
  <c r="T80" i="23" s="1"/>
  <c r="R72" i="23"/>
  <c r="S72" i="23" s="1"/>
  <c r="T72" i="23" s="1"/>
  <c r="R89" i="23"/>
  <c r="S89" i="23" s="1"/>
  <c r="T89" i="23" s="1"/>
  <c r="R76" i="23"/>
  <c r="S76" i="23" s="1"/>
  <c r="T76" i="23" s="1"/>
  <c r="R68" i="23"/>
  <c r="S68" i="23" s="1"/>
  <c r="T68" i="23" s="1"/>
  <c r="R91" i="23"/>
  <c r="S91" i="23" s="1"/>
  <c r="T91" i="23" s="1"/>
  <c r="R83" i="23"/>
  <c r="S83" i="23" s="1"/>
  <c r="T83" i="23" s="1"/>
  <c r="R63" i="23"/>
  <c r="S63" i="23" s="1"/>
  <c r="T63" i="23" s="1"/>
  <c r="R58" i="23"/>
  <c r="S58" i="23" s="1"/>
  <c r="T58" i="23" s="1"/>
  <c r="R47" i="23"/>
  <c r="S47" i="23" s="1"/>
  <c r="T47" i="23" s="1"/>
  <c r="R39" i="23"/>
  <c r="S39" i="23" s="1"/>
  <c r="T39" i="23" s="1"/>
  <c r="R31" i="23"/>
  <c r="S31" i="23" s="1"/>
  <c r="T31" i="23" s="1"/>
  <c r="R23" i="23"/>
  <c r="S23" i="23" s="1"/>
  <c r="T23" i="23" s="1"/>
  <c r="R64" i="23"/>
  <c r="S64" i="23" s="1"/>
  <c r="T64" i="23" s="1"/>
  <c r="R53" i="23"/>
  <c r="S53" i="23" s="1"/>
  <c r="T53" i="23" s="1"/>
  <c r="R48" i="23"/>
  <c r="S48" i="23" s="1"/>
  <c r="T48" i="23" s="1"/>
  <c r="R46" i="23"/>
  <c r="S46" i="23" s="1"/>
  <c r="T46" i="23" s="1"/>
  <c r="R38" i="23"/>
  <c r="S38" i="23" s="1"/>
  <c r="T38" i="23" s="1"/>
  <c r="R30" i="23"/>
  <c r="S30" i="23" s="1"/>
  <c r="T30" i="23" s="1"/>
  <c r="R22" i="23"/>
  <c r="S22" i="23" s="1"/>
  <c r="T22" i="23" s="1"/>
  <c r="R8" i="23"/>
  <c r="S8" i="23" s="1"/>
  <c r="T8" i="23" s="1"/>
  <c r="R92" i="23"/>
  <c r="S92" i="23" s="1"/>
  <c r="T92" i="23" s="1"/>
  <c r="R84" i="23"/>
  <c r="S84" i="23" s="1"/>
  <c r="T84" i="23" s="1"/>
  <c r="R77" i="23"/>
  <c r="S77" i="23" s="1"/>
  <c r="T77" i="23" s="1"/>
  <c r="R69" i="23"/>
  <c r="S69" i="23" s="1"/>
  <c r="T69" i="23" s="1"/>
  <c r="R59" i="23"/>
  <c r="S59" i="23" s="1"/>
  <c r="T59" i="23" s="1"/>
  <c r="R54" i="23"/>
  <c r="S54" i="23" s="1"/>
  <c r="T54" i="23" s="1"/>
  <c r="R45" i="23"/>
  <c r="S45" i="23" s="1"/>
  <c r="T45" i="23" s="1"/>
  <c r="R37" i="23"/>
  <c r="S37" i="23" s="1"/>
  <c r="T37" i="23" s="1"/>
  <c r="R29" i="23"/>
  <c r="S29" i="23" s="1"/>
  <c r="T29" i="23" s="1"/>
  <c r="S3" i="23"/>
  <c r="T3" i="23" s="1"/>
  <c r="R81" i="23"/>
  <c r="S81" i="23" s="1"/>
  <c r="T81" i="23" s="1"/>
  <c r="R73" i="23"/>
  <c r="S73" i="23" s="1"/>
  <c r="T73" i="23" s="1"/>
  <c r="R65" i="23"/>
  <c r="S65" i="23" s="1"/>
  <c r="T65" i="23" s="1"/>
  <c r="R60" i="23"/>
  <c r="S60" i="23" s="1"/>
  <c r="T60" i="23" s="1"/>
  <c r="R49" i="23"/>
  <c r="S49" i="23" s="1"/>
  <c r="T49" i="23" s="1"/>
  <c r="R44" i="23"/>
  <c r="S44" i="23" s="1"/>
  <c r="T44" i="23" s="1"/>
  <c r="R36" i="23"/>
  <c r="S36" i="23" s="1"/>
  <c r="T36" i="23" s="1"/>
  <c r="R28" i="23"/>
  <c r="S28" i="23" s="1"/>
  <c r="T28" i="23" s="1"/>
  <c r="R90" i="23"/>
  <c r="S90" i="23" s="1"/>
  <c r="T90" i="23" s="1"/>
  <c r="R82" i="23"/>
  <c r="S82" i="23" s="1"/>
  <c r="T82" i="23" s="1"/>
  <c r="R62" i="23"/>
  <c r="S62" i="23" s="1"/>
  <c r="T62" i="23" s="1"/>
  <c r="R51" i="23"/>
  <c r="S51" i="23" s="1"/>
  <c r="T51" i="23" s="1"/>
  <c r="R41" i="23"/>
  <c r="S41" i="23" s="1"/>
  <c r="T41" i="23" s="1"/>
  <c r="R33" i="23"/>
  <c r="S33" i="23" s="1"/>
  <c r="T33" i="23" s="1"/>
  <c r="R25" i="23"/>
  <c r="S25" i="23" s="1"/>
  <c r="T25" i="23" s="1"/>
  <c r="R88" i="23"/>
  <c r="S88" i="23" s="1"/>
  <c r="T88" i="23" s="1"/>
  <c r="R79" i="23"/>
  <c r="S79" i="23" s="1"/>
  <c r="T79" i="23" s="1"/>
  <c r="R71" i="23"/>
  <c r="S71" i="23" s="1"/>
  <c r="T71" i="23" s="1"/>
  <c r="R74" i="23"/>
  <c r="S74" i="23" s="1"/>
  <c r="T74" i="23" s="1"/>
  <c r="R5" i="23"/>
  <c r="S5" i="23" s="1"/>
  <c r="T5" i="23" s="1"/>
  <c r="R4" i="23"/>
  <c r="S4" i="23" s="1"/>
  <c r="T4" i="23" s="1"/>
  <c r="R66" i="23"/>
  <c r="S66" i="23" s="1"/>
  <c r="T66" i="23" s="1"/>
  <c r="R42" i="23"/>
  <c r="S42" i="23" s="1"/>
  <c r="T42" i="23" s="1"/>
  <c r="R50" i="23"/>
  <c r="S50" i="23" s="1"/>
  <c r="T50" i="23" s="1"/>
  <c r="R32" i="23"/>
  <c r="S32" i="23" s="1"/>
  <c r="T32" i="23" s="1"/>
  <c r="R6" i="23"/>
  <c r="S6" i="23" s="1"/>
  <c r="T6" i="23" s="1"/>
  <c r="R34" i="23"/>
  <c r="S34" i="23" s="1"/>
  <c r="T34" i="23" s="1"/>
  <c r="R55" i="23"/>
  <c r="S55" i="23" s="1"/>
  <c r="T55" i="23" s="1"/>
  <c r="R40" i="23"/>
  <c r="S40" i="23" s="1"/>
  <c r="T40" i="23" s="1"/>
  <c r="R56" i="23"/>
  <c r="S56" i="23" s="1"/>
  <c r="T56" i="23" s="1"/>
  <c r="R61" i="23"/>
  <c r="S61" i="23" s="1"/>
  <c r="T61" i="23" s="1"/>
  <c r="R57" i="23"/>
  <c r="S57" i="23" s="1"/>
  <c r="T57" i="23" s="1"/>
  <c r="R52" i="23"/>
  <c r="S52" i="23" s="1"/>
  <c r="T52" i="23" s="1"/>
  <c r="R43" i="23"/>
  <c r="S43" i="23" s="1"/>
  <c r="T43" i="23" s="1"/>
  <c r="R35" i="23"/>
  <c r="S35" i="23" s="1"/>
  <c r="T35" i="23" s="1"/>
  <c r="R27" i="23"/>
  <c r="S27" i="23" s="1"/>
  <c r="T27" i="23" s="1"/>
  <c r="R26" i="23"/>
  <c r="S26" i="23" s="1"/>
  <c r="T26" i="23" s="1"/>
  <c r="R24" i="23"/>
  <c r="S24" i="23" s="1"/>
  <c r="T24" i="23" s="1"/>
  <c r="AB170" i="23"/>
  <c r="AC170" i="23" s="1"/>
  <c r="AD170" i="23" s="1"/>
  <c r="AK119" i="23"/>
  <c r="AL119" i="23" s="1"/>
  <c r="AM119" i="23" s="1"/>
  <c r="AK152" i="23"/>
  <c r="AL152" i="23" s="1"/>
  <c r="AM152" i="23" s="1"/>
  <c r="AB19" i="23"/>
  <c r="AC19" i="23" s="1"/>
  <c r="AD19" i="23" s="1"/>
  <c r="AK127" i="23"/>
  <c r="AL127" i="23" s="1"/>
  <c r="AM127" i="23" s="1"/>
  <c r="AB180" i="23"/>
  <c r="AC180" i="23" s="1"/>
  <c r="AD180" i="23" s="1"/>
  <c r="AB107" i="23"/>
  <c r="AC107" i="23" s="1"/>
  <c r="AD107" i="23" s="1"/>
  <c r="AB61" i="23"/>
  <c r="AC61" i="23" s="1"/>
  <c r="AD61" i="23" s="1"/>
  <c r="AK12" i="23"/>
  <c r="AL12" i="23" s="1"/>
  <c r="AM12" i="23" s="1"/>
  <c r="AK40" i="23"/>
  <c r="AL40" i="23" s="1"/>
  <c r="AM40" i="23" s="1"/>
  <c r="AK51" i="23"/>
  <c r="AL51" i="23" s="1"/>
  <c r="AM51" i="23" s="1"/>
  <c r="AK75" i="23"/>
  <c r="AL75" i="23" s="1"/>
  <c r="AM75" i="23" s="1"/>
  <c r="AK245" i="23"/>
  <c r="AL245" i="23" s="1"/>
  <c r="AM245" i="23" s="1"/>
  <c r="AB55" i="23"/>
  <c r="AC55" i="23" s="1"/>
  <c r="AD55" i="23" s="1"/>
  <c r="AB171" i="23"/>
  <c r="AC171" i="23" s="1"/>
  <c r="AD171" i="23" s="1"/>
  <c r="AB96" i="23"/>
  <c r="AC96" i="23" s="1"/>
  <c r="AD96" i="23" s="1"/>
  <c r="AB25" i="23"/>
  <c r="AC25" i="23" s="1"/>
  <c r="AD25" i="23" s="1"/>
  <c r="AB33" i="23"/>
  <c r="AC33" i="23" s="1"/>
  <c r="AD33" i="23" s="1"/>
  <c r="AB41" i="23"/>
  <c r="AC41" i="23" s="1"/>
  <c r="AD41" i="23" s="1"/>
  <c r="AB82" i="23"/>
  <c r="AC82" i="23" s="1"/>
  <c r="AD82" i="23" s="1"/>
  <c r="AB95" i="23"/>
  <c r="AC95" i="23" s="1"/>
  <c r="AD95" i="23" s="1"/>
  <c r="AB126" i="23"/>
  <c r="AC126" i="23" s="1"/>
  <c r="AD126" i="23" s="1"/>
  <c r="AB157" i="23"/>
  <c r="AC157" i="23" s="1"/>
  <c r="AD157" i="23" s="1"/>
  <c r="AB177" i="23"/>
  <c r="AC177" i="23" s="1"/>
  <c r="AD177" i="23" s="1"/>
  <c r="AB119" i="23"/>
  <c r="AC119" i="23" s="1"/>
  <c r="AD119" i="23" s="1"/>
  <c r="AB141" i="23"/>
  <c r="AC141" i="23" s="1"/>
  <c r="AD141" i="23" s="1"/>
  <c r="AB161" i="23"/>
  <c r="AC161" i="23" s="1"/>
  <c r="AD161" i="23" s="1"/>
  <c r="AB151" i="23"/>
  <c r="AC151" i="23" s="1"/>
  <c r="AD151" i="23" s="1"/>
  <c r="AB162" i="23"/>
  <c r="AC162" i="23" s="1"/>
  <c r="AD162" i="23" s="1"/>
  <c r="AB102" i="23"/>
  <c r="AC102" i="23" s="1"/>
  <c r="AD102" i="23" s="1"/>
  <c r="AK42" i="23"/>
  <c r="AL42" i="23" s="1"/>
  <c r="AM42" i="23" s="1"/>
  <c r="AK115" i="23"/>
  <c r="AL115" i="23" s="1"/>
  <c r="AM115" i="23" s="1"/>
  <c r="AK22" i="23"/>
  <c r="AL22" i="23" s="1"/>
  <c r="AM22" i="23" s="1"/>
  <c r="AK39" i="23"/>
  <c r="AL39" i="23" s="1"/>
  <c r="AM39" i="23" s="1"/>
  <c r="AK147" i="23"/>
  <c r="AL147" i="23" s="1"/>
  <c r="AM147" i="23" s="1"/>
  <c r="AK161" i="23"/>
  <c r="AL161" i="23" s="1"/>
  <c r="AM161" i="23" s="1"/>
  <c r="AK233" i="23"/>
  <c r="AL233" i="23" s="1"/>
  <c r="AM233" i="23" s="1"/>
  <c r="AK54" i="23"/>
  <c r="AL54" i="23" s="1"/>
  <c r="AM54" i="23" s="1"/>
  <c r="AK62" i="23"/>
  <c r="AL62" i="23" s="1"/>
  <c r="AM62" i="23" s="1"/>
  <c r="AK70" i="23"/>
  <c r="AL70" i="23" s="1"/>
  <c r="AM70" i="23" s="1"/>
  <c r="AK78" i="23"/>
  <c r="AL78" i="23" s="1"/>
  <c r="AM78" i="23" s="1"/>
  <c r="AK86" i="23"/>
  <c r="AL86" i="23" s="1"/>
  <c r="AM86" i="23" s="1"/>
  <c r="AK94" i="23"/>
  <c r="AL94" i="23" s="1"/>
  <c r="AM94" i="23" s="1"/>
  <c r="AK151" i="23"/>
  <c r="AL151" i="23" s="1"/>
  <c r="AM151" i="23" s="1"/>
  <c r="AK215" i="23"/>
  <c r="AL215" i="23" s="1"/>
  <c r="AM215" i="23" s="1"/>
  <c r="AK124" i="23"/>
  <c r="AL124" i="23" s="1"/>
  <c r="AM124" i="23" s="1"/>
  <c r="AK134" i="23"/>
  <c r="AL134" i="23" s="1"/>
  <c r="AM134" i="23" s="1"/>
  <c r="AK113" i="23"/>
  <c r="AL113" i="23" s="1"/>
  <c r="AM113" i="23" s="1"/>
  <c r="AK178" i="23"/>
  <c r="AL178" i="23" s="1"/>
  <c r="AM178" i="23" s="1"/>
  <c r="AK225" i="23"/>
  <c r="AL225" i="23" s="1"/>
  <c r="AM225" i="23" s="1"/>
  <c r="AK206" i="23"/>
  <c r="AL206" i="23" s="1"/>
  <c r="AM206" i="23" s="1"/>
  <c r="AK254" i="23"/>
  <c r="AL254" i="23" s="1"/>
  <c r="AM254" i="23" s="1"/>
  <c r="AK204" i="23"/>
  <c r="AL204" i="23" s="1"/>
  <c r="AM204" i="23" s="1"/>
  <c r="AK167" i="23"/>
  <c r="AL167" i="23" s="1"/>
  <c r="AM167" i="23" s="1"/>
  <c r="AK208" i="23"/>
  <c r="AL208" i="23" s="1"/>
  <c r="AM208" i="23" s="1"/>
  <c r="AK205" i="23"/>
  <c r="AL205" i="23" s="1"/>
  <c r="AM205" i="23" s="1"/>
  <c r="AK168" i="23"/>
  <c r="AL168" i="23" s="1"/>
  <c r="AM168" i="23" s="1"/>
  <c r="AK210" i="23"/>
  <c r="AL210" i="23" s="1"/>
  <c r="AM210" i="23" s="1"/>
  <c r="AB18" i="23"/>
  <c r="AC18" i="23" s="1"/>
  <c r="AD18" i="23" s="1"/>
  <c r="AK201" i="23"/>
  <c r="AL201" i="23" s="1"/>
  <c r="AM201" i="23" s="1"/>
  <c r="AB110" i="23"/>
  <c r="AC110" i="23" s="1"/>
  <c r="AD110" i="23" s="1"/>
  <c r="AB174" i="23"/>
  <c r="AC174" i="23" s="1"/>
  <c r="AD174" i="23" s="1"/>
  <c r="AB188" i="23"/>
  <c r="AC188" i="23" s="1"/>
  <c r="AD188" i="23" s="1"/>
  <c r="AB173" i="23"/>
  <c r="AC173" i="23" s="1"/>
  <c r="AD173" i="23" s="1"/>
  <c r="AK107" i="23"/>
  <c r="AL107" i="23" s="1"/>
  <c r="AM107" i="23" s="1"/>
  <c r="AK129" i="23"/>
  <c r="AL129" i="23" s="1"/>
  <c r="AM129" i="23" s="1"/>
  <c r="AB125" i="23"/>
  <c r="AC125" i="23" s="1"/>
  <c r="AD125" i="23" s="1"/>
  <c r="AK5" i="23"/>
  <c r="AL5" i="23" s="1"/>
  <c r="AM5" i="23" s="1"/>
  <c r="AK91" i="23"/>
  <c r="AL91" i="23" s="1"/>
  <c r="AM91" i="23" s="1"/>
  <c r="AB92" i="23"/>
  <c r="AC92" i="23" s="1"/>
  <c r="AD92" i="23" s="1"/>
  <c r="AB65" i="23"/>
  <c r="AC65" i="23" s="1"/>
  <c r="AD65" i="23" s="1"/>
  <c r="AB4" i="23"/>
  <c r="AC4" i="23" s="1"/>
  <c r="AD4" i="23" s="1"/>
  <c r="AB183" i="23"/>
  <c r="AC183" i="23" s="1"/>
  <c r="AD183" i="23" s="1"/>
  <c r="AB112" i="23"/>
  <c r="AC112" i="23" s="1"/>
  <c r="AD112" i="23" s="1"/>
  <c r="AB26" i="23"/>
  <c r="AC26" i="23" s="1"/>
  <c r="AD26" i="23" s="1"/>
  <c r="AB34" i="23"/>
  <c r="AC34" i="23" s="1"/>
  <c r="AD34" i="23" s="1"/>
  <c r="AB42" i="23"/>
  <c r="AC42" i="23" s="1"/>
  <c r="AD42" i="23" s="1"/>
  <c r="AB90" i="23"/>
  <c r="AC90" i="23" s="1"/>
  <c r="AD90" i="23" s="1"/>
  <c r="AB103" i="23"/>
  <c r="AC103" i="23" s="1"/>
  <c r="AD103" i="23" s="1"/>
  <c r="AB144" i="23"/>
  <c r="AC144" i="23" s="1"/>
  <c r="AD144" i="23" s="1"/>
  <c r="AB124" i="23"/>
  <c r="AC124" i="23" s="1"/>
  <c r="AD124" i="23" s="1"/>
  <c r="AB128" i="23"/>
  <c r="AC128" i="23" s="1"/>
  <c r="AD128" i="23" s="1"/>
  <c r="AB123" i="23"/>
  <c r="AC123" i="23" s="1"/>
  <c r="AD123" i="23" s="1"/>
  <c r="AB179" i="23"/>
  <c r="AC179" i="23" s="1"/>
  <c r="AD179" i="23" s="1"/>
  <c r="AB165" i="23"/>
  <c r="AC165" i="23" s="1"/>
  <c r="AD165" i="23" s="1"/>
  <c r="AB155" i="23"/>
  <c r="AC155" i="23" s="1"/>
  <c r="AD155" i="23" s="1"/>
  <c r="AB166" i="23"/>
  <c r="AC166" i="23" s="1"/>
  <c r="AD166" i="23" s="1"/>
  <c r="AB78" i="23"/>
  <c r="AC78" i="23" s="1"/>
  <c r="AD78" i="23" s="1"/>
  <c r="AK20" i="23"/>
  <c r="AL20" i="23" s="1"/>
  <c r="AM20" i="23" s="1"/>
  <c r="AK9" i="23"/>
  <c r="AL9" i="23" s="1"/>
  <c r="AM9" i="23" s="1"/>
  <c r="AK207" i="23"/>
  <c r="AL207" i="23" s="1"/>
  <c r="AM207" i="23" s="1"/>
  <c r="AK131" i="23"/>
  <c r="AL131" i="23" s="1"/>
  <c r="AM131" i="23" s="1"/>
  <c r="AK30" i="23"/>
  <c r="AL30" i="23" s="1"/>
  <c r="AM30" i="23" s="1"/>
  <c r="AK106" i="23"/>
  <c r="AL106" i="23" s="1"/>
  <c r="AM106" i="23" s="1"/>
  <c r="AK114" i="23"/>
  <c r="AL114" i="23" s="1"/>
  <c r="AM114" i="23" s="1"/>
  <c r="AK247" i="23"/>
  <c r="AL247" i="23" s="1"/>
  <c r="AM247" i="23" s="1"/>
  <c r="AK47" i="23"/>
  <c r="AL47" i="23" s="1"/>
  <c r="AM47" i="23" s="1"/>
  <c r="AK55" i="23"/>
  <c r="AL55" i="23" s="1"/>
  <c r="AM55" i="23" s="1"/>
  <c r="AK63" i="23"/>
  <c r="AL63" i="23" s="1"/>
  <c r="AM63" i="23" s="1"/>
  <c r="AK71" i="23"/>
  <c r="AL71" i="23" s="1"/>
  <c r="AM71" i="23" s="1"/>
  <c r="AK79" i="23"/>
  <c r="AL79" i="23" s="1"/>
  <c r="AM79" i="23" s="1"/>
  <c r="AK87" i="23"/>
  <c r="AL87" i="23" s="1"/>
  <c r="AM87" i="23" s="1"/>
  <c r="AK98" i="23"/>
  <c r="AL98" i="23" s="1"/>
  <c r="AM98" i="23" s="1"/>
  <c r="AK162" i="23"/>
  <c r="AL162" i="23" s="1"/>
  <c r="AM162" i="23" s="1"/>
  <c r="AK95" i="23"/>
  <c r="AL95" i="23" s="1"/>
  <c r="AM95" i="23" s="1"/>
  <c r="AK195" i="23"/>
  <c r="AL195" i="23" s="1"/>
  <c r="AM195" i="23" s="1"/>
  <c r="AK132" i="23"/>
  <c r="AL132" i="23" s="1"/>
  <c r="AM132" i="23" s="1"/>
  <c r="AK144" i="23"/>
  <c r="AL144" i="23" s="1"/>
  <c r="AM144" i="23" s="1"/>
  <c r="AK117" i="23"/>
  <c r="AL117" i="23" s="1"/>
  <c r="AM117" i="23" s="1"/>
  <c r="AK186" i="23"/>
  <c r="AL186" i="23" s="1"/>
  <c r="AM186" i="23" s="1"/>
  <c r="AK241" i="23"/>
  <c r="AL241" i="23" s="1"/>
  <c r="AM241" i="23" s="1"/>
  <c r="AK222" i="23"/>
  <c r="AL222" i="23" s="1"/>
  <c r="AM222" i="23" s="1"/>
  <c r="AK169" i="23"/>
  <c r="AL169" i="23" s="1"/>
  <c r="AM169" i="23" s="1"/>
  <c r="AK212" i="23"/>
  <c r="AL212" i="23" s="1"/>
  <c r="AM212" i="23" s="1"/>
  <c r="AK171" i="23"/>
  <c r="AL171" i="23" s="1"/>
  <c r="AM171" i="23" s="1"/>
  <c r="AK216" i="23"/>
  <c r="AL216" i="23" s="1"/>
  <c r="AM216" i="23" s="1"/>
  <c r="AK213" i="23"/>
  <c r="AL213" i="23" s="1"/>
  <c r="AM213" i="23" s="1"/>
  <c r="AK172" i="23"/>
  <c r="AL172" i="23" s="1"/>
  <c r="AM172" i="23" s="1"/>
  <c r="AK218" i="23"/>
  <c r="AL218" i="23" s="1"/>
  <c r="AM218" i="23" s="1"/>
  <c r="Q12" i="21"/>
  <c r="G3" i="21" l="1"/>
  <c r="G4" i="21"/>
  <c r="G5" i="21"/>
  <c r="G6" i="21"/>
  <c r="G7" i="21"/>
  <c r="G8" i="21"/>
  <c r="G9" i="21"/>
  <c r="G10" i="21"/>
  <c r="G11" i="21"/>
  <c r="G12" i="21"/>
  <c r="G13" i="21"/>
  <c r="G14" i="21"/>
  <c r="G15" i="21"/>
  <c r="G16" i="21"/>
  <c r="G17" i="21"/>
  <c r="G18" i="21"/>
  <c r="G19" i="21"/>
  <c r="G20" i="21"/>
  <c r="G21" i="21"/>
  <c r="G22" i="21"/>
  <c r="G23" i="21"/>
  <c r="G24" i="21"/>
  <c r="G25" i="21"/>
  <c r="G26" i="21"/>
  <c r="G27" i="21"/>
  <c r="A4" i="21"/>
  <c r="B4" i="21"/>
  <c r="B5" i="21" s="1"/>
  <c r="B6" i="21" s="1"/>
  <c r="B7" i="21" s="1"/>
  <c r="B8" i="21" s="1"/>
  <c r="B9" i="21" s="1"/>
  <c r="B10" i="21" s="1"/>
  <c r="B11" i="21" s="1"/>
  <c r="B12" i="21" s="1"/>
  <c r="B13" i="21" s="1"/>
  <c r="B14" i="21" s="1"/>
  <c r="B15" i="21" s="1"/>
  <c r="B16" i="21" s="1"/>
  <c r="B17" i="21" s="1"/>
  <c r="B18" i="21" s="1"/>
  <c r="B19" i="21" s="1"/>
  <c r="B20" i="21" s="1"/>
  <c r="B21" i="21" s="1"/>
  <c r="B22" i="21" s="1"/>
  <c r="B23" i="21" s="1"/>
  <c r="B24" i="21" s="1"/>
  <c r="B25" i="21" s="1"/>
  <c r="B26" i="21" s="1"/>
  <c r="B27" i="21" s="1"/>
  <c r="B30" i="21" s="1"/>
  <c r="D4" i="21"/>
  <c r="D5" i="21" s="1"/>
  <c r="D6" i="21" s="1"/>
  <c r="D7" i="21" s="1"/>
  <c r="D8" i="21" s="1"/>
  <c r="D9" i="21" s="1"/>
  <c r="D10" i="21" s="1"/>
  <c r="D11" i="21" s="1"/>
  <c r="D12" i="21" s="1"/>
  <c r="D13" i="21" s="1"/>
  <c r="D14" i="21" s="1"/>
  <c r="D15" i="21" s="1"/>
  <c r="D16" i="21" s="1"/>
  <c r="D17" i="21" s="1"/>
  <c r="D18" i="21" s="1"/>
  <c r="D19" i="21" s="1"/>
  <c r="D20" i="21" s="1"/>
  <c r="D21" i="21" s="1"/>
  <c r="D22" i="21" s="1"/>
  <c r="D23" i="21" s="1"/>
  <c r="D24" i="21" s="1"/>
  <c r="D25" i="21" s="1"/>
  <c r="D26" i="21" s="1"/>
  <c r="D27" i="21" s="1"/>
  <c r="D30" i="21" s="1"/>
  <c r="J4" i="21"/>
  <c r="J5" i="21" s="1"/>
  <c r="J6" i="21" s="1"/>
  <c r="J7" i="21" s="1"/>
  <c r="J8" i="21" s="1"/>
  <c r="J9" i="21" s="1"/>
  <c r="J10" i="21" s="1"/>
  <c r="J11" i="21" s="1"/>
  <c r="J12" i="21" s="1"/>
  <c r="J13" i="21" s="1"/>
  <c r="J14" i="21" s="1"/>
  <c r="J15" i="21" s="1"/>
  <c r="J16" i="21" s="1"/>
  <c r="J17" i="21" s="1"/>
  <c r="J18" i="21" s="1"/>
  <c r="J19" i="21" s="1"/>
  <c r="J20" i="21" s="1"/>
  <c r="J21" i="21" s="1"/>
  <c r="J22" i="21" s="1"/>
  <c r="J23" i="21" s="1"/>
  <c r="J24" i="21" s="1"/>
  <c r="J25" i="21" s="1"/>
  <c r="J26" i="21" s="1"/>
  <c r="J27" i="21" s="1"/>
  <c r="J30" i="21" s="1"/>
  <c r="L4" i="21"/>
  <c r="L5" i="21" s="1"/>
  <c r="L6" i="21" s="1"/>
  <c r="L7" i="21" s="1"/>
  <c r="L8" i="21" s="1"/>
  <c r="L9" i="21" s="1"/>
  <c r="L10" i="21" s="1"/>
  <c r="L11" i="21" s="1"/>
  <c r="L12" i="21" s="1"/>
  <c r="L13" i="21" s="1"/>
  <c r="L14" i="21" s="1"/>
  <c r="L15" i="21" s="1"/>
  <c r="L16" i="21" s="1"/>
  <c r="L17" i="21" s="1"/>
  <c r="L18" i="21" s="1"/>
  <c r="L19" i="21" s="1"/>
  <c r="L20" i="21" s="1"/>
  <c r="L21" i="21" s="1"/>
  <c r="L22" i="21" s="1"/>
  <c r="L23" i="21" s="1"/>
  <c r="L24" i="21" s="1"/>
  <c r="L25" i="21" s="1"/>
  <c r="L26" i="21" s="1"/>
  <c r="L27" i="21" s="1"/>
  <c r="L30" i="21" s="1"/>
  <c r="H33" i="21" l="1"/>
  <c r="H34" i="21" s="1"/>
  <c r="H35" i="21" s="1"/>
  <c r="O51" i="20"/>
  <c r="O50" i="20"/>
  <c r="O49" i="20"/>
  <c r="O48" i="20"/>
  <c r="O47" i="20"/>
  <c r="O46" i="20"/>
  <c r="O45" i="20"/>
  <c r="O44" i="20"/>
  <c r="O43" i="20"/>
  <c r="O42" i="20"/>
  <c r="O41" i="20"/>
  <c r="O40" i="20"/>
  <c r="O39" i="20"/>
  <c r="O38" i="20"/>
  <c r="O37" i="20"/>
  <c r="O36" i="20"/>
  <c r="O35" i="20"/>
  <c r="O34" i="20"/>
  <c r="O33" i="20"/>
  <c r="O32" i="20"/>
  <c r="O31" i="20"/>
  <c r="O30" i="20"/>
  <c r="O29" i="20"/>
  <c r="O28" i="20"/>
  <c r="O27" i="20"/>
  <c r="O26" i="20"/>
  <c r="O25" i="20"/>
  <c r="O24" i="20"/>
  <c r="O23" i="20"/>
  <c r="O22" i="20"/>
  <c r="O21" i="20"/>
  <c r="O20" i="20"/>
  <c r="O19" i="20"/>
  <c r="O18" i="20"/>
  <c r="O17" i="20"/>
  <c r="O16" i="20"/>
  <c r="O15" i="20"/>
  <c r="O14" i="20"/>
  <c r="O13" i="20"/>
  <c r="O12" i="20"/>
  <c r="O11" i="20"/>
  <c r="O10" i="20"/>
  <c r="O9" i="20"/>
  <c r="O8" i="20"/>
  <c r="O7" i="20"/>
  <c r="O6" i="20"/>
  <c r="O5" i="20"/>
  <c r="O4" i="20"/>
  <c r="O3" i="20"/>
  <c r="O2" i="20"/>
  <c r="BK33" i="19" l="1"/>
  <c r="BT3" i="19" l="1"/>
  <c r="BU3" i="19"/>
  <c r="BV3" i="19"/>
  <c r="BT10" i="19"/>
  <c r="BU10" i="19"/>
  <c r="BV10" i="19"/>
  <c r="BT14" i="19"/>
  <c r="BU14" i="19"/>
  <c r="BV14" i="19"/>
  <c r="BT20" i="19"/>
  <c r="BU20" i="19"/>
  <c r="BV20" i="19"/>
  <c r="BT33" i="19"/>
  <c r="BT30" i="19" s="1"/>
  <c r="BU33" i="19"/>
  <c r="BU7" i="19" s="1"/>
  <c r="BV33" i="19"/>
  <c r="BV30" i="19" s="1"/>
  <c r="BT35" i="19"/>
  <c r="BU35" i="19"/>
  <c r="BV35" i="19"/>
  <c r="BT49" i="19"/>
  <c r="BT48" i="19" s="1"/>
  <c r="BU49" i="19"/>
  <c r="BU48" i="19" s="1"/>
  <c r="BV49" i="19"/>
  <c r="BV48" i="19" s="1"/>
  <c r="BV52" i="19" s="1"/>
  <c r="BT57" i="19"/>
  <c r="BU57" i="19"/>
  <c r="BV57" i="19"/>
  <c r="BR3" i="19"/>
  <c r="BS3" i="19"/>
  <c r="BR10" i="19"/>
  <c r="BS10" i="19"/>
  <c r="BR14" i="19"/>
  <c r="BS14" i="19"/>
  <c r="BR20" i="19"/>
  <c r="BS20" i="19"/>
  <c r="BR33" i="19"/>
  <c r="BR30" i="19" s="1"/>
  <c r="BS33" i="19"/>
  <c r="BS30" i="19" s="1"/>
  <c r="BR35" i="19"/>
  <c r="BS35" i="19"/>
  <c r="BR49" i="19"/>
  <c r="BR48" i="19" s="1"/>
  <c r="BS49" i="19"/>
  <c r="BS48" i="19" s="1"/>
  <c r="BR57" i="19"/>
  <c r="BS57" i="19"/>
  <c r="BP3" i="19"/>
  <c r="BQ3" i="19"/>
  <c r="BP10" i="19"/>
  <c r="BQ10" i="19"/>
  <c r="BP14" i="19"/>
  <c r="BQ14" i="19"/>
  <c r="BP20" i="19"/>
  <c r="BQ20" i="19"/>
  <c r="BP33" i="19"/>
  <c r="BP30" i="19" s="1"/>
  <c r="BQ33" i="19"/>
  <c r="BQ30" i="19" s="1"/>
  <c r="BP35" i="19"/>
  <c r="BQ35" i="19"/>
  <c r="BP49" i="19"/>
  <c r="BP48" i="19" s="1"/>
  <c r="BQ49" i="19"/>
  <c r="BQ48" i="19" s="1"/>
  <c r="BP57" i="19"/>
  <c r="BQ57" i="19"/>
  <c r="BO57" i="19"/>
  <c r="BO49" i="19"/>
  <c r="BO48" i="19" s="1"/>
  <c r="BO35" i="19"/>
  <c r="BO33" i="19"/>
  <c r="BO30" i="19" s="1"/>
  <c r="BO20" i="19"/>
  <c r="BO14" i="19"/>
  <c r="BO10" i="19"/>
  <c r="BO3" i="19"/>
  <c r="BM33" i="19"/>
  <c r="BL33" i="19"/>
  <c r="BL30" i="19" s="1"/>
  <c r="BL3" i="19"/>
  <c r="BM3" i="19"/>
  <c r="BL10" i="19"/>
  <c r="BM10" i="19"/>
  <c r="BL14" i="19"/>
  <c r="BM14" i="19"/>
  <c r="BL20" i="19"/>
  <c r="BM20" i="19"/>
  <c r="BL35" i="19"/>
  <c r="BM35" i="19"/>
  <c r="BL49" i="19"/>
  <c r="BL48" i="19" s="1"/>
  <c r="BM49" i="19"/>
  <c r="BM48" i="19" s="1"/>
  <c r="BL57" i="19"/>
  <c r="BM57" i="19"/>
  <c r="BK57" i="19"/>
  <c r="BK49" i="19"/>
  <c r="BK48" i="19" s="1"/>
  <c r="BK35" i="19"/>
  <c r="BK30" i="19"/>
  <c r="BK20" i="19"/>
  <c r="BK14" i="19"/>
  <c r="BK10" i="19"/>
  <c r="BK3" i="19"/>
  <c r="BK7" i="19" s="1"/>
  <c r="J30" i="19"/>
  <c r="J49" i="19"/>
  <c r="J48" i="19" s="1"/>
  <c r="J53" i="19" s="1"/>
  <c r="L46" i="20"/>
  <c r="L6" i="20"/>
  <c r="L21" i="20"/>
  <c r="L5" i="20"/>
  <c r="L28" i="20"/>
  <c r="L17" i="20"/>
  <c r="L3" i="20"/>
  <c r="L40" i="20"/>
  <c r="L11" i="20"/>
  <c r="L20" i="20"/>
  <c r="L18" i="20"/>
  <c r="L22" i="20"/>
  <c r="L19" i="20"/>
  <c r="L31" i="20"/>
  <c r="L38" i="20"/>
  <c r="L37" i="20"/>
  <c r="L2" i="20"/>
  <c r="L45" i="20"/>
  <c r="L39" i="20"/>
  <c r="L48" i="20"/>
  <c r="L42" i="20"/>
  <c r="L12" i="20"/>
  <c r="L10" i="20"/>
  <c r="L26" i="20"/>
  <c r="L16" i="20"/>
  <c r="L8" i="20"/>
  <c r="L29" i="20"/>
  <c r="L24" i="20"/>
  <c r="L23" i="20"/>
  <c r="L7" i="20"/>
  <c r="L4" i="20"/>
  <c r="L25" i="20"/>
  <c r="L27" i="20"/>
  <c r="L32" i="20"/>
  <c r="L13" i="20"/>
  <c r="L44" i="20"/>
  <c r="L41" i="20"/>
  <c r="L35" i="20"/>
  <c r="L14" i="20"/>
  <c r="L47" i="20"/>
  <c r="L49" i="20"/>
  <c r="L51" i="20"/>
  <c r="L43" i="20"/>
  <c r="L50" i="20"/>
  <c r="L9" i="20"/>
  <c r="L33" i="20"/>
  <c r="L15" i="20"/>
  <c r="L36" i="20"/>
  <c r="L34" i="20"/>
  <c r="L30" i="20"/>
  <c r="AG57" i="19"/>
  <c r="T57" i="19"/>
  <c r="K20" i="19"/>
  <c r="BG57" i="19"/>
  <c r="BF57" i="19"/>
  <c r="BD57" i="19"/>
  <c r="BC57" i="19"/>
  <c r="BB57" i="19"/>
  <c r="BA57" i="19"/>
  <c r="AZ57" i="19"/>
  <c r="AY57" i="19"/>
  <c r="AX57" i="19"/>
  <c r="AW57" i="19"/>
  <c r="AV57" i="19"/>
  <c r="AU57" i="19"/>
  <c r="AT57" i="19"/>
  <c r="AS57" i="19"/>
  <c r="AR57" i="19"/>
  <c r="AQ57" i="19"/>
  <c r="AP57" i="19"/>
  <c r="AO57" i="19"/>
  <c r="AN57" i="19"/>
  <c r="AM57" i="19"/>
  <c r="AL57" i="19"/>
  <c r="AK57" i="19"/>
  <c r="AJ57" i="19"/>
  <c r="AH57" i="19"/>
  <c r="AF57" i="19"/>
  <c r="AE57" i="19"/>
  <c r="AD57" i="19"/>
  <c r="AC57" i="19"/>
  <c r="AB57" i="19"/>
  <c r="AA57" i="19"/>
  <c r="Z57" i="19"/>
  <c r="Y57" i="19"/>
  <c r="X57" i="19"/>
  <c r="W57" i="19"/>
  <c r="V57" i="19"/>
  <c r="U57" i="19"/>
  <c r="S57" i="19"/>
  <c r="R57" i="19"/>
  <c r="Q57" i="19"/>
  <c r="P57" i="19"/>
  <c r="O57" i="19"/>
  <c r="N57" i="19"/>
  <c r="M57" i="19"/>
  <c r="L57" i="19"/>
  <c r="K57" i="19"/>
  <c r="J57" i="19"/>
  <c r="BG49" i="19"/>
  <c r="BG48" i="19" s="1"/>
  <c r="BF49" i="19"/>
  <c r="BF48" i="19" s="1"/>
  <c r="BF53" i="19" s="1"/>
  <c r="BE49" i="19"/>
  <c r="BE48" i="19" s="1"/>
  <c r="BE53" i="19" s="1"/>
  <c r="BD49" i="19"/>
  <c r="BD48" i="19" s="1"/>
  <c r="BC49" i="19"/>
  <c r="BC48" i="19" s="1"/>
  <c r="BB49" i="19"/>
  <c r="BB48" i="19" s="1"/>
  <c r="BB53" i="19" s="1"/>
  <c r="BA49" i="19"/>
  <c r="BA48" i="19" s="1"/>
  <c r="BA53" i="19" s="1"/>
  <c r="AZ49" i="19"/>
  <c r="AZ48" i="19" s="1"/>
  <c r="AY49" i="19"/>
  <c r="AY48" i="19" s="1"/>
  <c r="AX49" i="19"/>
  <c r="AX48" i="19" s="1"/>
  <c r="AX53" i="19" s="1"/>
  <c r="AW49" i="19"/>
  <c r="AW48" i="19" s="1"/>
  <c r="AW53" i="19" s="1"/>
  <c r="AV49" i="19"/>
  <c r="AV48" i="19" s="1"/>
  <c r="AU49" i="19"/>
  <c r="AU48" i="19" s="1"/>
  <c r="AT49" i="19"/>
  <c r="AT48" i="19" s="1"/>
  <c r="AT53" i="19" s="1"/>
  <c r="AS49" i="19"/>
  <c r="AS48" i="19" s="1"/>
  <c r="AS53" i="19" s="1"/>
  <c r="AR49" i="19"/>
  <c r="AR48" i="19" s="1"/>
  <c r="AQ49" i="19"/>
  <c r="AQ48" i="19" s="1"/>
  <c r="AP49" i="19"/>
  <c r="AP48" i="19" s="1"/>
  <c r="AP53" i="19" s="1"/>
  <c r="AO49" i="19"/>
  <c r="AO48" i="19" s="1"/>
  <c r="AO53" i="19" s="1"/>
  <c r="AN49" i="19"/>
  <c r="AN48" i="19" s="1"/>
  <c r="AM49" i="19"/>
  <c r="AM48" i="19" s="1"/>
  <c r="AL49" i="19"/>
  <c r="AL48" i="19" s="1"/>
  <c r="AL53" i="19" s="1"/>
  <c r="AK49" i="19"/>
  <c r="AK48" i="19" s="1"/>
  <c r="AK53" i="19" s="1"/>
  <c r="AJ49" i="19"/>
  <c r="AJ48" i="19" s="1"/>
  <c r="AI49" i="19"/>
  <c r="AI48" i="19" s="1"/>
  <c r="AH49" i="19"/>
  <c r="AH48" i="19" s="1"/>
  <c r="AH53" i="19" s="1"/>
  <c r="AG49" i="19"/>
  <c r="AG48" i="19" s="1"/>
  <c r="AG53" i="19" s="1"/>
  <c r="AF49" i="19"/>
  <c r="AF48" i="19" s="1"/>
  <c r="AE49" i="19"/>
  <c r="AE48" i="19" s="1"/>
  <c r="AD49" i="19"/>
  <c r="AD48" i="19" s="1"/>
  <c r="AD53" i="19" s="1"/>
  <c r="AC49" i="19"/>
  <c r="AC48" i="19" s="1"/>
  <c r="AC53" i="19" s="1"/>
  <c r="AB49" i="19"/>
  <c r="AB48" i="19" s="1"/>
  <c r="AA49" i="19"/>
  <c r="AA48" i="19" s="1"/>
  <c r="Z49" i="19"/>
  <c r="Z48" i="19" s="1"/>
  <c r="Z53" i="19" s="1"/>
  <c r="Y49" i="19"/>
  <c r="Y48" i="19" s="1"/>
  <c r="Y53" i="19" s="1"/>
  <c r="X49" i="19"/>
  <c r="X48" i="19" s="1"/>
  <c r="W49" i="19"/>
  <c r="W48" i="19" s="1"/>
  <c r="V49" i="19"/>
  <c r="V48" i="19" s="1"/>
  <c r="V53" i="19" s="1"/>
  <c r="U49" i="19"/>
  <c r="U48" i="19" s="1"/>
  <c r="U53" i="19" s="1"/>
  <c r="T49" i="19"/>
  <c r="T48" i="19" s="1"/>
  <c r="S49" i="19"/>
  <c r="S48" i="19" s="1"/>
  <c r="R49" i="19"/>
  <c r="R48" i="19" s="1"/>
  <c r="R53" i="19" s="1"/>
  <c r="Q49" i="19"/>
  <c r="Q48" i="19" s="1"/>
  <c r="Q53" i="19" s="1"/>
  <c r="P49" i="19"/>
  <c r="P48" i="19" s="1"/>
  <c r="O49" i="19"/>
  <c r="O48" i="19" s="1"/>
  <c r="N49" i="19"/>
  <c r="N48" i="19" s="1"/>
  <c r="N53" i="19" s="1"/>
  <c r="M49" i="19"/>
  <c r="M48" i="19" s="1"/>
  <c r="M53" i="19" s="1"/>
  <c r="L49" i="19"/>
  <c r="L48" i="19" s="1"/>
  <c r="K49" i="19"/>
  <c r="K48" i="19" s="1"/>
  <c r="BG35" i="19"/>
  <c r="BF35" i="19"/>
  <c r="BE35" i="19"/>
  <c r="BD35" i="19"/>
  <c r="BC35" i="19"/>
  <c r="BB35" i="19"/>
  <c r="BA35" i="19"/>
  <c r="AZ35" i="19"/>
  <c r="AY35" i="19"/>
  <c r="AX35" i="19"/>
  <c r="AW35" i="19"/>
  <c r="AV35" i="19"/>
  <c r="AU35" i="19"/>
  <c r="AT35" i="19"/>
  <c r="AS35" i="19"/>
  <c r="AR35" i="19"/>
  <c r="AQ35" i="19"/>
  <c r="AP35" i="19"/>
  <c r="AO35" i="19"/>
  <c r="AN35" i="19"/>
  <c r="AM35" i="19"/>
  <c r="AL35" i="19"/>
  <c r="AK35" i="19"/>
  <c r="AJ35" i="19"/>
  <c r="AI35" i="19"/>
  <c r="AH35" i="19"/>
  <c r="AG35" i="19"/>
  <c r="AF35" i="19"/>
  <c r="AE35" i="19"/>
  <c r="AD35" i="19"/>
  <c r="AC35" i="19"/>
  <c r="AB35" i="19"/>
  <c r="AA35" i="19"/>
  <c r="Z35" i="19"/>
  <c r="Y35" i="19"/>
  <c r="X35" i="19"/>
  <c r="W35" i="19"/>
  <c r="V35" i="19"/>
  <c r="U35" i="19"/>
  <c r="T35" i="19"/>
  <c r="S35" i="19"/>
  <c r="R35" i="19"/>
  <c r="Q35" i="19"/>
  <c r="P35" i="19"/>
  <c r="O35" i="19"/>
  <c r="N35" i="19"/>
  <c r="M35" i="19"/>
  <c r="L35" i="19"/>
  <c r="K35" i="19"/>
  <c r="J35" i="19"/>
  <c r="BG30" i="19"/>
  <c r="BF30" i="19"/>
  <c r="BD30" i="19"/>
  <c r="BC30" i="19"/>
  <c r="BB30" i="19"/>
  <c r="BA30" i="19"/>
  <c r="AZ30" i="19"/>
  <c r="AY30" i="19"/>
  <c r="AX30" i="19"/>
  <c r="AW30" i="19"/>
  <c r="AV30" i="19"/>
  <c r="AU30" i="19"/>
  <c r="AT30" i="19"/>
  <c r="AS30" i="19"/>
  <c r="AR30" i="19"/>
  <c r="AQ30" i="19"/>
  <c r="AP30" i="19"/>
  <c r="AO30" i="19"/>
  <c r="AN30" i="19"/>
  <c r="AM30" i="19"/>
  <c r="AL30" i="19"/>
  <c r="AK30" i="19"/>
  <c r="AJ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BG20" i="19"/>
  <c r="BF20" i="19"/>
  <c r="BE20" i="19"/>
  <c r="BD20" i="19"/>
  <c r="BC20" i="19"/>
  <c r="BB20" i="19"/>
  <c r="BA20" i="19"/>
  <c r="AZ20" i="19"/>
  <c r="AY20" i="19"/>
  <c r="AX20" i="19"/>
  <c r="AW20" i="19"/>
  <c r="AV20" i="19"/>
  <c r="AU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J20" i="19"/>
  <c r="BG14" i="19"/>
  <c r="BF14" i="19"/>
  <c r="BE14" i="19"/>
  <c r="BD14" i="19"/>
  <c r="BC14" i="19"/>
  <c r="BB14" i="19"/>
  <c r="BA14" i="19"/>
  <c r="AZ14" i="19"/>
  <c r="AY14" i="19"/>
  <c r="AX14" i="19"/>
  <c r="AW14" i="19"/>
  <c r="AV14" i="19"/>
  <c r="AU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BG10" i="19"/>
  <c r="BF10" i="19"/>
  <c r="BE10" i="19"/>
  <c r="BD10" i="19"/>
  <c r="BC10" i="19"/>
  <c r="BB10" i="19"/>
  <c r="BA10" i="19"/>
  <c r="AZ10" i="19"/>
  <c r="AY10" i="19"/>
  <c r="AX10" i="19"/>
  <c r="AW10" i="19"/>
  <c r="AV10" i="19"/>
  <c r="AU10" i="19"/>
  <c r="AT10" i="19"/>
  <c r="AS10" i="19"/>
  <c r="AR10" i="19"/>
  <c r="AQ10" i="19"/>
  <c r="AP10" i="19"/>
  <c r="AO10" i="19"/>
  <c r="AN10" i="19"/>
  <c r="AM10" i="19"/>
  <c r="AL10" i="19"/>
  <c r="AK10" i="19"/>
  <c r="AJ10" i="19"/>
  <c r="AI10" i="19"/>
  <c r="AH10" i="19"/>
  <c r="AG10" i="19"/>
  <c r="AF10" i="19"/>
  <c r="AE10" i="19"/>
  <c r="AD10" i="19"/>
  <c r="AC10" i="19"/>
  <c r="AB10" i="19"/>
  <c r="AA10" i="19"/>
  <c r="Z10" i="19"/>
  <c r="Y10" i="19"/>
  <c r="X10" i="19"/>
  <c r="W10" i="19"/>
  <c r="V10" i="19"/>
  <c r="U10" i="19"/>
  <c r="T10" i="19"/>
  <c r="S10" i="19"/>
  <c r="R10" i="19"/>
  <c r="Q10" i="19"/>
  <c r="P10" i="19"/>
  <c r="O10" i="19"/>
  <c r="N10" i="19"/>
  <c r="M10" i="19"/>
  <c r="L10" i="19"/>
  <c r="K10" i="19"/>
  <c r="J10" i="19"/>
  <c r="BG3" i="19"/>
  <c r="BG7" i="19" s="1"/>
  <c r="BG26" i="19" s="1"/>
  <c r="BF3" i="19"/>
  <c r="BE3" i="19"/>
  <c r="BD3" i="19"/>
  <c r="BD7" i="19" s="1"/>
  <c r="BD26" i="19" s="1"/>
  <c r="BC3" i="19"/>
  <c r="BC7" i="19" s="1"/>
  <c r="BC26" i="19" s="1"/>
  <c r="BB3" i="19"/>
  <c r="BA3" i="19"/>
  <c r="AZ3" i="19"/>
  <c r="AZ7" i="19" s="1"/>
  <c r="AZ26" i="19" s="1"/>
  <c r="AY3" i="19"/>
  <c r="AY7" i="19" s="1"/>
  <c r="AY26" i="19" s="1"/>
  <c r="AX3" i="19"/>
  <c r="AW3" i="19"/>
  <c r="AV3" i="19"/>
  <c r="AV7" i="19" s="1"/>
  <c r="AV26" i="19" s="1"/>
  <c r="AU3" i="19"/>
  <c r="AU7" i="19" s="1"/>
  <c r="AU8" i="19" s="1"/>
  <c r="AT3" i="19"/>
  <c r="AS3" i="19"/>
  <c r="AR3" i="19"/>
  <c r="AR7" i="19" s="1"/>
  <c r="AR26" i="19" s="1"/>
  <c r="AQ3" i="19"/>
  <c r="AQ7" i="19" s="1"/>
  <c r="AQ8" i="19" s="1"/>
  <c r="AP3" i="19"/>
  <c r="AO3" i="19"/>
  <c r="AN3" i="19"/>
  <c r="AN7" i="19" s="1"/>
  <c r="AN26" i="19" s="1"/>
  <c r="AM3" i="19"/>
  <c r="AM7" i="19" s="1"/>
  <c r="AM26" i="19" s="1"/>
  <c r="AL3" i="19"/>
  <c r="AK3" i="19"/>
  <c r="AJ3" i="19"/>
  <c r="AJ7" i="19" s="1"/>
  <c r="AJ26" i="19" s="1"/>
  <c r="AI3" i="19"/>
  <c r="AI7" i="19" s="1"/>
  <c r="AH3" i="19"/>
  <c r="AG3" i="19"/>
  <c r="AF3" i="19"/>
  <c r="AF7" i="19" s="1"/>
  <c r="AF26" i="19" s="1"/>
  <c r="AE3" i="19"/>
  <c r="AE7" i="19" s="1"/>
  <c r="AE8" i="19" s="1"/>
  <c r="AD3" i="19"/>
  <c r="AC3" i="19"/>
  <c r="AB3" i="19"/>
  <c r="AB7" i="19" s="1"/>
  <c r="AB26" i="19" s="1"/>
  <c r="AA3" i="19"/>
  <c r="AA7" i="19" s="1"/>
  <c r="AA8" i="19" s="1"/>
  <c r="Z3" i="19"/>
  <c r="Y3" i="19"/>
  <c r="X3" i="19"/>
  <c r="X7" i="19" s="1"/>
  <c r="X26" i="19" s="1"/>
  <c r="W3" i="19"/>
  <c r="W7" i="19" s="1"/>
  <c r="W26" i="19" s="1"/>
  <c r="V3" i="19"/>
  <c r="U3" i="19"/>
  <c r="T3" i="19"/>
  <c r="T7" i="19" s="1"/>
  <c r="T26" i="19" s="1"/>
  <c r="S3" i="19"/>
  <c r="S7" i="19" s="1"/>
  <c r="S26" i="19" s="1"/>
  <c r="R3" i="19"/>
  <c r="Q3" i="19"/>
  <c r="P3" i="19"/>
  <c r="P7" i="19" s="1"/>
  <c r="P26" i="19" s="1"/>
  <c r="O3" i="19"/>
  <c r="O7" i="19" s="1"/>
  <c r="O8" i="19" s="1"/>
  <c r="N3" i="19"/>
  <c r="M3" i="19"/>
  <c r="L3" i="19"/>
  <c r="L7" i="19" s="1"/>
  <c r="L8" i="19" s="1"/>
  <c r="K3" i="19"/>
  <c r="K7" i="19" s="1"/>
  <c r="K8" i="19" s="1"/>
  <c r="J3" i="19"/>
  <c r="Z6" i="4"/>
  <c r="Z7" i="4"/>
  <c r="Z8" i="4"/>
  <c r="Z9" i="4"/>
  <c r="Z10" i="4"/>
  <c r="Z11" i="4"/>
  <c r="Z12" i="4"/>
  <c r="Z13" i="4"/>
  <c r="Z14" i="4"/>
  <c r="Z15" i="4"/>
  <c r="Z16" i="4"/>
  <c r="Z17" i="4"/>
  <c r="Z18" i="4"/>
  <c r="Z19" i="4"/>
  <c r="Z20" i="4"/>
  <c r="Z21" i="4"/>
  <c r="Z22" i="4"/>
  <c r="Z23" i="4"/>
  <c r="Z24"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 i="4"/>
  <c r="BO45" i="19" l="1"/>
  <c r="BO36" i="19" s="1"/>
  <c r="BU53" i="19"/>
  <c r="BU52" i="19"/>
  <c r="BM7" i="19"/>
  <c r="BV62" i="19"/>
  <c r="BV68" i="19" s="1"/>
  <c r="BU45" i="19"/>
  <c r="BU36" i="19" s="1"/>
  <c r="BQ45" i="19"/>
  <c r="BQ36" i="19" s="1"/>
  <c r="BQ24" i="19" s="1"/>
  <c r="BS45" i="19"/>
  <c r="BS36" i="19" s="1"/>
  <c r="BS63" i="19" s="1"/>
  <c r="BV53" i="19"/>
  <c r="BU50" i="19"/>
  <c r="BR45" i="19"/>
  <c r="BR36" i="19" s="1"/>
  <c r="BR63" i="19" s="1"/>
  <c r="BO7" i="19"/>
  <c r="BO8" i="19" s="1"/>
  <c r="BV7" i="19"/>
  <c r="BV50" i="19"/>
  <c r="BV45" i="19"/>
  <c r="BV36" i="19" s="1"/>
  <c r="BV63" i="19" s="1"/>
  <c r="BU30" i="19"/>
  <c r="BT45" i="19"/>
  <c r="BT36" i="19" s="1"/>
  <c r="BT39" i="19" s="1"/>
  <c r="BT53" i="19"/>
  <c r="BT52" i="19"/>
  <c r="BT50" i="19"/>
  <c r="BU26" i="19"/>
  <c r="BU8" i="19"/>
  <c r="BV8" i="19"/>
  <c r="BV26" i="19"/>
  <c r="BT7" i="19"/>
  <c r="BT62" i="19"/>
  <c r="BP45" i="19"/>
  <c r="BP36" i="19" s="1"/>
  <c r="BP60" i="19" s="1"/>
  <c r="BQ7" i="19"/>
  <c r="BQ8" i="19" s="1"/>
  <c r="BP7" i="19"/>
  <c r="BP26" i="19" s="1"/>
  <c r="BO50" i="19"/>
  <c r="BS24" i="19"/>
  <c r="BS39" i="19"/>
  <c r="BS40" i="19" s="1"/>
  <c r="BS58" i="19" s="1"/>
  <c r="BR24" i="19"/>
  <c r="BS50" i="19"/>
  <c r="BS53" i="19"/>
  <c r="BS52" i="19"/>
  <c r="BS62" i="19"/>
  <c r="BR50" i="19"/>
  <c r="BR53" i="19"/>
  <c r="BR52" i="19"/>
  <c r="BR62" i="19"/>
  <c r="BS7" i="19"/>
  <c r="BR7" i="19"/>
  <c r="BQ50" i="19"/>
  <c r="BQ53" i="19"/>
  <c r="BQ52" i="19"/>
  <c r="BQ62" i="19"/>
  <c r="BP50" i="19"/>
  <c r="BP53" i="19"/>
  <c r="BP52" i="19"/>
  <c r="BP62" i="19"/>
  <c r="BO24" i="19"/>
  <c r="BO60" i="19"/>
  <c r="BO63" i="19"/>
  <c r="BO39" i="19"/>
  <c r="BO40" i="19" s="1"/>
  <c r="BO58" i="19" s="1"/>
  <c r="BO65" i="19"/>
  <c r="BO52" i="19"/>
  <c r="BO62" i="19"/>
  <c r="BO53" i="19"/>
  <c r="BL45" i="19"/>
  <c r="BL36" i="19" s="1"/>
  <c r="BL24" i="19" s="1"/>
  <c r="M52" i="19"/>
  <c r="Y52" i="19"/>
  <c r="BM45" i="19"/>
  <c r="BM36" i="19" s="1"/>
  <c r="BM60" i="19" s="1"/>
  <c r="BM52" i="19"/>
  <c r="BM50" i="19"/>
  <c r="BM53" i="19"/>
  <c r="BM26" i="19"/>
  <c r="BM8" i="19"/>
  <c r="BL50" i="19"/>
  <c r="BL53" i="19"/>
  <c r="BL52" i="19"/>
  <c r="BL62" i="19"/>
  <c r="BL7" i="19"/>
  <c r="BM30" i="19"/>
  <c r="U52" i="19"/>
  <c r="J52" i="19"/>
  <c r="J45" i="19"/>
  <c r="J36" i="19" s="1"/>
  <c r="J65" i="19" s="1"/>
  <c r="BK52" i="19"/>
  <c r="Q52" i="19"/>
  <c r="AC52" i="19"/>
  <c r="AG52" i="19"/>
  <c r="BK62" i="19"/>
  <c r="BK68" i="19" s="1"/>
  <c r="BK45" i="19"/>
  <c r="BK36" i="19" s="1"/>
  <c r="BK63" i="19" s="1"/>
  <c r="BK50" i="19"/>
  <c r="BK8" i="19"/>
  <c r="BK26" i="19"/>
  <c r="BK53" i="19"/>
  <c r="K45" i="19"/>
  <c r="N52" i="19"/>
  <c r="R52" i="19"/>
  <c r="V52" i="19"/>
  <c r="Z52" i="19"/>
  <c r="AD52" i="19"/>
  <c r="AH52" i="19"/>
  <c r="AL52" i="19"/>
  <c r="AP52" i="19"/>
  <c r="AT52" i="19"/>
  <c r="AX52" i="19"/>
  <c r="BB52" i="19"/>
  <c r="BF52" i="19"/>
  <c r="AI26" i="19"/>
  <c r="AK45" i="19"/>
  <c r="AK36" i="19" s="1"/>
  <c r="AK52" i="19"/>
  <c r="AO45" i="19"/>
  <c r="AO36" i="19" s="1"/>
  <c r="AO65" i="19" s="1"/>
  <c r="AO52" i="19"/>
  <c r="AS45" i="19"/>
  <c r="AS36" i="19" s="1"/>
  <c r="AS65" i="19" s="1"/>
  <c r="AS52" i="19"/>
  <c r="AW45" i="19"/>
  <c r="AW36" i="19" s="1"/>
  <c r="AW65" i="19" s="1"/>
  <c r="AW52" i="19"/>
  <c r="BA45" i="19"/>
  <c r="BA36" i="19" s="1"/>
  <c r="BA52" i="19"/>
  <c r="BE45" i="19"/>
  <c r="BE52" i="19"/>
  <c r="K26" i="19"/>
  <c r="O26" i="19"/>
  <c r="AE26" i="19"/>
  <c r="AU26" i="19"/>
  <c r="R45" i="19"/>
  <c r="R36" i="19" s="1"/>
  <c r="Z45" i="19"/>
  <c r="Z36" i="19" s="1"/>
  <c r="Z65" i="19" s="1"/>
  <c r="AH45" i="19"/>
  <c r="AH36" i="19" s="1"/>
  <c r="AX45" i="19"/>
  <c r="AX36" i="19" s="1"/>
  <c r="L26" i="19"/>
  <c r="AA26" i="19"/>
  <c r="AQ26" i="19"/>
  <c r="M45" i="19"/>
  <c r="M36" i="19" s="1"/>
  <c r="M65" i="19" s="1"/>
  <c r="U45" i="19"/>
  <c r="U36" i="19" s="1"/>
  <c r="AC45" i="19"/>
  <c r="AC36" i="19" s="1"/>
  <c r="AC65" i="19" s="1"/>
  <c r="AL45" i="19"/>
  <c r="AL36" i="19" s="1"/>
  <c r="BB45" i="19"/>
  <c r="BB36" i="19" s="1"/>
  <c r="K53" i="19"/>
  <c r="K50" i="19"/>
  <c r="O53" i="19"/>
  <c r="O50" i="19"/>
  <c r="S53" i="19"/>
  <c r="S50" i="19"/>
  <c r="W50" i="19"/>
  <c r="W53" i="19"/>
  <c r="AA53" i="19"/>
  <c r="AA50" i="19"/>
  <c r="AE53" i="19"/>
  <c r="AE50" i="19"/>
  <c r="AI53" i="19"/>
  <c r="AI50" i="19"/>
  <c r="AM50" i="19"/>
  <c r="AM53" i="19"/>
  <c r="AQ53" i="19"/>
  <c r="AQ50" i="19"/>
  <c r="AU53" i="19"/>
  <c r="AU50" i="19"/>
  <c r="AY53" i="19"/>
  <c r="AY50" i="19"/>
  <c r="BC50" i="19"/>
  <c r="BC53" i="19"/>
  <c r="BG53" i="19"/>
  <c r="BG50" i="19"/>
  <c r="M7" i="19"/>
  <c r="Q7" i="19"/>
  <c r="U7" i="19"/>
  <c r="Y7" i="19"/>
  <c r="AC7" i="19"/>
  <c r="AG7" i="19"/>
  <c r="AK7" i="19"/>
  <c r="AO7" i="19"/>
  <c r="AS7" i="19"/>
  <c r="AW7" i="19"/>
  <c r="BA7" i="19"/>
  <c r="BE7" i="19"/>
  <c r="S8" i="19"/>
  <c r="W8" i="19"/>
  <c r="AI8" i="19"/>
  <c r="AM8" i="19"/>
  <c r="AY8" i="19"/>
  <c r="BC8" i="19"/>
  <c r="BG8" i="19"/>
  <c r="K52" i="19"/>
  <c r="K36" i="19"/>
  <c r="K65" i="19" s="1"/>
  <c r="O52" i="19"/>
  <c r="O45" i="19"/>
  <c r="O36" i="19" s="1"/>
  <c r="S52" i="19"/>
  <c r="S45" i="19"/>
  <c r="S36" i="19" s="1"/>
  <c r="S65" i="19" s="1"/>
  <c r="W52" i="19"/>
  <c r="W45" i="19"/>
  <c r="W36" i="19" s="1"/>
  <c r="W65" i="19" s="1"/>
  <c r="AA52" i="19"/>
  <c r="AA45" i="19"/>
  <c r="AA36" i="19" s="1"/>
  <c r="AA65" i="19" s="1"/>
  <c r="AE52" i="19"/>
  <c r="AE45" i="19"/>
  <c r="AE36" i="19" s="1"/>
  <c r="AE65" i="19" s="1"/>
  <c r="AI52" i="19"/>
  <c r="AI45" i="19"/>
  <c r="AI36" i="19" s="1"/>
  <c r="AM52" i="19"/>
  <c r="AM45" i="19"/>
  <c r="AM36" i="19" s="1"/>
  <c r="AQ52" i="19"/>
  <c r="AQ45" i="19"/>
  <c r="AQ36" i="19" s="1"/>
  <c r="AQ65" i="19" s="1"/>
  <c r="AU52" i="19"/>
  <c r="AU45" i="19"/>
  <c r="AU36" i="19" s="1"/>
  <c r="AU65" i="19" s="1"/>
  <c r="AY52" i="19"/>
  <c r="AY45" i="19"/>
  <c r="AY36" i="19" s="1"/>
  <c r="AY65" i="19" s="1"/>
  <c r="BC52" i="19"/>
  <c r="BC45" i="19"/>
  <c r="BC36" i="19" s="1"/>
  <c r="BG52" i="19"/>
  <c r="BG45" i="19"/>
  <c r="BG36" i="19" s="1"/>
  <c r="BG65" i="19" s="1"/>
  <c r="M62" i="19"/>
  <c r="Q62" i="19"/>
  <c r="U62" i="19"/>
  <c r="Y62" i="19"/>
  <c r="AC62" i="19"/>
  <c r="AG62" i="19"/>
  <c r="AK62" i="19"/>
  <c r="AO62" i="19"/>
  <c r="AS62" i="19"/>
  <c r="AW62" i="19"/>
  <c r="BA62" i="19"/>
  <c r="BE36" i="19"/>
  <c r="N45" i="19"/>
  <c r="N36" i="19" s="1"/>
  <c r="N65" i="19" s="1"/>
  <c r="V45" i="19"/>
  <c r="AD45" i="19"/>
  <c r="AD36" i="19" s="1"/>
  <c r="AD65" i="19" s="1"/>
  <c r="AP45" i="19"/>
  <c r="AP36" i="19" s="1"/>
  <c r="AP65" i="19" s="1"/>
  <c r="BF45" i="19"/>
  <c r="BF36" i="19" s="1"/>
  <c r="BF65" i="19" s="1"/>
  <c r="L50" i="19"/>
  <c r="L53" i="19"/>
  <c r="P53" i="19"/>
  <c r="P50" i="19"/>
  <c r="T53" i="19"/>
  <c r="T50" i="19"/>
  <c r="X50" i="19"/>
  <c r="X53" i="19"/>
  <c r="AB50" i="19"/>
  <c r="AB53" i="19"/>
  <c r="AF53" i="19"/>
  <c r="AF50" i="19"/>
  <c r="AJ53" i="19"/>
  <c r="AJ50" i="19"/>
  <c r="AN50" i="19"/>
  <c r="AN53" i="19"/>
  <c r="AR50" i="19"/>
  <c r="AR53" i="19"/>
  <c r="AV53" i="19"/>
  <c r="AV50" i="19"/>
  <c r="AZ53" i="19"/>
  <c r="AZ50" i="19"/>
  <c r="BD50" i="19"/>
  <c r="BD53" i="19"/>
  <c r="J7" i="19"/>
  <c r="N7" i="19"/>
  <c r="R7" i="19"/>
  <c r="V7" i="19"/>
  <c r="Z7" i="19"/>
  <c r="AD7" i="19"/>
  <c r="AH7" i="19"/>
  <c r="AL7" i="19"/>
  <c r="AP7" i="19"/>
  <c r="AT7" i="19"/>
  <c r="AX7" i="19"/>
  <c r="BB7" i="19"/>
  <c r="BF7" i="19"/>
  <c r="P8" i="19"/>
  <c r="T8" i="19"/>
  <c r="X8" i="19"/>
  <c r="AB8" i="19"/>
  <c r="AF8" i="19"/>
  <c r="AJ8" i="19"/>
  <c r="AN8" i="19"/>
  <c r="AR8" i="19"/>
  <c r="AV8" i="19"/>
  <c r="AZ8" i="19"/>
  <c r="BD8" i="19"/>
  <c r="L45" i="19"/>
  <c r="L36" i="19" s="1"/>
  <c r="L65" i="19" s="1"/>
  <c r="L52" i="19"/>
  <c r="P45" i="19"/>
  <c r="P36" i="19" s="1"/>
  <c r="P65" i="19" s="1"/>
  <c r="P52" i="19"/>
  <c r="T45" i="19"/>
  <c r="T36" i="19" s="1"/>
  <c r="T52" i="19"/>
  <c r="X45" i="19"/>
  <c r="X36" i="19" s="1"/>
  <c r="X52" i="19"/>
  <c r="AB45" i="19"/>
  <c r="AB36" i="19" s="1"/>
  <c r="AB52" i="19"/>
  <c r="AF45" i="19"/>
  <c r="AF36" i="19" s="1"/>
  <c r="AF65" i="19" s="1"/>
  <c r="AF52" i="19"/>
  <c r="AJ45" i="19"/>
  <c r="AJ36" i="19" s="1"/>
  <c r="AJ65" i="19" s="1"/>
  <c r="AJ52" i="19"/>
  <c r="AN45" i="19"/>
  <c r="AN36" i="19" s="1"/>
  <c r="AN65" i="19" s="1"/>
  <c r="AN52" i="19"/>
  <c r="AR45" i="19"/>
  <c r="AR36" i="19" s="1"/>
  <c r="AR52" i="19"/>
  <c r="AV45" i="19"/>
  <c r="AV36" i="19" s="1"/>
  <c r="AV65" i="19" s="1"/>
  <c r="AV52" i="19"/>
  <c r="AZ45" i="19"/>
  <c r="AZ36" i="19" s="1"/>
  <c r="AZ65" i="19" s="1"/>
  <c r="AZ52" i="19"/>
  <c r="BD52" i="19"/>
  <c r="BD45" i="19"/>
  <c r="BD36" i="19" s="1"/>
  <c r="BD65" i="19" s="1"/>
  <c r="J62" i="19"/>
  <c r="N62" i="19"/>
  <c r="R62" i="19"/>
  <c r="V62" i="19"/>
  <c r="V36" i="19"/>
  <c r="Z62" i="19"/>
  <c r="AD62" i="19"/>
  <c r="AH62" i="19"/>
  <c r="AL62" i="19"/>
  <c r="AP62" i="19"/>
  <c r="AT62" i="19"/>
  <c r="AX62" i="19"/>
  <c r="BB62" i="19"/>
  <c r="BF62" i="19"/>
  <c r="Q45" i="19"/>
  <c r="Y45" i="19"/>
  <c r="AG45" i="19"/>
  <c r="AT45" i="19"/>
  <c r="J50" i="19"/>
  <c r="N50" i="19"/>
  <c r="R50" i="19"/>
  <c r="V50" i="19"/>
  <c r="Z50" i="19"/>
  <c r="AD50" i="19"/>
  <c r="AH50" i="19"/>
  <c r="AL50" i="19"/>
  <c r="AP50" i="19"/>
  <c r="AT50" i="19"/>
  <c r="AX50" i="19"/>
  <c r="BB50" i="19"/>
  <c r="BF50" i="19"/>
  <c r="X62" i="19"/>
  <c r="K62" i="19"/>
  <c r="O62" i="19"/>
  <c r="W62" i="19"/>
  <c r="AA62" i="19"/>
  <c r="AE62" i="19"/>
  <c r="AM65" i="19"/>
  <c r="AM62" i="19"/>
  <c r="AQ62" i="19"/>
  <c r="AU62" i="19"/>
  <c r="BC65" i="19"/>
  <c r="BC62" i="19"/>
  <c r="AY62" i="19"/>
  <c r="L62" i="19"/>
  <c r="P62" i="19"/>
  <c r="T65" i="19"/>
  <c r="T62" i="19"/>
  <c r="AB62" i="19"/>
  <c r="AB65" i="19"/>
  <c r="AF62" i="19"/>
  <c r="AJ62" i="19"/>
  <c r="AR62" i="19"/>
  <c r="AR65" i="19"/>
  <c r="AV62" i="19"/>
  <c r="AZ62" i="19"/>
  <c r="BD62" i="19"/>
  <c r="BG62" i="19"/>
  <c r="M50" i="19"/>
  <c r="Q50" i="19"/>
  <c r="U50" i="19"/>
  <c r="Y50" i="19"/>
  <c r="AC50" i="19"/>
  <c r="AG50" i="19"/>
  <c r="AK50" i="19"/>
  <c r="AO50" i="19"/>
  <c r="AS50" i="19"/>
  <c r="AW50" i="19"/>
  <c r="BA50" i="19"/>
  <c r="BE50" i="19"/>
  <c r="S62" i="19"/>
  <c r="AN62" i="19"/>
  <c r="BP24" i="19" l="1"/>
  <c r="BP8" i="19"/>
  <c r="BR65" i="19"/>
  <c r="BR39" i="19"/>
  <c r="BR40" i="19" s="1"/>
  <c r="BR58" i="19" s="1"/>
  <c r="O65" i="19"/>
  <c r="O39" i="19"/>
  <c r="BQ39" i="19"/>
  <c r="BQ40" i="19" s="1"/>
  <c r="BO26" i="19"/>
  <c r="BQ63" i="19"/>
  <c r="BQ67" i="19" s="1"/>
  <c r="BQ65" i="19"/>
  <c r="BS65" i="19"/>
  <c r="BR60" i="19"/>
  <c r="BS60" i="19"/>
  <c r="BS61" i="19" s="1"/>
  <c r="BQ60" i="19"/>
  <c r="BU54" i="19"/>
  <c r="BU55" i="19" s="1"/>
  <c r="BV54" i="19"/>
  <c r="BV55" i="19" s="1"/>
  <c r="BU24" i="19"/>
  <c r="BU39" i="19"/>
  <c r="BU40" i="19" s="1"/>
  <c r="BU58" i="19" s="1"/>
  <c r="BU73" i="19" s="1"/>
  <c r="BU46" i="19" s="1"/>
  <c r="BU62" i="19"/>
  <c r="BU68" i="19" s="1"/>
  <c r="BQ26" i="19"/>
  <c r="BU60" i="19"/>
  <c r="BU61" i="19" s="1"/>
  <c r="BT54" i="19"/>
  <c r="BT55" i="19" s="1"/>
  <c r="BU63" i="19"/>
  <c r="BV65" i="19"/>
  <c r="BV39" i="19"/>
  <c r="BV40" i="19" s="1"/>
  <c r="BV60" i="19"/>
  <c r="BV24" i="19"/>
  <c r="BU65" i="19"/>
  <c r="BU66" i="19" s="1"/>
  <c r="BT65" i="19"/>
  <c r="BT63" i="19"/>
  <c r="BT24" i="19"/>
  <c r="BT60" i="19"/>
  <c r="BT68" i="19"/>
  <c r="BT26" i="19"/>
  <c r="BT8" i="19"/>
  <c r="BQ54" i="19"/>
  <c r="BQ55" i="19" s="1"/>
  <c r="BP63" i="19"/>
  <c r="BP67" i="19" s="1"/>
  <c r="BP65" i="19"/>
  <c r="BP39" i="19"/>
  <c r="BP40" i="19" s="1"/>
  <c r="BP61" i="19" s="1"/>
  <c r="BO54" i="19"/>
  <c r="BO55" i="19" s="1"/>
  <c r="BO73" i="19"/>
  <c r="BO46" i="19" s="1"/>
  <c r="BR54" i="19"/>
  <c r="BR55" i="19" s="1"/>
  <c r="BS64" i="19"/>
  <c r="BS68" i="19"/>
  <c r="BS8" i="19"/>
  <c r="BS26" i="19"/>
  <c r="BS69" i="19"/>
  <c r="BS66" i="19"/>
  <c r="BS73" i="19"/>
  <c r="BS46" i="19" s="1"/>
  <c r="BR69" i="19"/>
  <c r="BR66" i="19"/>
  <c r="BR64" i="19"/>
  <c r="BR68" i="19"/>
  <c r="BR61" i="19"/>
  <c r="BR67" i="19"/>
  <c r="BR8" i="19"/>
  <c r="BR26" i="19"/>
  <c r="BR73" i="19"/>
  <c r="BS54" i="19"/>
  <c r="BS55" i="19" s="1"/>
  <c r="BQ58" i="19"/>
  <c r="BQ73" i="19" s="1"/>
  <c r="BQ46" i="19" s="1"/>
  <c r="BQ61" i="19"/>
  <c r="BP54" i="19"/>
  <c r="BP55" i="19" s="1"/>
  <c r="BQ66" i="19"/>
  <c r="BP68" i="19"/>
  <c r="BQ64" i="19"/>
  <c r="BQ68" i="19"/>
  <c r="BO68" i="19"/>
  <c r="BO64" i="19"/>
  <c r="BO61" i="19"/>
  <c r="BO67" i="19"/>
  <c r="BO69" i="19"/>
  <c r="BO66" i="19"/>
  <c r="BL60" i="19"/>
  <c r="BL63" i="19"/>
  <c r="BK60" i="19"/>
  <c r="BK67" i="19" s="1"/>
  <c r="BK65" i="19"/>
  <c r="BK39" i="19"/>
  <c r="BK40" i="19" s="1"/>
  <c r="BK64" i="19" s="1"/>
  <c r="BM63" i="19"/>
  <c r="BM67" i="19" s="1"/>
  <c r="BM39" i="19"/>
  <c r="BM40" i="19" s="1"/>
  <c r="BM58" i="19" s="1"/>
  <c r="BM73" i="19" s="1"/>
  <c r="BM46" i="19" s="1"/>
  <c r="BL65" i="19"/>
  <c r="BL39" i="19"/>
  <c r="BL40" i="19" s="1"/>
  <c r="BL58" i="19" s="1"/>
  <c r="BL73" i="19" s="1"/>
  <c r="BM24" i="19"/>
  <c r="BM62" i="19"/>
  <c r="BM65" i="19"/>
  <c r="BM54" i="19"/>
  <c r="BM55" i="19" s="1"/>
  <c r="BL8" i="19"/>
  <c r="BL26" i="19"/>
  <c r="BL54" i="19"/>
  <c r="BL55" i="19" s="1"/>
  <c r="BL68" i="19"/>
  <c r="AU54" i="19"/>
  <c r="AU55" i="19" s="1"/>
  <c r="AM54" i="19"/>
  <c r="AM55" i="19" s="1"/>
  <c r="BK24" i="19"/>
  <c r="BK54" i="19"/>
  <c r="BK55" i="19" s="1"/>
  <c r="BC54" i="19"/>
  <c r="BC55" i="19" s="1"/>
  <c r="BB54" i="19"/>
  <c r="BB55" i="19" s="1"/>
  <c r="AX54" i="19"/>
  <c r="AX55" i="19" s="1"/>
  <c r="AT54" i="19"/>
  <c r="AT55" i="19" s="1"/>
  <c r="AH54" i="19"/>
  <c r="AH55" i="19" s="1"/>
  <c r="AE54" i="19"/>
  <c r="AE55" i="19" s="1"/>
  <c r="W54" i="19"/>
  <c r="W55" i="19" s="1"/>
  <c r="U54" i="19"/>
  <c r="U55" i="19" s="1"/>
  <c r="R54" i="19"/>
  <c r="R55" i="19" s="1"/>
  <c r="O54" i="19"/>
  <c r="O55" i="19" s="1"/>
  <c r="AV54" i="19"/>
  <c r="AV55" i="19" s="1"/>
  <c r="AN54" i="19"/>
  <c r="AN55" i="19" s="1"/>
  <c r="AF54" i="19"/>
  <c r="AF55" i="19" s="1"/>
  <c r="X54" i="19"/>
  <c r="X55" i="19" s="1"/>
  <c r="P54" i="19"/>
  <c r="P55" i="19" s="1"/>
  <c r="AI30" i="19"/>
  <c r="AI57" i="19"/>
  <c r="Y54" i="19"/>
  <c r="Y55" i="19" s="1"/>
  <c r="AD54" i="19"/>
  <c r="AD55" i="19" s="1"/>
  <c r="Q54" i="19"/>
  <c r="Q55" i="19" s="1"/>
  <c r="V54" i="19"/>
  <c r="V55" i="19" s="1"/>
  <c r="M54" i="19"/>
  <c r="M55" i="19" s="1"/>
  <c r="AT36" i="19"/>
  <c r="AT65" i="19" s="1"/>
  <c r="BF54" i="19"/>
  <c r="BF55" i="19" s="1"/>
  <c r="N54" i="19"/>
  <c r="N55" i="19" s="1"/>
  <c r="AL54" i="19"/>
  <c r="AL55" i="19" s="1"/>
  <c r="AG54" i="19"/>
  <c r="AG55" i="19" s="1"/>
  <c r="AP54" i="19"/>
  <c r="AP55" i="19" s="1"/>
  <c r="AC54" i="19"/>
  <c r="AC55" i="19" s="1"/>
  <c r="J54" i="19"/>
  <c r="J55" i="19" s="1"/>
  <c r="S68" i="19"/>
  <c r="AF68" i="19"/>
  <c r="T68" i="19"/>
  <c r="AQ68" i="19"/>
  <c r="O68" i="19"/>
  <c r="X68" i="19"/>
  <c r="AX63" i="19"/>
  <c r="AX60" i="19"/>
  <c r="AX39" i="19"/>
  <c r="AX40" i="19" s="1"/>
  <c r="AX58" i="19" s="1"/>
  <c r="AX24" i="19"/>
  <c r="AH63" i="19"/>
  <c r="AH60" i="19"/>
  <c r="AH39" i="19"/>
  <c r="AH40" i="19" s="1"/>
  <c r="AH58" i="19" s="1"/>
  <c r="AH73" i="19" s="1"/>
  <c r="AH24" i="19"/>
  <c r="AD63" i="19"/>
  <c r="AD60" i="19"/>
  <c r="AD24" i="19"/>
  <c r="AD39" i="19"/>
  <c r="AD40" i="19" s="1"/>
  <c r="AD58" i="19" s="1"/>
  <c r="AD73" i="19" s="1"/>
  <c r="R63" i="19"/>
  <c r="R60" i="19"/>
  <c r="R39" i="19"/>
  <c r="R40" i="19" s="1"/>
  <c r="R58" i="19" s="1"/>
  <c r="R73" i="19" s="1"/>
  <c r="R24" i="19"/>
  <c r="N68" i="19"/>
  <c r="AZ60" i="19"/>
  <c r="AZ63" i="19"/>
  <c r="AZ39" i="19"/>
  <c r="AZ40" i="19" s="1"/>
  <c r="AZ58" i="19" s="1"/>
  <c r="AZ69" i="19" s="1"/>
  <c r="AZ24" i="19"/>
  <c r="AR60" i="19"/>
  <c r="AR39" i="19"/>
  <c r="AR40" i="19" s="1"/>
  <c r="AR58" i="19" s="1"/>
  <c r="AR69" i="19" s="1"/>
  <c r="AR63" i="19"/>
  <c r="AR24" i="19"/>
  <c r="AJ60" i="19"/>
  <c r="AJ63" i="19"/>
  <c r="AJ39" i="19"/>
  <c r="AJ40" i="19" s="1"/>
  <c r="AJ58" i="19" s="1"/>
  <c r="AJ69" i="19" s="1"/>
  <c r="AJ24" i="19"/>
  <c r="AB60" i="19"/>
  <c r="AB39" i="19"/>
  <c r="AB40" i="19" s="1"/>
  <c r="AB58" i="19" s="1"/>
  <c r="AB69" i="19" s="1"/>
  <c r="AB63" i="19"/>
  <c r="AB24" i="19"/>
  <c r="T60" i="19"/>
  <c r="T63" i="19"/>
  <c r="T39" i="19"/>
  <c r="T40" i="19" s="1"/>
  <c r="T58" i="19" s="1"/>
  <c r="T69" i="19" s="1"/>
  <c r="T24" i="19"/>
  <c r="L60" i="19"/>
  <c r="L63" i="19"/>
  <c r="L39" i="19"/>
  <c r="L40" i="19" s="1"/>
  <c r="L58" i="19" s="1"/>
  <c r="L69" i="19" s="1"/>
  <c r="L24" i="19"/>
  <c r="BF8" i="19"/>
  <c r="BF26" i="19"/>
  <c r="AP8" i="19"/>
  <c r="AP26" i="19"/>
  <c r="Z8" i="19"/>
  <c r="Z26" i="19"/>
  <c r="J26" i="19"/>
  <c r="AW63" i="19"/>
  <c r="AW60" i="19"/>
  <c r="AW39" i="19"/>
  <c r="AW40" i="19" s="1"/>
  <c r="AW58" i="19" s="1"/>
  <c r="AW69" i="19" s="1"/>
  <c r="AW24" i="19"/>
  <c r="AO68" i="19"/>
  <c r="AG36" i="19"/>
  <c r="Y68" i="19"/>
  <c r="Q36" i="19"/>
  <c r="BC63" i="19"/>
  <c r="BC60" i="19"/>
  <c r="BC39" i="19"/>
  <c r="BC40" i="19" s="1"/>
  <c r="BC58" i="19" s="1"/>
  <c r="BC69" i="19" s="1"/>
  <c r="BC24" i="19"/>
  <c r="AU63" i="19"/>
  <c r="AU60" i="19"/>
  <c r="AU39" i="19"/>
  <c r="AU40" i="19" s="1"/>
  <c r="AU58" i="19" s="1"/>
  <c r="AU73" i="19" s="1"/>
  <c r="AU24" i="19"/>
  <c r="AM63" i="19"/>
  <c r="AM60" i="19"/>
  <c r="AM39" i="19"/>
  <c r="AM40" i="19" s="1"/>
  <c r="AM58" i="19" s="1"/>
  <c r="AM73" i="19" s="1"/>
  <c r="AM46" i="19" s="1"/>
  <c r="AM24" i="19"/>
  <c r="AE63" i="19"/>
  <c r="AE60" i="19"/>
  <c r="AE39" i="19"/>
  <c r="AE40" i="19" s="1"/>
  <c r="AE58" i="19" s="1"/>
  <c r="AE73" i="19" s="1"/>
  <c r="AE46" i="19" s="1"/>
  <c r="AE24" i="19"/>
  <c r="W63" i="19"/>
  <c r="W60" i="19"/>
  <c r="W39" i="19"/>
  <c r="W40" i="19" s="1"/>
  <c r="W58" i="19" s="1"/>
  <c r="W73" i="19" s="1"/>
  <c r="W46" i="19" s="1"/>
  <c r="W24" i="19"/>
  <c r="O63" i="19"/>
  <c r="O60" i="19"/>
  <c r="O40" i="19"/>
  <c r="O58" i="19" s="1"/>
  <c r="O69" i="19" s="1"/>
  <c r="O24" i="19"/>
  <c r="BA26" i="19"/>
  <c r="BA8" i="19"/>
  <c r="AK26" i="19"/>
  <c r="AK8" i="19"/>
  <c r="U26" i="19"/>
  <c r="U8" i="19"/>
  <c r="AZ68" i="19"/>
  <c r="L68" i="19"/>
  <c r="BB63" i="19"/>
  <c r="BB60" i="19"/>
  <c r="BB24" i="19"/>
  <c r="BB39" i="19"/>
  <c r="BB40" i="19" s="1"/>
  <c r="BB58" i="19" s="1"/>
  <c r="BB73" i="19" s="1"/>
  <c r="AX68" i="19"/>
  <c r="AL63" i="19"/>
  <c r="AL60" i="19"/>
  <c r="AL24" i="19"/>
  <c r="AL39" i="19"/>
  <c r="AL40" i="19" s="1"/>
  <c r="AL58" i="19" s="1"/>
  <c r="AL73" i="19" s="1"/>
  <c r="AH68" i="19"/>
  <c r="V63" i="19"/>
  <c r="V60" i="19"/>
  <c r="V24" i="19"/>
  <c r="V39" i="19"/>
  <c r="V40" i="19" s="1"/>
  <c r="V58" i="19" s="1"/>
  <c r="V73" i="19" s="1"/>
  <c r="R68" i="19"/>
  <c r="BD63" i="19"/>
  <c r="BD60" i="19"/>
  <c r="BD39" i="19"/>
  <c r="BD40" i="19" s="1"/>
  <c r="BD58" i="19" s="1"/>
  <c r="BD69" i="19" s="1"/>
  <c r="BD24" i="19"/>
  <c r="BB26" i="19"/>
  <c r="BB8" i="19"/>
  <c r="AL26" i="19"/>
  <c r="AL8" i="19"/>
  <c r="V26" i="19"/>
  <c r="V8" i="19"/>
  <c r="BA63" i="19"/>
  <c r="BA60" i="19"/>
  <c r="BA39" i="19"/>
  <c r="BA40" i="19" s="1"/>
  <c r="BA58" i="19" s="1"/>
  <c r="BA73" i="19" s="1"/>
  <c r="BA24" i="19"/>
  <c r="AS68" i="19"/>
  <c r="AK63" i="19"/>
  <c r="AK60" i="19"/>
  <c r="AK39" i="19"/>
  <c r="AK40" i="19" s="1"/>
  <c r="AK58" i="19" s="1"/>
  <c r="AK73" i="19" s="1"/>
  <c r="AK24" i="19"/>
  <c r="AC68" i="19"/>
  <c r="U63" i="19"/>
  <c r="U60" i="19"/>
  <c r="U39" i="19"/>
  <c r="U40" i="19" s="1"/>
  <c r="U58" i="19" s="1"/>
  <c r="U73" i="19" s="1"/>
  <c r="U46" i="19" s="1"/>
  <c r="U24" i="19"/>
  <c r="M68" i="19"/>
  <c r="AW26" i="19"/>
  <c r="AW8" i="19"/>
  <c r="AG26" i="19"/>
  <c r="AG8" i="19"/>
  <c r="Q26" i="19"/>
  <c r="Q8" i="19"/>
  <c r="BE54" i="19"/>
  <c r="BE55" i="19" s="1"/>
  <c r="AW54" i="19"/>
  <c r="AW55" i="19" s="1"/>
  <c r="AO54" i="19"/>
  <c r="AO55" i="19" s="1"/>
  <c r="AR68" i="19"/>
  <c r="AE68" i="19"/>
  <c r="AV68" i="19"/>
  <c r="AJ68" i="19"/>
  <c r="AB66" i="19"/>
  <c r="P68" i="19"/>
  <c r="AY68" i="19"/>
  <c r="AU68" i="19"/>
  <c r="AM68" i="19"/>
  <c r="K68" i="19"/>
  <c r="BF63" i="19"/>
  <c r="BF60" i="19"/>
  <c r="BF39" i="19"/>
  <c r="BF40" i="19" s="1"/>
  <c r="BF58" i="19" s="1"/>
  <c r="BF73" i="19" s="1"/>
  <c r="BF24" i="19"/>
  <c r="BB68" i="19"/>
  <c r="AX65" i="19"/>
  <c r="AP63" i="19"/>
  <c r="AP60" i="19"/>
  <c r="AP39" i="19"/>
  <c r="AP40" i="19" s="1"/>
  <c r="AP58" i="19" s="1"/>
  <c r="AP69" i="19" s="1"/>
  <c r="AP24" i="19"/>
  <c r="AL68" i="19"/>
  <c r="AH65" i="19"/>
  <c r="Z63" i="19"/>
  <c r="Z60" i="19"/>
  <c r="Z39" i="19"/>
  <c r="Z40" i="19" s="1"/>
  <c r="Z58" i="19" s="1"/>
  <c r="Z69" i="19" s="1"/>
  <c r="Z24" i="19"/>
  <c r="V68" i="19"/>
  <c r="R65" i="19"/>
  <c r="J63" i="19"/>
  <c r="J60" i="19"/>
  <c r="J39" i="19"/>
  <c r="J24" i="19"/>
  <c r="BD54" i="19"/>
  <c r="BD55" i="19" s="1"/>
  <c r="AV60" i="19"/>
  <c r="AV63" i="19"/>
  <c r="AV39" i="19"/>
  <c r="AV40" i="19" s="1"/>
  <c r="AV58" i="19" s="1"/>
  <c r="AV73" i="19" s="1"/>
  <c r="AV46" i="19" s="1"/>
  <c r="AV24" i="19"/>
  <c r="AN63" i="19"/>
  <c r="AN60" i="19"/>
  <c r="AN39" i="19"/>
  <c r="AN40" i="19" s="1"/>
  <c r="AN58" i="19" s="1"/>
  <c r="AN73" i="19" s="1"/>
  <c r="AN46" i="19" s="1"/>
  <c r="AN24" i="19"/>
  <c r="AF60" i="19"/>
  <c r="AF63" i="19"/>
  <c r="AF39" i="19"/>
  <c r="AF40" i="19" s="1"/>
  <c r="AF58" i="19" s="1"/>
  <c r="AF73" i="19" s="1"/>
  <c r="AF46" i="19" s="1"/>
  <c r="AF24" i="19"/>
  <c r="X63" i="19"/>
  <c r="X60" i="19"/>
  <c r="X39" i="19"/>
  <c r="X40" i="19" s="1"/>
  <c r="X58" i="19" s="1"/>
  <c r="X73" i="19" s="1"/>
  <c r="X46" i="19" s="1"/>
  <c r="X24" i="19"/>
  <c r="P63" i="19"/>
  <c r="P60" i="19"/>
  <c r="P39" i="19"/>
  <c r="P40" i="19" s="1"/>
  <c r="P58" i="19" s="1"/>
  <c r="P73" i="19" s="1"/>
  <c r="P46" i="19" s="1"/>
  <c r="P24" i="19"/>
  <c r="AX26" i="19"/>
  <c r="AX8" i="19"/>
  <c r="AH26" i="19"/>
  <c r="AH8" i="19"/>
  <c r="R26" i="19"/>
  <c r="R8" i="19"/>
  <c r="BE39" i="19"/>
  <c r="BE24" i="19"/>
  <c r="BA65" i="19"/>
  <c r="AW68" i="19"/>
  <c r="AO63" i="19"/>
  <c r="AO60" i="19"/>
  <c r="AO39" i="19"/>
  <c r="AO40" i="19" s="1"/>
  <c r="AO58" i="19" s="1"/>
  <c r="AO73" i="19" s="1"/>
  <c r="AO24" i="19"/>
  <c r="AK65" i="19"/>
  <c r="AG68" i="19"/>
  <c r="Y36" i="19"/>
  <c r="U65" i="19"/>
  <c r="Q68" i="19"/>
  <c r="BG63" i="19"/>
  <c r="BG60" i="19"/>
  <c r="BG39" i="19"/>
  <c r="BG40" i="19" s="1"/>
  <c r="BG58" i="19" s="1"/>
  <c r="BG73" i="19" s="1"/>
  <c r="BG46" i="19" s="1"/>
  <c r="BG24" i="19"/>
  <c r="AY63" i="19"/>
  <c r="AY60" i="19"/>
  <c r="AY39" i="19"/>
  <c r="AY40" i="19" s="1"/>
  <c r="AY58" i="19" s="1"/>
  <c r="AY73" i="19" s="1"/>
  <c r="AY46" i="19" s="1"/>
  <c r="AY24" i="19"/>
  <c r="AQ63" i="19"/>
  <c r="AQ60" i="19"/>
  <c r="AQ39" i="19"/>
  <c r="AQ40" i="19" s="1"/>
  <c r="AQ58" i="19" s="1"/>
  <c r="AQ69" i="19" s="1"/>
  <c r="AQ24" i="19"/>
  <c r="AI63" i="19"/>
  <c r="AI60" i="19"/>
  <c r="AI39" i="19"/>
  <c r="AI40" i="19" s="1"/>
  <c r="AI58" i="19" s="1"/>
  <c r="AI24" i="19"/>
  <c r="AA63" i="19"/>
  <c r="AA60" i="19"/>
  <c r="AA39" i="19"/>
  <c r="AA40" i="19" s="1"/>
  <c r="AA58" i="19" s="1"/>
  <c r="AA73" i="19" s="1"/>
  <c r="AA46" i="19" s="1"/>
  <c r="AA24" i="19"/>
  <c r="S63" i="19"/>
  <c r="S60" i="19"/>
  <c r="S39" i="19"/>
  <c r="S40" i="19" s="1"/>
  <c r="S58" i="19" s="1"/>
  <c r="S73" i="19" s="1"/>
  <c r="S46" i="19" s="1"/>
  <c r="S24" i="19"/>
  <c r="K63" i="19"/>
  <c r="K60" i="19"/>
  <c r="K39" i="19"/>
  <c r="K40" i="19" s="1"/>
  <c r="K58" i="19" s="1"/>
  <c r="K69" i="19" s="1"/>
  <c r="K24" i="19"/>
  <c r="AS26" i="19"/>
  <c r="AS8" i="19"/>
  <c r="AC26" i="19"/>
  <c r="AC8" i="19"/>
  <c r="M26" i="19"/>
  <c r="M8" i="19"/>
  <c r="X65" i="19"/>
  <c r="BG68" i="19"/>
  <c r="W68" i="19"/>
  <c r="AN68" i="19"/>
  <c r="BD68" i="19"/>
  <c r="AB68" i="19"/>
  <c r="AB64" i="19"/>
  <c r="BC68" i="19"/>
  <c r="AA68" i="19"/>
  <c r="AX73" i="19"/>
  <c r="BF68" i="19"/>
  <c r="BB65" i="19"/>
  <c r="AT68" i="19"/>
  <c r="AP68" i="19"/>
  <c r="AL65" i="19"/>
  <c r="AD68" i="19"/>
  <c r="Z68" i="19"/>
  <c r="V65" i="19"/>
  <c r="N63" i="19"/>
  <c r="N60" i="19"/>
  <c r="N24" i="19"/>
  <c r="N39" i="19"/>
  <c r="N40" i="19" s="1"/>
  <c r="N58" i="19" s="1"/>
  <c r="N73" i="19" s="1"/>
  <c r="J68" i="19"/>
  <c r="AZ54" i="19"/>
  <c r="AZ55" i="19" s="1"/>
  <c r="AR54" i="19"/>
  <c r="AR55" i="19" s="1"/>
  <c r="AJ54" i="19"/>
  <c r="AJ55" i="19" s="1"/>
  <c r="AB54" i="19"/>
  <c r="AB55" i="19" s="1"/>
  <c r="T54" i="19"/>
  <c r="T55" i="19" s="1"/>
  <c r="L54" i="19"/>
  <c r="L55" i="19" s="1"/>
  <c r="AT26" i="19"/>
  <c r="AT8" i="19"/>
  <c r="AD26" i="19"/>
  <c r="AD8" i="19"/>
  <c r="N26" i="19"/>
  <c r="N8" i="19"/>
  <c r="BA68" i="19"/>
  <c r="AS63" i="19"/>
  <c r="AS60" i="19"/>
  <c r="AS39" i="19"/>
  <c r="AS40" i="19" s="1"/>
  <c r="AS58" i="19" s="1"/>
  <c r="AS69" i="19" s="1"/>
  <c r="AS24" i="19"/>
  <c r="AK68" i="19"/>
  <c r="AC63" i="19"/>
  <c r="AC60" i="19"/>
  <c r="AC39" i="19"/>
  <c r="AC40" i="19" s="1"/>
  <c r="AC58" i="19" s="1"/>
  <c r="AC69" i="19" s="1"/>
  <c r="AC24" i="19"/>
  <c r="U68" i="19"/>
  <c r="M63" i="19"/>
  <c r="M60" i="19"/>
  <c r="M39" i="19"/>
  <c r="M40" i="19" s="1"/>
  <c r="M24" i="19"/>
  <c r="BG54" i="19"/>
  <c r="BG55" i="19" s="1"/>
  <c r="AY54" i="19"/>
  <c r="AY55" i="19" s="1"/>
  <c r="AQ54" i="19"/>
  <c r="AQ55" i="19" s="1"/>
  <c r="AI54" i="19"/>
  <c r="AI55" i="19" s="1"/>
  <c r="AA54" i="19"/>
  <c r="AA55" i="19" s="1"/>
  <c r="S54" i="19"/>
  <c r="S55" i="19" s="1"/>
  <c r="K54" i="19"/>
  <c r="K55" i="19" s="1"/>
  <c r="BE26" i="19"/>
  <c r="BE8" i="19"/>
  <c r="AO26" i="19"/>
  <c r="AO8" i="19"/>
  <c r="Y26" i="19"/>
  <c r="Y8" i="19"/>
  <c r="Z54" i="19"/>
  <c r="Z55" i="19" s="1"/>
  <c r="BA54" i="19"/>
  <c r="BA55" i="19" s="1"/>
  <c r="AS54" i="19"/>
  <c r="AS55" i="19" s="1"/>
  <c r="AK54" i="19"/>
  <c r="AK55" i="19" s="1"/>
  <c r="BS67" i="19" l="1"/>
  <c r="J40" i="19"/>
  <c r="J58" i="19" s="1"/>
  <c r="AI65" i="19"/>
  <c r="BU67" i="19"/>
  <c r="BV61" i="19"/>
  <c r="BU69" i="19"/>
  <c r="BU64" i="19"/>
  <c r="BS70" i="19"/>
  <c r="BS71" i="19" s="1"/>
  <c r="BV67" i="19"/>
  <c r="BV64" i="19"/>
  <c r="BV66" i="19"/>
  <c r="BV58" i="19"/>
  <c r="BV73" i="19" s="1"/>
  <c r="BV46" i="19" s="1"/>
  <c r="BT67" i="19"/>
  <c r="BT40" i="19"/>
  <c r="BT58" i="19" s="1"/>
  <c r="BP64" i="19"/>
  <c r="BP58" i="19"/>
  <c r="BP69" i="19" s="1"/>
  <c r="BP66" i="19"/>
  <c r="BO70" i="19"/>
  <c r="BO71" i="19" s="1"/>
  <c r="BR46" i="19"/>
  <c r="BQ69" i="19"/>
  <c r="BQ70" i="19" s="1"/>
  <c r="BQ75" i="19" s="1"/>
  <c r="BR70" i="19"/>
  <c r="BR71" i="19" s="1"/>
  <c r="BS75" i="19"/>
  <c r="BL67" i="19"/>
  <c r="M58" i="19"/>
  <c r="M69" i="19" s="1"/>
  <c r="BF46" i="19"/>
  <c r="BL66" i="19"/>
  <c r="BL64" i="19"/>
  <c r="BL61" i="19"/>
  <c r="BK61" i="19"/>
  <c r="BK66" i="19"/>
  <c r="BK58" i="19"/>
  <c r="BK73" i="19" s="1"/>
  <c r="BK46" i="19" s="1"/>
  <c r="BL69" i="19"/>
  <c r="BM61" i="19"/>
  <c r="BM66" i="19"/>
  <c r="BM69" i="19"/>
  <c r="BM64" i="19"/>
  <c r="BM68" i="19"/>
  <c r="BL46" i="19"/>
  <c r="BA46" i="19"/>
  <c r="AH46" i="19"/>
  <c r="AU46" i="19"/>
  <c r="BC73" i="19"/>
  <c r="BC46" i="19" s="1"/>
  <c r="AT24" i="19"/>
  <c r="AT39" i="19"/>
  <c r="AT40" i="19" s="1"/>
  <c r="AT60" i="19"/>
  <c r="AT63" i="19"/>
  <c r="BE30" i="19"/>
  <c r="BE57" i="19"/>
  <c r="BE63" i="19"/>
  <c r="BE60" i="19"/>
  <c r="BE40" i="19"/>
  <c r="BA64" i="19"/>
  <c r="AX64" i="19"/>
  <c r="Z64" i="19"/>
  <c r="AW73" i="19"/>
  <c r="AW46" i="19" s="1"/>
  <c r="AK64" i="19"/>
  <c r="AI62" i="19"/>
  <c r="AI68" i="19" s="1"/>
  <c r="AI69" i="19"/>
  <c r="R64" i="19"/>
  <c r="AH64" i="19"/>
  <c r="L73" i="19"/>
  <c r="L46" i="19" s="1"/>
  <c r="R46" i="19"/>
  <c r="AB73" i="19"/>
  <c r="AB46" i="19" s="1"/>
  <c r="AP64" i="19"/>
  <c r="BD64" i="19"/>
  <c r="AO66" i="19"/>
  <c r="AJ73" i="19"/>
  <c r="AJ46" i="19" s="1"/>
  <c r="AU69" i="19"/>
  <c r="W64" i="19"/>
  <c r="BD73" i="19"/>
  <c r="BD46" i="19" s="1"/>
  <c r="AR64" i="19"/>
  <c r="AR73" i="19"/>
  <c r="AR46" i="19" s="1"/>
  <c r="AO69" i="19"/>
  <c r="AV66" i="19"/>
  <c r="BF64" i="19"/>
  <c r="AD66" i="19"/>
  <c r="AL64" i="19"/>
  <c r="AK46" i="19"/>
  <c r="U64" i="19"/>
  <c r="L64" i="19"/>
  <c r="AL46" i="19"/>
  <c r="AE69" i="19"/>
  <c r="T73" i="19"/>
  <c r="T46" i="19" s="1"/>
  <c r="S66" i="19"/>
  <c r="AU66" i="19"/>
  <c r="P66" i="19"/>
  <c r="J64" i="19"/>
  <c r="BB64" i="19"/>
  <c r="AE66" i="19"/>
  <c r="AU64" i="19"/>
  <c r="AE64" i="19"/>
  <c r="V46" i="19"/>
  <c r="O73" i="19"/>
  <c r="O46" i="19" s="1"/>
  <c r="AZ73" i="19"/>
  <c r="AZ46" i="19" s="1"/>
  <c r="AM66" i="19"/>
  <c r="BC64" i="19"/>
  <c r="AV69" i="19"/>
  <c r="AN64" i="19"/>
  <c r="T66" i="19"/>
  <c r="V64" i="19"/>
  <c r="AM64" i="19"/>
  <c r="AJ64" i="19"/>
  <c r="AD69" i="19"/>
  <c r="AD64" i="19"/>
  <c r="AM69" i="19"/>
  <c r="AJ66" i="19"/>
  <c r="AW64" i="19"/>
  <c r="W66" i="19"/>
  <c r="AW66" i="19"/>
  <c r="AZ64" i="19"/>
  <c r="P69" i="19"/>
  <c r="W69" i="19"/>
  <c r="N46" i="19"/>
  <c r="AD46" i="19"/>
  <c r="AC67" i="19"/>
  <c r="AC70" i="19" s="1"/>
  <c r="AC61" i="19"/>
  <c r="AS67" i="19"/>
  <c r="AS70" i="19" s="1"/>
  <c r="AS61" i="19"/>
  <c r="AL69" i="19"/>
  <c r="AL66" i="19"/>
  <c r="K66" i="19"/>
  <c r="AO46" i="19"/>
  <c r="R69" i="19"/>
  <c r="R66" i="19"/>
  <c r="AP67" i="19"/>
  <c r="AP70" i="19" s="1"/>
  <c r="AP61" i="19"/>
  <c r="K64" i="19"/>
  <c r="AY64" i="19"/>
  <c r="AV64" i="19"/>
  <c r="AI73" i="19"/>
  <c r="AI46" i="19" s="1"/>
  <c r="AC64" i="19"/>
  <c r="AK67" i="19"/>
  <c r="AK61" i="19"/>
  <c r="BA67" i="19"/>
  <c r="BA61" i="19"/>
  <c r="N69" i="19"/>
  <c r="Z73" i="19"/>
  <c r="Z46" i="19" s="1"/>
  <c r="AY69" i="19"/>
  <c r="AC66" i="19"/>
  <c r="J66" i="19"/>
  <c r="Z66" i="19"/>
  <c r="AD67" i="19"/>
  <c r="AD61" i="19"/>
  <c r="AH67" i="19"/>
  <c r="AH61" i="19"/>
  <c r="BF66" i="19"/>
  <c r="O64" i="19"/>
  <c r="AC73" i="19"/>
  <c r="AC46" i="19" s="1"/>
  <c r="AN66" i="19"/>
  <c r="N67" i="19"/>
  <c r="N61" i="19"/>
  <c r="BB69" i="19"/>
  <c r="BB66" i="19"/>
  <c r="X69" i="19"/>
  <c r="X66" i="19"/>
  <c r="AO61" i="19"/>
  <c r="AO67" i="19"/>
  <c r="BA69" i="19"/>
  <c r="BA66" i="19"/>
  <c r="P67" i="19"/>
  <c r="P61" i="19"/>
  <c r="X67" i="19"/>
  <c r="X70" i="19" s="1"/>
  <c r="X61" i="19"/>
  <c r="AN67" i="19"/>
  <c r="AN61" i="19"/>
  <c r="Z67" i="19"/>
  <c r="Z70" i="19" s="1"/>
  <c r="Z61" i="19"/>
  <c r="AF66" i="19"/>
  <c r="K73" i="19"/>
  <c r="K46" i="19" s="1"/>
  <c r="AQ73" i="19"/>
  <c r="AQ46" i="19" s="1"/>
  <c r="BD67" i="19"/>
  <c r="BD70" i="19" s="1"/>
  <c r="BD61" i="19"/>
  <c r="V67" i="19"/>
  <c r="V61" i="19"/>
  <c r="AL67" i="19"/>
  <c r="AL61" i="19"/>
  <c r="BB67" i="19"/>
  <c r="BB61" i="19"/>
  <c r="AP73" i="19"/>
  <c r="AP46" i="19" s="1"/>
  <c r="O67" i="19"/>
  <c r="O70" i="19" s="1"/>
  <c r="O61" i="19"/>
  <c r="W67" i="19"/>
  <c r="W61" i="19"/>
  <c r="AE67" i="19"/>
  <c r="AE61" i="19"/>
  <c r="AM67" i="19"/>
  <c r="AM61" i="19"/>
  <c r="AU67" i="19"/>
  <c r="AU61" i="19"/>
  <c r="BC67" i="19"/>
  <c r="BC70" i="19" s="1"/>
  <c r="BC61" i="19"/>
  <c r="Q63" i="19"/>
  <c r="Q60" i="19"/>
  <c r="Q39" i="19"/>
  <c r="Q40" i="19" s="1"/>
  <c r="Q24" i="19"/>
  <c r="Q65" i="19"/>
  <c r="AS66" i="19"/>
  <c r="AW67" i="19"/>
  <c r="AW70" i="19" s="1"/>
  <c r="AW61" i="19"/>
  <c r="BF69" i="19"/>
  <c r="X64" i="19"/>
  <c r="AA69" i="19"/>
  <c r="AQ64" i="19"/>
  <c r="L66" i="19"/>
  <c r="AF64" i="19"/>
  <c r="AZ66" i="19"/>
  <c r="AS73" i="19"/>
  <c r="AS46" i="19" s="1"/>
  <c r="AN69" i="19"/>
  <c r="M67" i="19"/>
  <c r="M61" i="19"/>
  <c r="AX46" i="19"/>
  <c r="S69" i="19"/>
  <c r="BG64" i="19"/>
  <c r="K67" i="19"/>
  <c r="K70" i="19" s="1"/>
  <c r="K61" i="19"/>
  <c r="S67" i="19"/>
  <c r="S70" i="19" s="1"/>
  <c r="S61" i="19"/>
  <c r="AA67" i="19"/>
  <c r="AA70" i="19" s="1"/>
  <c r="AA61" i="19"/>
  <c r="AI67" i="19"/>
  <c r="AI61" i="19"/>
  <c r="AQ67" i="19"/>
  <c r="AQ70" i="19" s="1"/>
  <c r="AQ61" i="19"/>
  <c r="AY61" i="19"/>
  <c r="AY67" i="19"/>
  <c r="BG61" i="19"/>
  <c r="BG67" i="19"/>
  <c r="U69" i="19"/>
  <c r="U66" i="19"/>
  <c r="AK69" i="19"/>
  <c r="AK66" i="19"/>
  <c r="AF67" i="19"/>
  <c r="AF61" i="19"/>
  <c r="AV67" i="19"/>
  <c r="AV70" i="19" s="1"/>
  <c r="AV61" i="19"/>
  <c r="J67" i="19"/>
  <c r="J61" i="19"/>
  <c r="AX69" i="19"/>
  <c r="AX66" i="19"/>
  <c r="BG69" i="19"/>
  <c r="P64" i="19"/>
  <c r="AI64" i="19"/>
  <c r="AF69" i="19"/>
  <c r="M64" i="19"/>
  <c r="U67" i="19"/>
  <c r="U61" i="19"/>
  <c r="AQ66" i="19"/>
  <c r="AG63" i="19"/>
  <c r="AG60" i="19"/>
  <c r="AG39" i="19"/>
  <c r="AG40" i="19" s="1"/>
  <c r="AG24" i="19"/>
  <c r="AG65" i="19"/>
  <c r="N64" i="19"/>
  <c r="R67" i="19"/>
  <c r="R61" i="19"/>
  <c r="AP66" i="19"/>
  <c r="AX67" i="19"/>
  <c r="AX61" i="19"/>
  <c r="AA66" i="19"/>
  <c r="S64" i="19"/>
  <c r="BD66" i="19"/>
  <c r="V69" i="19"/>
  <c r="V66" i="19"/>
  <c r="AA64" i="19"/>
  <c r="Y63" i="19"/>
  <c r="Y60" i="19"/>
  <c r="Y39" i="19"/>
  <c r="Y40" i="19" s="1"/>
  <c r="Y24" i="19"/>
  <c r="Y65" i="19"/>
  <c r="AH69" i="19"/>
  <c r="AH66" i="19"/>
  <c r="BF67" i="19"/>
  <c r="BF61" i="19"/>
  <c r="BB46" i="19"/>
  <c r="BG66" i="19"/>
  <c r="AS64" i="19"/>
  <c r="N66" i="19"/>
  <c r="O66" i="19"/>
  <c r="AY66" i="19"/>
  <c r="M66" i="19"/>
  <c r="AO64" i="19"/>
  <c r="L67" i="19"/>
  <c r="L70" i="19" s="1"/>
  <c r="L61" i="19"/>
  <c r="T61" i="19"/>
  <c r="T67" i="19"/>
  <c r="T70" i="19" s="1"/>
  <c r="AB67" i="19"/>
  <c r="AB70" i="19" s="1"/>
  <c r="AB61" i="19"/>
  <c r="AJ67" i="19"/>
  <c r="AJ70" i="19" s="1"/>
  <c r="AJ61" i="19"/>
  <c r="AR67" i="19"/>
  <c r="AR70" i="19" s="1"/>
  <c r="AR61" i="19"/>
  <c r="AZ67" i="19"/>
  <c r="AZ70" i="19" s="1"/>
  <c r="AZ61" i="19"/>
  <c r="AI66" i="19"/>
  <c r="BC66" i="19"/>
  <c r="T64" i="19"/>
  <c r="AR66" i="19"/>
  <c r="BU70" i="19" l="1"/>
  <c r="BU75" i="19" s="1"/>
  <c r="J73" i="19"/>
  <c r="J46" i="19" s="1"/>
  <c r="J69" i="19"/>
  <c r="J70" i="19" s="1"/>
  <c r="J71" i="19" s="1"/>
  <c r="BE65" i="19"/>
  <c r="BE69" i="19" s="1"/>
  <c r="BV69" i="19"/>
  <c r="BV70" i="19" s="1"/>
  <c r="BT66" i="19"/>
  <c r="M73" i="19"/>
  <c r="M46" i="19" s="1"/>
  <c r="BT64" i="19"/>
  <c r="AY70" i="19"/>
  <c r="AY71" i="19" s="1"/>
  <c r="M70" i="19"/>
  <c r="BO75" i="19"/>
  <c r="BT61" i="19"/>
  <c r="BU71" i="19"/>
  <c r="BT69" i="19"/>
  <c r="BT70" i="19" s="1"/>
  <c r="BT73" i="19"/>
  <c r="BT46" i="19" s="1"/>
  <c r="BP73" i="19"/>
  <c r="BP46" i="19" s="1"/>
  <c r="BP70" i="19"/>
  <c r="BP75" i="19" s="1"/>
  <c r="BR75" i="19"/>
  <c r="BQ71" i="19"/>
  <c r="BL70" i="19"/>
  <c r="BL71" i="19" s="1"/>
  <c r="BK69" i="19"/>
  <c r="BK70" i="19" s="1"/>
  <c r="BK75" i="19" s="1"/>
  <c r="BM70" i="19"/>
  <c r="BM71" i="19" s="1"/>
  <c r="BE58" i="19"/>
  <c r="BE73" i="19" s="1"/>
  <c r="BE46" i="19" s="1"/>
  <c r="BE62" i="19"/>
  <c r="BE68" i="19" s="1"/>
  <c r="BE67" i="19"/>
  <c r="BE61" i="19"/>
  <c r="AU70" i="19"/>
  <c r="AU71" i="19" s="1"/>
  <c r="AT64" i="19"/>
  <c r="AT67" i="19"/>
  <c r="AT61" i="19"/>
  <c r="AT58" i="19"/>
  <c r="AT66" i="19"/>
  <c r="AI70" i="19"/>
  <c r="AI71" i="19" s="1"/>
  <c r="AM70" i="19"/>
  <c r="AM71" i="19" s="1"/>
  <c r="AO70" i="19"/>
  <c r="AO75" i="19" s="1"/>
  <c r="AE70" i="19"/>
  <c r="AE71" i="19" s="1"/>
  <c r="W70" i="19"/>
  <c r="W75" i="19" s="1"/>
  <c r="U70" i="19"/>
  <c r="U75" i="19" s="1"/>
  <c r="R70" i="19"/>
  <c r="R71" i="19" s="1"/>
  <c r="N70" i="19"/>
  <c r="N75" i="19" s="1"/>
  <c r="P70" i="19"/>
  <c r="P75" i="19" s="1"/>
  <c r="BB70" i="19"/>
  <c r="BB71" i="19" s="1"/>
  <c r="BG70" i="19"/>
  <c r="BF70" i="19"/>
  <c r="BF71" i="19" s="1"/>
  <c r="AL70" i="19"/>
  <c r="AL71" i="19" s="1"/>
  <c r="AD70" i="19"/>
  <c r="AD75" i="19" s="1"/>
  <c r="AG58" i="19"/>
  <c r="AG73" i="19" s="1"/>
  <c r="AG46" i="19" s="1"/>
  <c r="AG64" i="19"/>
  <c r="AV75" i="19"/>
  <c r="AV71" i="19"/>
  <c r="AQ75" i="19"/>
  <c r="AQ71" i="19"/>
  <c r="AA75" i="19"/>
  <c r="AA71" i="19"/>
  <c r="K75" i="19"/>
  <c r="K71" i="19"/>
  <c r="BD75" i="19"/>
  <c r="BD71" i="19"/>
  <c r="AK70" i="19"/>
  <c r="AB75" i="19"/>
  <c r="AB71" i="19"/>
  <c r="M75" i="19"/>
  <c r="M71" i="19"/>
  <c r="AW75" i="19"/>
  <c r="AW71" i="19"/>
  <c r="Q58" i="19"/>
  <c r="Q73" i="19" s="1"/>
  <c r="Q46" i="19" s="1"/>
  <c r="Q64" i="19"/>
  <c r="BC75" i="19"/>
  <c r="BC71" i="19"/>
  <c r="Z75" i="19"/>
  <c r="Z71" i="19"/>
  <c r="X75" i="19"/>
  <c r="X71" i="19"/>
  <c r="AS75" i="19"/>
  <c r="AS71" i="19"/>
  <c r="L75" i="19"/>
  <c r="L71" i="19"/>
  <c r="Y58" i="19"/>
  <c r="Y73" i="19" s="1"/>
  <c r="Y46" i="19" s="1"/>
  <c r="Y64" i="19"/>
  <c r="AG67" i="19"/>
  <c r="AG61" i="19"/>
  <c r="T75" i="19"/>
  <c r="T71" i="19"/>
  <c r="Y61" i="19"/>
  <c r="Y67" i="19"/>
  <c r="AG66" i="19"/>
  <c r="AF70" i="19"/>
  <c r="AI75" i="19"/>
  <c r="S75" i="19"/>
  <c r="S71" i="19"/>
  <c r="Q67" i="19"/>
  <c r="Q61" i="19"/>
  <c r="V70" i="19"/>
  <c r="BA70" i="19"/>
  <c r="AR75" i="19"/>
  <c r="AR71" i="19"/>
  <c r="AZ75" i="19"/>
  <c r="AZ71" i="19"/>
  <c r="AJ75" i="19"/>
  <c r="AJ71" i="19"/>
  <c r="Y66" i="19"/>
  <c r="AX70" i="19"/>
  <c r="Q66" i="19"/>
  <c r="O75" i="19"/>
  <c r="O71" i="19"/>
  <c r="AN70" i="19"/>
  <c r="AH70" i="19"/>
  <c r="AP75" i="19"/>
  <c r="AP71" i="19"/>
  <c r="AC75" i="19"/>
  <c r="AC71" i="19"/>
  <c r="BE66" i="19" l="1"/>
  <c r="AM75" i="19"/>
  <c r="AY75" i="19"/>
  <c r="BG71" i="19"/>
  <c r="BG75" i="19"/>
  <c r="BV75" i="19"/>
  <c r="BV71" i="19"/>
  <c r="BL75" i="19"/>
  <c r="BT71" i="19"/>
  <c r="BT75" i="19"/>
  <c r="BP71" i="19"/>
  <c r="BK71" i="19"/>
  <c r="BM75" i="19"/>
  <c r="BE70" i="19"/>
  <c r="BE71" i="19" s="1"/>
  <c r="BE64" i="19"/>
  <c r="AU75" i="19"/>
  <c r="BB75" i="19"/>
  <c r="AT73" i="19"/>
  <c r="AT46" i="19" s="1"/>
  <c r="AT69" i="19"/>
  <c r="AT70" i="19" s="1"/>
  <c r="U71" i="19"/>
  <c r="AO71" i="19"/>
  <c r="N71" i="19"/>
  <c r="BF75" i="19"/>
  <c r="W71" i="19"/>
  <c r="AL75" i="19"/>
  <c r="AE75" i="19"/>
  <c r="R75" i="19"/>
  <c r="P71" i="19"/>
  <c r="AG69" i="19"/>
  <c r="AG70" i="19" s="1"/>
  <c r="AG71" i="19" s="1"/>
  <c r="Y69" i="19"/>
  <c r="Y70" i="19" s="1"/>
  <c r="AD71" i="19"/>
  <c r="Q69" i="19"/>
  <c r="Q70" i="19" s="1"/>
  <c r="Q75" i="19" s="1"/>
  <c r="J75" i="19"/>
  <c r="AK75" i="19"/>
  <c r="AK71" i="19"/>
  <c r="V75" i="19"/>
  <c r="V71" i="19"/>
  <c r="BA75" i="19"/>
  <c r="BA71" i="19"/>
  <c r="AF75" i="19"/>
  <c r="AF71" i="19"/>
  <c r="AX75" i="19"/>
  <c r="AX71" i="19"/>
  <c r="AN75" i="19"/>
  <c r="AN71" i="19"/>
  <c r="AH75" i="19"/>
  <c r="AH71" i="19"/>
  <c r="BE75" i="19" l="1"/>
  <c r="AT75" i="19"/>
  <c r="AT71" i="19"/>
  <c r="Q71" i="19"/>
  <c r="AG75" i="19"/>
  <c r="Y75" i="19"/>
  <c r="Y71" i="19"/>
  <c r="E8" i="4" l="1"/>
  <c r="T6" i="4" l="1"/>
  <c r="AJ6" i="4" s="1"/>
  <c r="T7" i="4"/>
  <c r="AJ7" i="4" s="1"/>
  <c r="T8" i="4"/>
  <c r="T9" i="4"/>
  <c r="AJ9" i="4" s="1"/>
  <c r="T10" i="4"/>
  <c r="AJ10" i="4" s="1"/>
  <c r="T11" i="4"/>
  <c r="AJ11" i="4" s="1"/>
  <c r="T12" i="4"/>
  <c r="AJ12" i="4" s="1"/>
  <c r="T13" i="4"/>
  <c r="AJ13" i="4" s="1"/>
  <c r="T14" i="4"/>
  <c r="AJ14" i="4" s="1"/>
  <c r="T15" i="4"/>
  <c r="AJ15" i="4" s="1"/>
  <c r="T16" i="4"/>
  <c r="AJ16" i="4" s="1"/>
  <c r="T17" i="4"/>
  <c r="AJ17" i="4" s="1"/>
  <c r="T18" i="4"/>
  <c r="AJ18" i="4" s="1"/>
  <c r="T19" i="4"/>
  <c r="AJ19" i="4" s="1"/>
  <c r="T20" i="4"/>
  <c r="AJ20" i="4" s="1"/>
  <c r="T21" i="4"/>
  <c r="AJ21" i="4" s="1"/>
  <c r="T22" i="4"/>
  <c r="AJ22" i="4" s="1"/>
  <c r="T23" i="4"/>
  <c r="AJ23" i="4" s="1"/>
  <c r="T24" i="4"/>
  <c r="AJ24" i="4" s="1"/>
  <c r="T25" i="4"/>
  <c r="AJ25" i="4" s="1"/>
  <c r="T26" i="4"/>
  <c r="AJ26" i="4" s="1"/>
  <c r="T27" i="4"/>
  <c r="AJ27" i="4" s="1"/>
  <c r="T28" i="4"/>
  <c r="AJ28" i="4" s="1"/>
  <c r="T29" i="4"/>
  <c r="AJ29" i="4" s="1"/>
  <c r="T30" i="4"/>
  <c r="AJ30" i="4" s="1"/>
  <c r="T31" i="4"/>
  <c r="AJ31" i="4" s="1"/>
  <c r="T32" i="4"/>
  <c r="AJ32" i="4" s="1"/>
  <c r="T33" i="4"/>
  <c r="AJ33" i="4" s="1"/>
  <c r="T34" i="4"/>
  <c r="AJ34" i="4" s="1"/>
  <c r="T35" i="4"/>
  <c r="AJ35" i="4" s="1"/>
  <c r="T36" i="4"/>
  <c r="AJ36" i="4" s="1"/>
  <c r="T37" i="4"/>
  <c r="AJ37" i="4" s="1"/>
  <c r="T38" i="4"/>
  <c r="AJ38" i="4" s="1"/>
  <c r="T39" i="4"/>
  <c r="AJ39" i="4" s="1"/>
  <c r="T40" i="4"/>
  <c r="AJ40" i="4" s="1"/>
  <c r="T41" i="4"/>
  <c r="AJ41" i="4" s="1"/>
  <c r="T42" i="4"/>
  <c r="AJ42" i="4" s="1"/>
  <c r="T43" i="4"/>
  <c r="AJ43" i="4" s="1"/>
  <c r="T44" i="4"/>
  <c r="AJ44" i="4" s="1"/>
  <c r="T45" i="4"/>
  <c r="AJ45" i="4" s="1"/>
  <c r="T46" i="4"/>
  <c r="AJ46" i="4" s="1"/>
  <c r="T47" i="4"/>
  <c r="AJ47" i="4" s="1"/>
  <c r="T48" i="4"/>
  <c r="AJ48" i="4" s="1"/>
  <c r="T49" i="4"/>
  <c r="AJ49" i="4" s="1"/>
  <c r="T50" i="4"/>
  <c r="AJ50" i="4" s="1"/>
  <c r="T51" i="4"/>
  <c r="AJ51" i="4" s="1"/>
  <c r="T52" i="4"/>
  <c r="AJ52" i="4" s="1"/>
  <c r="T53" i="4"/>
  <c r="AJ53" i="4" s="1"/>
  <c r="T54" i="4"/>
  <c r="AJ54" i="4" s="1"/>
  <c r="T5" i="4"/>
  <c r="AJ5" i="4" s="1"/>
  <c r="J68" i="4"/>
  <c r="E68" i="4"/>
  <c r="C68" i="4"/>
  <c r="J67" i="4"/>
  <c r="E67" i="4"/>
  <c r="C67" i="4"/>
  <c r="J66" i="4"/>
  <c r="E66" i="4"/>
  <c r="C66" i="4"/>
  <c r="J65" i="4"/>
  <c r="E65" i="4"/>
  <c r="C65" i="4"/>
  <c r="J64" i="4"/>
  <c r="E64" i="4"/>
  <c r="C64" i="4"/>
  <c r="J63" i="4"/>
  <c r="E63" i="4"/>
  <c r="C63" i="4"/>
  <c r="J62" i="4"/>
  <c r="E62" i="4"/>
  <c r="C62" i="4"/>
  <c r="J61" i="4"/>
  <c r="E61" i="4"/>
  <c r="C61" i="4"/>
  <c r="J60" i="4"/>
  <c r="E60" i="4"/>
  <c r="C60" i="4"/>
  <c r="J59" i="4"/>
  <c r="E59" i="4"/>
  <c r="C59" i="4"/>
  <c r="J58" i="4"/>
  <c r="E58" i="4"/>
  <c r="C58" i="4"/>
  <c r="J57" i="4"/>
  <c r="E57" i="4"/>
  <c r="C57" i="4"/>
  <c r="J56" i="4"/>
  <c r="E56" i="4"/>
  <c r="C56" i="4"/>
  <c r="J55" i="4"/>
  <c r="E55" i="4"/>
  <c r="C55" i="4"/>
  <c r="J54" i="4"/>
  <c r="BC54" i="4" s="1"/>
  <c r="E54" i="4"/>
  <c r="C54" i="4"/>
  <c r="J53" i="4"/>
  <c r="AZ53" i="4" s="1"/>
  <c r="E53" i="4"/>
  <c r="C53" i="4"/>
  <c r="J52" i="4"/>
  <c r="BA52" i="4" s="1"/>
  <c r="E52" i="4"/>
  <c r="C52" i="4"/>
  <c r="J51" i="4"/>
  <c r="BB51" i="4" s="1"/>
  <c r="E51" i="4"/>
  <c r="C51" i="4"/>
  <c r="J50" i="4"/>
  <c r="BC50" i="4" s="1"/>
  <c r="E50" i="4"/>
  <c r="C50" i="4"/>
  <c r="J49" i="4"/>
  <c r="AZ49" i="4" s="1"/>
  <c r="E49" i="4"/>
  <c r="C49" i="4"/>
  <c r="J48" i="4"/>
  <c r="BA48" i="4" s="1"/>
  <c r="E48" i="4"/>
  <c r="C48" i="4"/>
  <c r="J47" i="4"/>
  <c r="BB47" i="4" s="1"/>
  <c r="E47" i="4"/>
  <c r="C47" i="4"/>
  <c r="J46" i="4"/>
  <c r="BC46" i="4" s="1"/>
  <c r="E46" i="4"/>
  <c r="C46" i="4"/>
  <c r="J45" i="4"/>
  <c r="AZ45" i="4" s="1"/>
  <c r="E45" i="4"/>
  <c r="C45" i="4"/>
  <c r="J44" i="4"/>
  <c r="BA44" i="4" s="1"/>
  <c r="E44" i="4"/>
  <c r="C44" i="4"/>
  <c r="J43" i="4"/>
  <c r="BB43" i="4" s="1"/>
  <c r="E43" i="4"/>
  <c r="C43" i="4"/>
  <c r="J42" i="4"/>
  <c r="BC42" i="4" s="1"/>
  <c r="E42" i="4"/>
  <c r="C42" i="4"/>
  <c r="J41" i="4"/>
  <c r="AZ41" i="4" s="1"/>
  <c r="E41" i="4"/>
  <c r="C41" i="4"/>
  <c r="J40" i="4"/>
  <c r="BA40" i="4" s="1"/>
  <c r="E40" i="4"/>
  <c r="C40" i="4"/>
  <c r="J39" i="4"/>
  <c r="BB39" i="4" s="1"/>
  <c r="E39" i="4"/>
  <c r="C39" i="4"/>
  <c r="J38" i="4"/>
  <c r="BC38" i="4" s="1"/>
  <c r="E38" i="4"/>
  <c r="C38" i="4"/>
  <c r="J37" i="4"/>
  <c r="AZ37" i="4" s="1"/>
  <c r="E37" i="4"/>
  <c r="C37" i="4"/>
  <c r="J36" i="4"/>
  <c r="BA36" i="4" s="1"/>
  <c r="E36" i="4"/>
  <c r="C36" i="4"/>
  <c r="J35" i="4"/>
  <c r="BB35" i="4" s="1"/>
  <c r="E35" i="4"/>
  <c r="C35" i="4"/>
  <c r="J34" i="4"/>
  <c r="BC34" i="4" s="1"/>
  <c r="E34" i="4"/>
  <c r="C34" i="4"/>
  <c r="J33" i="4"/>
  <c r="AW33" i="4" s="1"/>
  <c r="E33" i="4"/>
  <c r="C33" i="4"/>
  <c r="J32" i="4"/>
  <c r="AZ32" i="4" s="1"/>
  <c r="E32" i="4"/>
  <c r="C32" i="4"/>
  <c r="J31" i="4"/>
  <c r="BA31" i="4" s="1"/>
  <c r="E31" i="4"/>
  <c r="C31" i="4"/>
  <c r="J30" i="4"/>
  <c r="BA30" i="4" s="1"/>
  <c r="E30" i="4"/>
  <c r="C30" i="4"/>
  <c r="J29" i="4"/>
  <c r="BC29" i="4" s="1"/>
  <c r="E29" i="4"/>
  <c r="C29" i="4"/>
  <c r="J28" i="4"/>
  <c r="AZ28" i="4" s="1"/>
  <c r="E28" i="4"/>
  <c r="C28" i="4"/>
  <c r="J27" i="4"/>
  <c r="BA27" i="4" s="1"/>
  <c r="E27" i="4"/>
  <c r="C27" i="4"/>
  <c r="J26" i="4"/>
  <c r="BB26" i="4" s="1"/>
  <c r="E26" i="4"/>
  <c r="C26" i="4"/>
  <c r="J25" i="4"/>
  <c r="BC25" i="4" s="1"/>
  <c r="E25" i="4"/>
  <c r="C25" i="4"/>
  <c r="J24" i="4"/>
  <c r="AZ24" i="4" s="1"/>
  <c r="E24" i="4"/>
  <c r="C24" i="4"/>
  <c r="J23" i="4"/>
  <c r="BA23" i="4" s="1"/>
  <c r="E23" i="4"/>
  <c r="C23" i="4"/>
  <c r="J22" i="4"/>
  <c r="BB22" i="4" s="1"/>
  <c r="E22" i="4"/>
  <c r="C22" i="4"/>
  <c r="J21" i="4"/>
  <c r="BA21" i="4" s="1"/>
  <c r="E21" i="4"/>
  <c r="C21" i="4"/>
  <c r="J20" i="4"/>
  <c r="BB20" i="4" s="1"/>
  <c r="E20" i="4"/>
  <c r="C20" i="4"/>
  <c r="J19" i="4"/>
  <c r="AV19" i="4" s="1"/>
  <c r="E19" i="4"/>
  <c r="C19" i="4"/>
  <c r="J18" i="4"/>
  <c r="BA18" i="4" s="1"/>
  <c r="E18" i="4"/>
  <c r="C18" i="4"/>
  <c r="J17" i="4"/>
  <c r="BA17" i="4" s="1"/>
  <c r="E17" i="4"/>
  <c r="C17" i="4"/>
  <c r="J16" i="4"/>
  <c r="BB16" i="4" s="1"/>
  <c r="E16" i="4"/>
  <c r="C16" i="4"/>
  <c r="J15" i="4"/>
  <c r="BA15" i="4" s="1"/>
  <c r="E15" i="4"/>
  <c r="C15" i="4"/>
  <c r="J14" i="4"/>
  <c r="AZ14" i="4" s="1"/>
  <c r="E14" i="4"/>
  <c r="K14" i="4" s="1"/>
  <c r="C14" i="4"/>
  <c r="J13" i="4"/>
  <c r="BA13" i="4" s="1"/>
  <c r="E13" i="4"/>
  <c r="C13" i="4"/>
  <c r="J12" i="4"/>
  <c r="BB12" i="4" s="1"/>
  <c r="E12" i="4"/>
  <c r="C12" i="4"/>
  <c r="J11" i="4"/>
  <c r="BC11" i="4" s="1"/>
  <c r="E11" i="4"/>
  <c r="C11" i="4"/>
  <c r="J10" i="4"/>
  <c r="AZ10" i="4" s="1"/>
  <c r="E10" i="4"/>
  <c r="C10" i="4"/>
  <c r="J9" i="4"/>
  <c r="BA9" i="4" s="1"/>
  <c r="E9" i="4"/>
  <c r="C9" i="4"/>
  <c r="J8" i="4"/>
  <c r="BB8" i="4" s="1"/>
  <c r="C8" i="4"/>
  <c r="J7" i="4"/>
  <c r="BC7" i="4" s="1"/>
  <c r="E7" i="4"/>
  <c r="C7" i="4"/>
  <c r="J6" i="4"/>
  <c r="AZ6" i="4" s="1"/>
  <c r="E6" i="4"/>
  <c r="C6" i="4"/>
  <c r="J5" i="4"/>
  <c r="BA5" i="4" s="1"/>
  <c r="E5" i="4"/>
  <c r="C5" i="4"/>
  <c r="G2" i="3"/>
  <c r="F3" i="3" s="1"/>
  <c r="K54" i="4" l="1"/>
  <c r="AX36" i="4"/>
  <c r="AU22" i="4"/>
  <c r="K36" i="4"/>
  <c r="AU9" i="4"/>
  <c r="BC10" i="4"/>
  <c r="K5" i="4"/>
  <c r="K55" i="4"/>
  <c r="K67" i="4"/>
  <c r="K6" i="4"/>
  <c r="K22" i="4"/>
  <c r="K31" i="4"/>
  <c r="K16" i="4"/>
  <c r="AS19" i="4"/>
  <c r="AY30" i="4"/>
  <c r="K45" i="4"/>
  <c r="K46" i="4"/>
  <c r="K27" i="4"/>
  <c r="K29" i="4"/>
  <c r="K57" i="4"/>
  <c r="K61" i="4"/>
  <c r="AV16" i="4"/>
  <c r="AT23" i="4"/>
  <c r="K64" i="4"/>
  <c r="K68" i="4"/>
  <c r="BC17" i="4"/>
  <c r="AT17" i="4"/>
  <c r="BC23" i="4"/>
  <c r="K40" i="4"/>
  <c r="K41" i="4"/>
  <c r="K42" i="4"/>
  <c r="AU43" i="4"/>
  <c r="K59" i="4"/>
  <c r="AV5" i="4"/>
  <c r="AU16" i="4"/>
  <c r="K17" i="4"/>
  <c r="BB17" i="4"/>
  <c r="K20" i="4"/>
  <c r="AV20" i="4"/>
  <c r="BC22" i="4"/>
  <c r="AT30" i="4"/>
  <c r="K35" i="4"/>
  <c r="K58" i="4"/>
  <c r="K62" i="4"/>
  <c r="K66" i="4"/>
  <c r="BC16" i="4"/>
  <c r="K21" i="4"/>
  <c r="K23" i="4"/>
  <c r="BB23" i="4"/>
  <c r="BC9" i="4"/>
  <c r="AY22" i="4"/>
  <c r="AX23" i="4"/>
  <c r="K26" i="4"/>
  <c r="AY26" i="4"/>
  <c r="AT27" i="4"/>
  <c r="BC31" i="4"/>
  <c r="AU35" i="4"/>
  <c r="AV38" i="4"/>
  <c r="K44" i="4"/>
  <c r="BB44" i="4"/>
  <c r="K52" i="4"/>
  <c r="K63" i="4"/>
  <c r="AZ26" i="4"/>
  <c r="BB27" i="4"/>
  <c r="AZ42" i="4"/>
  <c r="AZ5" i="4"/>
  <c r="K9" i="4"/>
  <c r="AV9" i="4"/>
  <c r="AV13" i="4"/>
  <c r="AY20" i="4"/>
  <c r="BC26" i="4"/>
  <c r="AV29" i="4"/>
  <c r="AU31" i="4"/>
  <c r="K65" i="4"/>
  <c r="AZ9" i="4"/>
  <c r="AU10" i="4"/>
  <c r="K13" i="4"/>
  <c r="AZ13" i="4"/>
  <c r="AZ16" i="4"/>
  <c r="AU17" i="4"/>
  <c r="BA19" i="4"/>
  <c r="AZ20" i="4"/>
  <c r="AV22" i="4"/>
  <c r="AU23" i="4"/>
  <c r="AU26" i="4"/>
  <c r="AZ29" i="4"/>
  <c r="AX31" i="4"/>
  <c r="BB36" i="4"/>
  <c r="AT40" i="4"/>
  <c r="K48" i="4"/>
  <c r="K56" i="4"/>
  <c r="K60" i="4"/>
  <c r="AZ34" i="4"/>
  <c r="BC6" i="4"/>
  <c r="AY5" i="4"/>
  <c r="AX6" i="4"/>
  <c r="K10" i="4"/>
  <c r="AT10" i="4"/>
  <c r="BB10" i="4"/>
  <c r="K12" i="4"/>
  <c r="AV12" i="4"/>
  <c r="AY13" i="4"/>
  <c r="AX14" i="4"/>
  <c r="AX21" i="4"/>
  <c r="AY27" i="4"/>
  <c r="AX30" i="4"/>
  <c r="BC30" i="4"/>
  <c r="K34" i="4"/>
  <c r="AV34" i="4"/>
  <c r="BC39" i="4"/>
  <c r="AZ12" i="4"/>
  <c r="AY14" i="4"/>
  <c r="AY21" i="4"/>
  <c r="AZ38" i="4"/>
  <c r="AX40" i="4"/>
  <c r="AT42" i="4"/>
  <c r="AY43" i="4"/>
  <c r="AT44" i="4"/>
  <c r="AV46" i="4"/>
  <c r="K51" i="4"/>
  <c r="AY6" i="4"/>
  <c r="AU5" i="4"/>
  <c r="BC5" i="4"/>
  <c r="AT6" i="4"/>
  <c r="BB6" i="4"/>
  <c r="K8" i="4"/>
  <c r="AV8" i="4"/>
  <c r="AY9" i="4"/>
  <c r="AX10" i="4"/>
  <c r="AU13" i="4"/>
  <c r="BC13" i="4"/>
  <c r="AT14" i="4"/>
  <c r="BB14" i="4"/>
  <c r="AY16" i="4"/>
  <c r="AX17" i="4"/>
  <c r="AT18" i="4"/>
  <c r="AU20" i="4"/>
  <c r="BC20" i="4"/>
  <c r="AT21" i="4"/>
  <c r="BB21" i="4"/>
  <c r="AZ22" i="4"/>
  <c r="AY23" i="4"/>
  <c r="AV25" i="4"/>
  <c r="AV26" i="4"/>
  <c r="AU27" i="4"/>
  <c r="BC27" i="4"/>
  <c r="AU30" i="4"/>
  <c r="AZ30" i="4"/>
  <c r="AY31" i="4"/>
  <c r="K33" i="4"/>
  <c r="AY35" i="4"/>
  <c r="AT36" i="4"/>
  <c r="K37" i="4"/>
  <c r="K38" i="4"/>
  <c r="AU39" i="4"/>
  <c r="BB40" i="4"/>
  <c r="AV42" i="4"/>
  <c r="BC43" i="4"/>
  <c r="AX44" i="4"/>
  <c r="AZ46" i="4"/>
  <c r="K53" i="4"/>
  <c r="AU6" i="4"/>
  <c r="AZ8" i="4"/>
  <c r="AY10" i="4"/>
  <c r="AU14" i="4"/>
  <c r="BC14" i="4"/>
  <c r="AY17" i="4"/>
  <c r="BB18" i="4"/>
  <c r="AU21" i="4"/>
  <c r="BC21" i="4"/>
  <c r="K25" i="4"/>
  <c r="AZ25" i="4"/>
  <c r="AX27" i="4"/>
  <c r="K30" i="4"/>
  <c r="AV30" i="4"/>
  <c r="BB30" i="4"/>
  <c r="AT31" i="4"/>
  <c r="BB31" i="4"/>
  <c r="AU34" i="4"/>
  <c r="BC35" i="4"/>
  <c r="AT38" i="4"/>
  <c r="AY39" i="4"/>
  <c r="K49" i="4"/>
  <c r="K50" i="4"/>
  <c r="AS7" i="4"/>
  <c r="BB7" i="4"/>
  <c r="BA8" i="4"/>
  <c r="K11" i="4"/>
  <c r="AT11" i="4"/>
  <c r="BB11" i="4"/>
  <c r="AT5" i="4"/>
  <c r="AX5" i="4"/>
  <c r="BB5" i="4"/>
  <c r="AS6" i="4"/>
  <c r="AW6" i="4"/>
  <c r="BA6" i="4"/>
  <c r="AV7" i="4"/>
  <c r="AZ7" i="4"/>
  <c r="AU8" i="4"/>
  <c r="AY8" i="4"/>
  <c r="BC8" i="4"/>
  <c r="AT9" i="4"/>
  <c r="AX9" i="4"/>
  <c r="BB9" i="4"/>
  <c r="AS10" i="4"/>
  <c r="AW10" i="4"/>
  <c r="BA10" i="4"/>
  <c r="AV11" i="4"/>
  <c r="AZ11" i="4"/>
  <c r="AU12" i="4"/>
  <c r="AY12" i="4"/>
  <c r="BC12" i="4"/>
  <c r="AT13" i="4"/>
  <c r="AX13" i="4"/>
  <c r="BB13" i="4"/>
  <c r="AS14" i="4"/>
  <c r="AW14" i="4"/>
  <c r="BA14" i="4"/>
  <c r="AS15" i="4"/>
  <c r="AS18" i="4"/>
  <c r="BC19" i="4"/>
  <c r="AY19" i="4"/>
  <c r="AU19" i="4"/>
  <c r="BB19" i="4"/>
  <c r="AX19" i="4"/>
  <c r="AT19" i="4"/>
  <c r="AZ19" i="4"/>
  <c r="AS11" i="4"/>
  <c r="AW11" i="4"/>
  <c r="BA11" i="4"/>
  <c r="BC15" i="4"/>
  <c r="AY15" i="4"/>
  <c r="AU15" i="4"/>
  <c r="BB15" i="4"/>
  <c r="AX15" i="4"/>
  <c r="AT15" i="4"/>
  <c r="AV15" i="4"/>
  <c r="BA7" i="4"/>
  <c r="AX7" i="4"/>
  <c r="AW8" i="4"/>
  <c r="AX11" i="4"/>
  <c r="AS12" i="4"/>
  <c r="BA12" i="4"/>
  <c r="K15" i="4"/>
  <c r="AW15" i="4"/>
  <c r="AZ18" i="4"/>
  <c r="AV18" i="4"/>
  <c r="BC18" i="4"/>
  <c r="AY18" i="4"/>
  <c r="AU18" i="4"/>
  <c r="AW18" i="4"/>
  <c r="AW7" i="4"/>
  <c r="K7" i="4"/>
  <c r="AT7" i="4"/>
  <c r="AS8" i="4"/>
  <c r="AW12" i="4"/>
  <c r="AS5" i="4"/>
  <c r="AW5" i="4"/>
  <c r="AV6" i="4"/>
  <c r="AU7" i="4"/>
  <c r="AY7" i="4"/>
  <c r="AT8" i="4"/>
  <c r="AX8" i="4"/>
  <c r="AS9" i="4"/>
  <c r="AW9" i="4"/>
  <c r="AV10" i="4"/>
  <c r="AU11" i="4"/>
  <c r="AY11" i="4"/>
  <c r="AT12" i="4"/>
  <c r="AX12" i="4"/>
  <c r="AS13" i="4"/>
  <c r="AW13" i="4"/>
  <c r="AV14" i="4"/>
  <c r="AZ15" i="4"/>
  <c r="K18" i="4"/>
  <c r="AX18" i="4"/>
  <c r="K19" i="4"/>
  <c r="AW19" i="4"/>
  <c r="AS24" i="4"/>
  <c r="AW24" i="4"/>
  <c r="BA24" i="4"/>
  <c r="AS28" i="4"/>
  <c r="AW28" i="4"/>
  <c r="BA28" i="4"/>
  <c r="AS32" i="4"/>
  <c r="AW32" i="4"/>
  <c r="BA32" i="4"/>
  <c r="K24" i="4"/>
  <c r="AT24" i="4"/>
  <c r="AX24" i="4"/>
  <c r="BB24" i="4"/>
  <c r="AS25" i="4"/>
  <c r="AW25" i="4"/>
  <c r="BA25" i="4"/>
  <c r="K28" i="4"/>
  <c r="AT28" i="4"/>
  <c r="AX28" i="4"/>
  <c r="BB28" i="4"/>
  <c r="AS29" i="4"/>
  <c r="AW29" i="4"/>
  <c r="BA29" i="4"/>
  <c r="K32" i="4"/>
  <c r="AT32" i="4"/>
  <c r="AX32" i="4"/>
  <c r="BB32" i="4"/>
  <c r="BC33" i="4"/>
  <c r="AY33" i="4"/>
  <c r="AU33" i="4"/>
  <c r="BB33" i="4"/>
  <c r="AX33" i="4"/>
  <c r="AS33" i="4"/>
  <c r="AZ33" i="4"/>
  <c r="AS16" i="4"/>
  <c r="AW16" i="4"/>
  <c r="BA16" i="4"/>
  <c r="AV17" i="4"/>
  <c r="AZ17" i="4"/>
  <c r="AS20" i="4"/>
  <c r="AW20" i="4"/>
  <c r="BA20" i="4"/>
  <c r="AV21" i="4"/>
  <c r="AZ21" i="4"/>
  <c r="AS22" i="4"/>
  <c r="AW22" i="4"/>
  <c r="BA22" i="4"/>
  <c r="AV23" i="4"/>
  <c r="AZ23" i="4"/>
  <c r="AU24" i="4"/>
  <c r="AY24" i="4"/>
  <c r="BC24" i="4"/>
  <c r="AT25" i="4"/>
  <c r="AX25" i="4"/>
  <c r="BB25" i="4"/>
  <c r="AS26" i="4"/>
  <c r="AW26" i="4"/>
  <c r="BA26" i="4"/>
  <c r="AV27" i="4"/>
  <c r="AZ27" i="4"/>
  <c r="AU28" i="4"/>
  <c r="AY28" i="4"/>
  <c r="BC28" i="4"/>
  <c r="AT29" i="4"/>
  <c r="AX29" i="4"/>
  <c r="BB29" i="4"/>
  <c r="AS30" i="4"/>
  <c r="AW30" i="4"/>
  <c r="AV31" i="4"/>
  <c r="AZ31" i="4"/>
  <c r="AU32" i="4"/>
  <c r="AY32" i="4"/>
  <c r="BC32" i="4"/>
  <c r="AT33" i="4"/>
  <c r="BA33" i="4"/>
  <c r="AT16" i="4"/>
  <c r="AX16" i="4"/>
  <c r="AS17" i="4"/>
  <c r="AW17" i="4"/>
  <c r="AT20" i="4"/>
  <c r="AX20" i="4"/>
  <c r="AS21" i="4"/>
  <c r="AW21" i="4"/>
  <c r="AT22" i="4"/>
  <c r="AX22" i="4"/>
  <c r="AS23" i="4"/>
  <c r="AW23" i="4"/>
  <c r="AV24" i="4"/>
  <c r="AU25" i="4"/>
  <c r="AY25" i="4"/>
  <c r="AT26" i="4"/>
  <c r="AX26" i="4"/>
  <c r="AS27" i="4"/>
  <c r="AW27" i="4"/>
  <c r="AV28" i="4"/>
  <c r="AU29" i="4"/>
  <c r="AY29" i="4"/>
  <c r="AS31" i="4"/>
  <c r="AW31" i="4"/>
  <c r="AV32" i="4"/>
  <c r="AV33" i="4"/>
  <c r="AS37" i="4"/>
  <c r="AW37" i="4"/>
  <c r="BA37" i="4"/>
  <c r="AS41" i="4"/>
  <c r="AW41" i="4"/>
  <c r="BA41" i="4"/>
  <c r="AS45" i="4"/>
  <c r="AW45" i="4"/>
  <c r="BA45" i="4"/>
  <c r="AU47" i="4"/>
  <c r="AY47" i="4"/>
  <c r="BC47" i="4"/>
  <c r="AT48" i="4"/>
  <c r="AX48" i="4"/>
  <c r="BB48" i="4"/>
  <c r="AS49" i="4"/>
  <c r="AW49" i="4"/>
  <c r="BA49" i="4"/>
  <c r="AV50" i="4"/>
  <c r="AZ50" i="4"/>
  <c r="AU51" i="4"/>
  <c r="AY51" i="4"/>
  <c r="BC51" i="4"/>
  <c r="AT52" i="4"/>
  <c r="AX52" i="4"/>
  <c r="BB52" i="4"/>
  <c r="AS53" i="4"/>
  <c r="AW53" i="4"/>
  <c r="BA53" i="4"/>
  <c r="AV54" i="4"/>
  <c r="AZ54" i="4"/>
  <c r="AS34" i="4"/>
  <c r="AW34" i="4"/>
  <c r="BA34" i="4"/>
  <c r="AV35" i="4"/>
  <c r="AZ35" i="4"/>
  <c r="AU36" i="4"/>
  <c r="AY36" i="4"/>
  <c r="BC36" i="4"/>
  <c r="AT37" i="4"/>
  <c r="AX37" i="4"/>
  <c r="BB37" i="4"/>
  <c r="AS38" i="4"/>
  <c r="AW38" i="4"/>
  <c r="BA38" i="4"/>
  <c r="AV39" i="4"/>
  <c r="AZ39" i="4"/>
  <c r="AU40" i="4"/>
  <c r="AY40" i="4"/>
  <c r="BC40" i="4"/>
  <c r="AT41" i="4"/>
  <c r="AX41" i="4"/>
  <c r="BB41" i="4"/>
  <c r="AS42" i="4"/>
  <c r="AW42" i="4"/>
  <c r="BA42" i="4"/>
  <c r="AV43" i="4"/>
  <c r="AZ43" i="4"/>
  <c r="AU44" i="4"/>
  <c r="AY44" i="4"/>
  <c r="BC44" i="4"/>
  <c r="AT45" i="4"/>
  <c r="AX45" i="4"/>
  <c r="BB45" i="4"/>
  <c r="AS46" i="4"/>
  <c r="AW46" i="4"/>
  <c r="BA46" i="4"/>
  <c r="AV47" i="4"/>
  <c r="AZ47" i="4"/>
  <c r="AU48" i="4"/>
  <c r="AY48" i="4"/>
  <c r="BC48" i="4"/>
  <c r="AT49" i="4"/>
  <c r="AX49" i="4"/>
  <c r="BB49" i="4"/>
  <c r="AS50" i="4"/>
  <c r="AW50" i="4"/>
  <c r="BA50" i="4"/>
  <c r="AV51" i="4"/>
  <c r="AZ51" i="4"/>
  <c r="AU52" i="4"/>
  <c r="AY52" i="4"/>
  <c r="BC52" i="4"/>
  <c r="AT53" i="4"/>
  <c r="AX53" i="4"/>
  <c r="BB53" i="4"/>
  <c r="AS54" i="4"/>
  <c r="AW54" i="4"/>
  <c r="BA54" i="4"/>
  <c r="AT34" i="4"/>
  <c r="AX34" i="4"/>
  <c r="BB34" i="4"/>
  <c r="AS35" i="4"/>
  <c r="AW35" i="4"/>
  <c r="BA35" i="4"/>
  <c r="AV36" i="4"/>
  <c r="AZ36" i="4"/>
  <c r="AU37" i="4"/>
  <c r="AY37" i="4"/>
  <c r="BC37" i="4"/>
  <c r="AX38" i="4"/>
  <c r="BB38" i="4"/>
  <c r="AS39" i="4"/>
  <c r="AW39" i="4"/>
  <c r="BA39" i="4"/>
  <c r="AV40" i="4"/>
  <c r="AZ40" i="4"/>
  <c r="AU41" i="4"/>
  <c r="AY41" i="4"/>
  <c r="BC41" i="4"/>
  <c r="AX42" i="4"/>
  <c r="BB42" i="4"/>
  <c r="AS43" i="4"/>
  <c r="AW43" i="4"/>
  <c r="BA43" i="4"/>
  <c r="AV44" i="4"/>
  <c r="AZ44" i="4"/>
  <c r="AU45" i="4"/>
  <c r="AY45" i="4"/>
  <c r="BC45" i="4"/>
  <c r="AT46" i="4"/>
  <c r="AX46" i="4"/>
  <c r="BB46" i="4"/>
  <c r="AS47" i="4"/>
  <c r="AW47" i="4"/>
  <c r="BA47" i="4"/>
  <c r="AV48" i="4"/>
  <c r="AZ48" i="4"/>
  <c r="AU49" i="4"/>
  <c r="AY49" i="4"/>
  <c r="BC49" i="4"/>
  <c r="AT50" i="4"/>
  <c r="AX50" i="4"/>
  <c r="BB50" i="4"/>
  <c r="AS51" i="4"/>
  <c r="AW51" i="4"/>
  <c r="BA51" i="4"/>
  <c r="AV52" i="4"/>
  <c r="AZ52" i="4"/>
  <c r="AU53" i="4"/>
  <c r="AY53" i="4"/>
  <c r="BC53" i="4"/>
  <c r="AT54" i="4"/>
  <c r="AX54" i="4"/>
  <c r="BB54" i="4"/>
  <c r="AY34" i="4"/>
  <c r="AT35" i="4"/>
  <c r="AX35" i="4"/>
  <c r="AS36" i="4"/>
  <c r="AW36" i="4"/>
  <c r="AV37" i="4"/>
  <c r="AU38" i="4"/>
  <c r="AY38" i="4"/>
  <c r="K39" i="4"/>
  <c r="AT39" i="4"/>
  <c r="AX39" i="4"/>
  <c r="AS40" i="4"/>
  <c r="AW40" i="4"/>
  <c r="AV41" i="4"/>
  <c r="AU42" i="4"/>
  <c r="AY42" i="4"/>
  <c r="K43" i="4"/>
  <c r="AT43" i="4"/>
  <c r="AX43" i="4"/>
  <c r="AS44" i="4"/>
  <c r="AW44" i="4"/>
  <c r="AV45" i="4"/>
  <c r="AU46" i="4"/>
  <c r="AY46" i="4"/>
  <c r="K47" i="4"/>
  <c r="AT47" i="4"/>
  <c r="AX47" i="4"/>
  <c r="AS48" i="4"/>
  <c r="AW48" i="4"/>
  <c r="AV49" i="4"/>
  <c r="AU50" i="4"/>
  <c r="AY50" i="4"/>
  <c r="AT51" i="4"/>
  <c r="AX51" i="4"/>
  <c r="AS52" i="4"/>
  <c r="AW52" i="4"/>
  <c r="AV53" i="4"/>
  <c r="AU54" i="4"/>
  <c r="AY54" i="4"/>
  <c r="E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Jefferies</author>
    <author>Jefferies, Alexander J P</author>
  </authors>
  <commentList>
    <comment ref="B4" authorId="0" shapeId="0" xr:uid="{754E702B-A837-8846-AF72-39FF235820A8}">
      <text>
        <r>
          <rPr>
            <b/>
            <sz val="10"/>
            <color rgb="FF000000"/>
            <rFont val="Tahoma"/>
            <family val="2"/>
          </rPr>
          <t>Alexander Jefferies:</t>
        </r>
        <r>
          <rPr>
            <sz val="10"/>
            <color rgb="FF000000"/>
            <rFont val="Tahoma"/>
            <family val="2"/>
          </rPr>
          <t xml:space="preserve">
</t>
        </r>
        <r>
          <rPr>
            <sz val="10"/>
            <color rgb="FF000000"/>
            <rFont val="Tahoma"/>
            <family val="2"/>
          </rPr>
          <t>Depth to crest of reservoir</t>
        </r>
      </text>
    </comment>
    <comment ref="C4" authorId="0" shapeId="0" xr:uid="{2A196B49-1D8C-2C42-8E7E-E68AC58B97EB}">
      <text>
        <r>
          <rPr>
            <b/>
            <sz val="10"/>
            <color rgb="FF000000"/>
            <rFont val="Tahoma"/>
            <family val="2"/>
          </rPr>
          <t>Alexander Jefferies:</t>
        </r>
        <r>
          <rPr>
            <sz val="10"/>
            <color rgb="FF000000"/>
            <rFont val="Tahoma"/>
            <family val="2"/>
          </rPr>
          <t xml:space="preserve">
</t>
        </r>
        <r>
          <rPr>
            <sz val="10"/>
            <color rgb="FF000000"/>
            <rFont val="Tahoma"/>
            <family val="2"/>
          </rPr>
          <t>Calculated from the surface temperature, reservoir depth, and reservior temperature</t>
        </r>
      </text>
    </comment>
    <comment ref="J4" authorId="0" shapeId="0" xr:uid="{31CD8619-2A4F-0143-AF79-39B694382EE4}">
      <text>
        <r>
          <rPr>
            <b/>
            <sz val="10"/>
            <color rgb="FF000000"/>
            <rFont val="Tahoma"/>
            <family val="2"/>
          </rPr>
          <t>Alexander Jefferies:</t>
        </r>
        <r>
          <rPr>
            <sz val="10"/>
            <color rgb="FF000000"/>
            <rFont val="Tahoma"/>
            <family val="2"/>
          </rPr>
          <t xml:space="preserve">
</t>
        </r>
        <r>
          <rPr>
            <sz val="10"/>
            <color rgb="FF000000"/>
            <rFont val="Tahoma"/>
            <family val="2"/>
          </rPr>
          <t xml:space="preserve">Change in enthalpy from state 3 to state 4. </t>
        </r>
        <r>
          <rPr>
            <sz val="10"/>
            <color rgb="FF000000"/>
            <rFont val="Calibri"/>
            <family val="2"/>
            <scheme val="minor"/>
          </rPr>
          <t>∆h</t>
        </r>
        <r>
          <rPr>
            <sz val="10"/>
            <color rgb="FF000000"/>
            <rFont val="Calibri"/>
            <family val="2"/>
            <scheme val="minor"/>
          </rPr>
          <t xml:space="preserve"> </t>
        </r>
        <r>
          <rPr>
            <sz val="10"/>
            <color rgb="FF000000"/>
            <rFont val="Calibri"/>
            <family val="2"/>
            <scheme val="minor"/>
          </rPr>
          <t>=</t>
        </r>
        <r>
          <rPr>
            <sz val="10"/>
            <color rgb="FF000000"/>
            <rFont val="Calibri"/>
            <family val="2"/>
            <scheme val="minor"/>
          </rPr>
          <t xml:space="preserve"> </t>
        </r>
        <r>
          <rPr>
            <sz val="10"/>
            <color rgb="FF000000"/>
            <rFont val="Calibri"/>
            <family val="2"/>
            <scheme val="minor"/>
          </rPr>
          <t>g (∆z)</t>
        </r>
      </text>
    </comment>
    <comment ref="K4" authorId="0" shapeId="0" xr:uid="{A7AEB284-04B1-CE46-9354-A6C2B735941D}">
      <text>
        <r>
          <rPr>
            <b/>
            <sz val="10"/>
            <color rgb="FF000000"/>
            <rFont val="Tahoma"/>
            <family val="2"/>
          </rPr>
          <t>Alexander Jefferies:</t>
        </r>
        <r>
          <rPr>
            <sz val="10"/>
            <color rgb="FF000000"/>
            <rFont val="Tahoma"/>
            <family val="2"/>
          </rPr>
          <t xml:space="preserve">
</t>
        </r>
        <r>
          <rPr>
            <sz val="10"/>
            <color rgb="FF000000"/>
            <rFont val="Tahoma"/>
            <family val="2"/>
          </rPr>
          <t>Pressure</t>
        </r>
      </text>
    </comment>
    <comment ref="L4" authorId="0" shapeId="0" xr:uid="{7514934E-34E5-A64F-AA7D-EB542FE2C1D6}">
      <text>
        <r>
          <rPr>
            <b/>
            <sz val="10"/>
            <color rgb="FF000000"/>
            <rFont val="Tahoma"/>
            <family val="2"/>
          </rPr>
          <t>Alexander Jefferies:</t>
        </r>
        <r>
          <rPr>
            <sz val="10"/>
            <color rgb="FF000000"/>
            <rFont val="Tahoma"/>
            <family val="2"/>
          </rPr>
          <t xml:space="preserve">
</t>
        </r>
        <r>
          <rPr>
            <sz val="10"/>
            <color rgb="FF000000"/>
            <rFont val="Tahoma"/>
            <family val="2"/>
          </rPr>
          <t>Temperature</t>
        </r>
      </text>
    </comment>
    <comment ref="M4" authorId="0" shapeId="0" xr:uid="{EFAF7DD0-D6E9-164B-9D60-7DCB479B986D}">
      <text>
        <r>
          <rPr>
            <b/>
            <sz val="10"/>
            <color rgb="FF000000"/>
            <rFont val="Tahoma"/>
            <family val="2"/>
          </rPr>
          <t>Alexander Jefferies:</t>
        </r>
        <r>
          <rPr>
            <sz val="10"/>
            <color rgb="FF000000"/>
            <rFont val="Tahoma"/>
            <family val="2"/>
          </rPr>
          <t xml:space="preserve">
</t>
        </r>
        <r>
          <rPr>
            <sz val="10"/>
            <color rgb="FF000000"/>
            <rFont val="Tahoma"/>
            <family val="2"/>
          </rPr>
          <t>Density</t>
        </r>
      </text>
    </comment>
    <comment ref="N4" authorId="0" shapeId="0" xr:uid="{E980AA1F-B327-B24A-81C5-F84AC348C60F}">
      <text>
        <r>
          <rPr>
            <b/>
            <sz val="10"/>
            <color rgb="FF000000"/>
            <rFont val="Tahoma"/>
            <family val="2"/>
          </rPr>
          <t>Alexander Jefferies:</t>
        </r>
        <r>
          <rPr>
            <sz val="10"/>
            <color rgb="FF000000"/>
            <rFont val="Tahoma"/>
            <family val="2"/>
          </rPr>
          <t xml:space="preserve">
</t>
        </r>
        <r>
          <rPr>
            <sz val="10"/>
            <color rgb="FF000000"/>
            <rFont val="Tahoma"/>
            <family val="2"/>
          </rPr>
          <t>enthalpy</t>
        </r>
      </text>
    </comment>
    <comment ref="AB4" authorId="1" shapeId="0" xr:uid="{862813C4-1C68-DB42-ADEF-FCFFEF679867}">
      <text>
        <r>
          <rPr>
            <b/>
            <sz val="10"/>
            <color rgb="FF000000"/>
            <rFont val="Tahoma"/>
            <family val="2"/>
          </rPr>
          <t>Jefferies, Alexander J P:</t>
        </r>
        <r>
          <rPr>
            <sz val="10"/>
            <color rgb="FF000000"/>
            <rFont val="Tahoma"/>
            <family val="2"/>
          </rPr>
          <t xml:space="preserve">
</t>
        </r>
        <r>
          <rPr>
            <sz val="10"/>
            <color rgb="FF000000"/>
            <rFont val="Tahoma"/>
            <family val="2"/>
          </rPr>
          <t xml:space="preserve">capped at 500 m2.
</t>
        </r>
        <r>
          <rPr>
            <sz val="10"/>
            <color rgb="FF000000"/>
            <rFont val="Tahoma"/>
            <family val="2"/>
          </rPr>
          <t>From 'cooling calculations' sheet.</t>
        </r>
      </text>
    </comment>
    <comment ref="AC4" authorId="1" shapeId="0" xr:uid="{91BD16A0-AD7A-C545-9E4B-EFDCB6381B72}">
      <text>
        <r>
          <rPr>
            <b/>
            <sz val="10"/>
            <color rgb="FF000000"/>
            <rFont val="Tahoma"/>
            <family val="2"/>
          </rPr>
          <t>Jefferies, Alexander J P:</t>
        </r>
        <r>
          <rPr>
            <sz val="10"/>
            <color rgb="FF000000"/>
            <rFont val="Tahoma"/>
            <family val="2"/>
          </rPr>
          <t xml:space="preserve">
</t>
        </r>
        <r>
          <rPr>
            <sz val="10"/>
            <color rgb="FF000000"/>
            <rFont val="Calibri"/>
            <family val="2"/>
          </rPr>
          <t xml:space="preserve">From 'cooling calculations' sheet.
</t>
        </r>
      </text>
    </comment>
    <comment ref="AM4" authorId="1" shapeId="0" xr:uid="{8B3BCE92-2A08-7B46-83C5-AF338FCE9841}">
      <text>
        <r>
          <rPr>
            <b/>
            <sz val="10"/>
            <color rgb="FF000000"/>
            <rFont val="Tahoma"/>
            <family val="2"/>
          </rPr>
          <t>Jefferies, Alexander J P:</t>
        </r>
        <r>
          <rPr>
            <sz val="10"/>
            <color rgb="FF000000"/>
            <rFont val="Tahoma"/>
            <family val="2"/>
          </rPr>
          <t xml:space="preserve">
</t>
        </r>
        <r>
          <rPr>
            <sz val="10"/>
            <color rgb="FF000000"/>
            <rFont val="Tahoma"/>
            <family val="2"/>
          </rPr>
          <t>7.5 MPa (near-isobaric cooling)</t>
        </r>
      </text>
    </comment>
    <comment ref="AR4" authorId="0" shapeId="0" xr:uid="{9956530B-9A47-C141-8264-2B8FE8C630F6}">
      <text>
        <r>
          <rPr>
            <b/>
            <sz val="10"/>
            <color rgb="FF000000"/>
            <rFont val="Tahoma"/>
            <family val="2"/>
          </rPr>
          <t>Alexander Jefferies:</t>
        </r>
        <r>
          <rPr>
            <sz val="10"/>
            <color rgb="FF000000"/>
            <rFont val="Tahoma"/>
            <family val="2"/>
          </rPr>
          <t xml:space="preserve">
</t>
        </r>
        <r>
          <rPr>
            <sz val="10"/>
            <color rgb="FF000000"/>
            <rFont val="Tahoma"/>
            <family val="2"/>
          </rPr>
          <t xml:space="preserve">
</t>
        </r>
        <r>
          <rPr>
            <sz val="10"/>
            <color rgb="FF000000"/>
            <rFont val="Tahoma"/>
            <family val="2"/>
          </rPr>
          <t>Taken from column E</t>
        </r>
      </text>
    </comment>
    <comment ref="AS4" authorId="1" shapeId="0" xr:uid="{1B3A3E37-2676-2046-9CC6-45ECA94F4B62}">
      <text>
        <r>
          <rPr>
            <b/>
            <sz val="10"/>
            <color rgb="FF000000"/>
            <rFont val="Tahoma"/>
            <family val="2"/>
          </rPr>
          <t>Jefferies, Alexander J P:</t>
        </r>
        <r>
          <rPr>
            <sz val="10"/>
            <color rgb="FF000000"/>
            <rFont val="Tahoma"/>
            <family val="2"/>
          </rPr>
          <t xml:space="preserve">
</t>
        </r>
        <r>
          <rPr>
            <sz val="10"/>
            <color rgb="FF000000"/>
            <rFont val="Calibri"/>
            <family val="2"/>
          </rPr>
          <t>The approach temperature is chosen (to the nearest degree) so that CO</t>
        </r>
        <r>
          <rPr>
            <vertAlign val="subscript"/>
            <sz val="10"/>
            <color rgb="FF000000"/>
            <rFont val="Calibri"/>
            <family val="2"/>
          </rPr>
          <t>2</t>
        </r>
        <r>
          <rPr>
            <sz val="10"/>
            <color rgb="FF000000"/>
            <rFont val="Calibri"/>
            <family val="2"/>
          </rPr>
          <t xml:space="preserve"> reinjected into the reservoir can be isentropically compressed to the reservoir hydrostatic pressure at state 2.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Jefferies, Alexander J P</author>
    <author>Alexander Jefferies</author>
  </authors>
  <commentList>
    <comment ref="BK1" authorId="0" shapeId="0" xr:uid="{500FB71F-3EAD-A24D-8748-085D8BC35690}">
      <text>
        <r>
          <rPr>
            <b/>
            <sz val="10"/>
            <color rgb="FF000000"/>
            <rFont val="Tahoma"/>
            <family val="2"/>
          </rPr>
          <t>Jefferies, Alexander J P:</t>
        </r>
        <r>
          <rPr>
            <sz val="10"/>
            <color rgb="FF000000"/>
            <rFont val="Tahoma"/>
            <family val="2"/>
          </rPr>
          <t xml:space="preserve">
</t>
        </r>
        <r>
          <rPr>
            <sz val="10"/>
            <color rgb="FF000000"/>
            <rFont val="Tahoma"/>
            <family val="2"/>
          </rPr>
          <t>(well diameter)</t>
        </r>
      </text>
    </comment>
    <comment ref="I2" authorId="0" shapeId="0" xr:uid="{7EBA2A4B-1F87-3D4D-839E-CB0B73C7F9FD}">
      <text>
        <r>
          <rPr>
            <b/>
            <sz val="10"/>
            <color rgb="FF000000"/>
            <rFont val="Tahoma"/>
            <family val="2"/>
          </rPr>
          <t>Jefferies, Alexander J P:</t>
        </r>
        <r>
          <rPr>
            <sz val="10"/>
            <color rgb="FF000000"/>
            <rFont val="Tahoma"/>
            <family val="2"/>
          </rPr>
          <t xml:space="preserve">
</t>
        </r>
        <r>
          <rPr>
            <sz val="10"/>
            <color rgb="FF000000"/>
            <rFont val="Tahoma"/>
            <family val="2"/>
          </rPr>
          <t>From sheet ' selecting a target field', column AB</t>
        </r>
      </text>
    </comment>
    <comment ref="BJ2" authorId="0" shapeId="0" xr:uid="{6CD5CB0B-8A13-4F4B-8092-3848657E10DF}">
      <text>
        <r>
          <rPr>
            <b/>
            <sz val="10"/>
            <color rgb="FF000000"/>
            <rFont val="Tahoma"/>
            <family val="2"/>
          </rPr>
          <t>Jefferies, Alexander J P:</t>
        </r>
        <r>
          <rPr>
            <sz val="10"/>
            <color rgb="FF000000"/>
            <rFont val="Tahoma"/>
            <family val="2"/>
          </rPr>
          <t xml:space="preserve">
</t>
        </r>
        <r>
          <rPr>
            <sz val="10"/>
            <color rgb="FF000000"/>
            <rFont val="Tahoma"/>
            <family val="2"/>
          </rPr>
          <t>From sheet ' selecting a target field'.</t>
        </r>
      </text>
    </comment>
    <comment ref="I3" authorId="1" shapeId="0" xr:uid="{61999483-3FB5-3241-9FA1-7F4FBE56361A}">
      <text>
        <r>
          <rPr>
            <b/>
            <sz val="10"/>
            <color rgb="FF000000"/>
            <rFont val="Tahoma"/>
            <family val="2"/>
          </rPr>
          <t>Alexander Jefferies:</t>
        </r>
        <r>
          <rPr>
            <sz val="10"/>
            <color rgb="FF000000"/>
            <rFont val="Tahoma"/>
            <family val="2"/>
          </rPr>
          <t xml:space="preserve">
</t>
        </r>
        <r>
          <rPr>
            <sz val="10"/>
            <color rgb="FF000000"/>
            <rFont val="Tahoma"/>
            <family val="2"/>
          </rPr>
          <t>Heat must be rejected to the surroundings</t>
        </r>
      </text>
    </comment>
    <comment ref="I4" authorId="1" shapeId="0" xr:uid="{BBF12039-0BC2-A549-A395-5F8083016996}">
      <text>
        <r>
          <rPr>
            <b/>
            <sz val="10"/>
            <color rgb="FF000000"/>
            <rFont val="Tahoma"/>
            <family val="2"/>
          </rPr>
          <t>Alexander Jefferies:</t>
        </r>
        <r>
          <rPr>
            <sz val="10"/>
            <color rgb="FF000000"/>
            <rFont val="Tahoma"/>
            <family val="2"/>
          </rPr>
          <t xml:space="preserve">
</t>
        </r>
        <r>
          <rPr>
            <sz val="10"/>
            <color rgb="FF000000"/>
            <rFont val="Tahoma"/>
            <family val="2"/>
          </rPr>
          <t>Temperature of CO2 entering the heat exchanger</t>
        </r>
      </text>
    </comment>
    <comment ref="I5" authorId="1" shapeId="0" xr:uid="{FFD680A0-AF12-254A-BAD1-CDC69F390D3F}">
      <text>
        <r>
          <rPr>
            <b/>
            <sz val="10"/>
            <color rgb="FF000000"/>
            <rFont val="Tahoma"/>
            <family val="2"/>
          </rPr>
          <t>Alexander Jefferies:</t>
        </r>
        <r>
          <rPr>
            <sz val="10"/>
            <color rgb="FF000000"/>
            <rFont val="Tahoma"/>
            <family val="2"/>
          </rPr>
          <t xml:space="preserve">
</t>
        </r>
        <r>
          <rPr>
            <sz val="10"/>
            <color rgb="FF000000"/>
            <rFont val="Tahoma"/>
            <family val="2"/>
          </rPr>
          <t>Temperature of CO2 exiting the heat exchanger</t>
        </r>
      </text>
    </comment>
    <comment ref="I6" authorId="1" shapeId="0" xr:uid="{4FD77C04-1079-C740-870D-67D0EC75C51E}">
      <text>
        <r>
          <rPr>
            <b/>
            <sz val="10"/>
            <color rgb="FF000000"/>
            <rFont val="Tahoma"/>
            <family val="2"/>
          </rPr>
          <t>Alexander Jefferies:</t>
        </r>
        <r>
          <rPr>
            <sz val="10"/>
            <color rgb="FF000000"/>
            <rFont val="Tahoma"/>
            <family val="2"/>
          </rPr>
          <t xml:space="preserve">
</t>
        </r>
        <r>
          <rPr>
            <sz val="10"/>
            <color rgb="FF000000"/>
            <rFont val="Tahoma"/>
            <family val="2"/>
          </rPr>
          <t>Temperature of seawater entering the heat exchanger</t>
        </r>
      </text>
    </comment>
    <comment ref="I7" authorId="1" shapeId="0" xr:uid="{788C8596-2C3B-4847-AD70-AE468576BB49}">
      <text>
        <r>
          <rPr>
            <b/>
            <sz val="10"/>
            <color rgb="FF000000"/>
            <rFont val="Tahoma"/>
            <family val="2"/>
          </rPr>
          <t>Alexander Jefferies:</t>
        </r>
        <r>
          <rPr>
            <sz val="10"/>
            <color rgb="FF000000"/>
            <rFont val="Tahoma"/>
            <family val="2"/>
          </rPr>
          <t xml:space="preserve">
</t>
        </r>
        <r>
          <rPr>
            <sz val="10"/>
            <color rgb="FF000000"/>
            <rFont val="Tahoma"/>
            <family val="2"/>
          </rPr>
          <t>Temperature of seawater exiting the heat exchanger.</t>
        </r>
      </text>
    </comment>
    <comment ref="I8" authorId="0" shapeId="0" xr:uid="{61CE2442-F934-A146-8AA7-A1EFE9321294}">
      <text>
        <r>
          <rPr>
            <b/>
            <sz val="10"/>
            <color rgb="FF000000"/>
            <rFont val="Tahoma"/>
            <family val="2"/>
          </rPr>
          <t>Jefferies, Alexander J P:</t>
        </r>
        <r>
          <rPr>
            <sz val="10"/>
            <color rgb="FF000000"/>
            <rFont val="Tahoma"/>
            <family val="2"/>
          </rPr>
          <t xml:space="preserve">
</t>
        </r>
        <r>
          <rPr>
            <sz val="10"/>
            <color rgb="FF000000"/>
            <rFont val="Tahoma"/>
            <family val="2"/>
          </rPr>
          <t>For counter-current flow</t>
        </r>
      </text>
    </comment>
    <comment ref="BJ8" authorId="0" shapeId="0" xr:uid="{3D9B8495-9F24-2E47-875C-435CF123B737}">
      <text>
        <r>
          <rPr>
            <b/>
            <sz val="10"/>
            <color rgb="FF000000"/>
            <rFont val="Tahoma"/>
            <family val="2"/>
          </rPr>
          <t>Jefferies, Alexander J P:</t>
        </r>
        <r>
          <rPr>
            <sz val="10"/>
            <color rgb="FF000000"/>
            <rFont val="Tahoma"/>
            <family val="2"/>
          </rPr>
          <t xml:space="preserve">
</t>
        </r>
        <r>
          <rPr>
            <sz val="10"/>
            <color rgb="FF000000"/>
            <rFont val="Tahoma"/>
            <family val="2"/>
          </rPr>
          <t>For counter-current flow</t>
        </r>
      </text>
    </comment>
    <comment ref="I10" authorId="1" shapeId="0" xr:uid="{5941EFEC-79C1-684D-AE62-D21721813B82}">
      <text>
        <r>
          <rPr>
            <b/>
            <sz val="10"/>
            <color rgb="FF000000"/>
            <rFont val="Tahoma"/>
            <family val="2"/>
          </rPr>
          <t>Alexander Jefferies:</t>
        </r>
        <r>
          <rPr>
            <sz val="10"/>
            <color rgb="FF000000"/>
            <rFont val="Tahoma"/>
            <family val="2"/>
          </rPr>
          <t xml:space="preserve">
</t>
        </r>
        <r>
          <rPr>
            <sz val="10"/>
            <color rgb="FF000000"/>
            <rFont val="Tahoma"/>
            <family val="2"/>
          </rPr>
          <t>Average of the heat exchanger inlet and outlet temperatures</t>
        </r>
      </text>
    </comment>
    <comment ref="I11" authorId="1" shapeId="0" xr:uid="{D7B22BC0-6A8F-D24F-95C7-4C45F5A78960}">
      <text>
        <r>
          <rPr>
            <b/>
            <sz val="10"/>
            <color rgb="FF000000"/>
            <rFont val="Tahoma"/>
            <family val="2"/>
          </rPr>
          <t>Alexander Jefferies:</t>
        </r>
        <r>
          <rPr>
            <sz val="10"/>
            <color rgb="FF000000"/>
            <rFont val="Tahoma"/>
            <family val="2"/>
          </rPr>
          <t xml:space="preserve">
</t>
        </r>
        <r>
          <rPr>
            <sz val="10"/>
            <color rgb="FF000000"/>
            <rFont val="Tahoma"/>
            <family val="2"/>
          </rPr>
          <t xml:space="preserve">Average density is calculated from temperature and pressure (7.5 MPa) </t>
        </r>
      </text>
    </comment>
    <comment ref="I12" authorId="1" shapeId="0" xr:uid="{F1CBBDEB-C90C-774F-BF58-56B608EE27F1}">
      <text>
        <r>
          <rPr>
            <b/>
            <sz val="10"/>
            <color rgb="FF000000"/>
            <rFont val="Tahoma"/>
            <family val="2"/>
          </rPr>
          <t>Alexander Jefferies:</t>
        </r>
        <r>
          <rPr>
            <sz val="10"/>
            <color rgb="FF000000"/>
            <rFont val="Tahoma"/>
            <family val="2"/>
          </rPr>
          <t xml:space="preserve">
</t>
        </r>
        <r>
          <rPr>
            <sz val="10"/>
            <color rgb="FF000000"/>
            <rFont val="Calibri"/>
            <family val="2"/>
            <scheme val="minor"/>
          </rPr>
          <t xml:space="preserve">Specific heat capacity is calculated from temperature and pressure (7.5 MPa) </t>
        </r>
        <r>
          <rPr>
            <sz val="10"/>
            <color rgb="FF000000"/>
            <rFont val="Calibri"/>
            <family val="2"/>
            <scheme val="minor"/>
          </rPr>
          <t xml:space="preserve">
</t>
        </r>
      </text>
    </comment>
    <comment ref="I13" authorId="1" shapeId="0" xr:uid="{22C8E4AC-C63F-4B4F-BCFE-B0A4606C1D6E}">
      <text>
        <r>
          <rPr>
            <b/>
            <sz val="10"/>
            <color rgb="FF000000"/>
            <rFont val="Tahoma"/>
            <family val="2"/>
          </rPr>
          <t>Alexander Jefferies:</t>
        </r>
        <r>
          <rPr>
            <sz val="10"/>
            <color rgb="FF000000"/>
            <rFont val="Tahoma"/>
            <family val="2"/>
          </rPr>
          <t xml:space="preserve">
</t>
        </r>
        <r>
          <rPr>
            <sz val="10"/>
            <color rgb="FF000000"/>
            <rFont val="Tahoma"/>
            <family val="2"/>
          </rPr>
          <t>Thermal conductivity derived from pressure and temperature</t>
        </r>
      </text>
    </comment>
    <comment ref="I14" authorId="1" shapeId="0" xr:uid="{6626A13E-4EC4-F448-B4BF-67C1323FEC27}">
      <text>
        <r>
          <rPr>
            <b/>
            <sz val="10"/>
            <color rgb="FF000000"/>
            <rFont val="Tahoma"/>
            <family val="2"/>
          </rPr>
          <t>Alexander Jefferies:</t>
        </r>
        <r>
          <rPr>
            <sz val="10"/>
            <color rgb="FF000000"/>
            <rFont val="Tahoma"/>
            <family val="2"/>
          </rPr>
          <t xml:space="preserve">
</t>
        </r>
        <r>
          <rPr>
            <sz val="10"/>
            <color rgb="FF000000"/>
            <rFont val="Tahoma"/>
            <family val="2"/>
          </rPr>
          <t>Volumetric flow</t>
        </r>
      </text>
    </comment>
    <comment ref="I15" authorId="1" shapeId="0" xr:uid="{122285EF-94B1-3443-B4EA-D62029B2D102}">
      <text>
        <r>
          <rPr>
            <b/>
            <sz val="10"/>
            <color rgb="FF000000"/>
            <rFont val="Tahoma"/>
            <family val="2"/>
          </rPr>
          <t>Alexander Jefferies:</t>
        </r>
        <r>
          <rPr>
            <sz val="10"/>
            <color rgb="FF000000"/>
            <rFont val="Tahoma"/>
            <family val="2"/>
          </rPr>
          <t xml:space="preserve">
</t>
        </r>
        <r>
          <rPr>
            <sz val="10"/>
            <color rgb="FF000000"/>
            <rFont val="Tahoma"/>
            <family val="2"/>
          </rPr>
          <t>Dynamic viscosity, derived from temperature and pressure</t>
        </r>
      </text>
    </comment>
    <comment ref="I17" authorId="1" shapeId="0" xr:uid="{07F85751-AD10-6B44-A036-C2C69B8D40BB}">
      <text>
        <r>
          <rPr>
            <b/>
            <sz val="10"/>
            <color rgb="FF000000"/>
            <rFont val="Tahoma"/>
            <family val="2"/>
          </rPr>
          <t>Alexander Jefferies:</t>
        </r>
        <r>
          <rPr>
            <sz val="10"/>
            <color rgb="FF000000"/>
            <rFont val="Tahoma"/>
            <family val="2"/>
          </rPr>
          <t xml:space="preserve">
</t>
        </r>
        <r>
          <rPr>
            <sz val="10"/>
            <color rgb="FF000000"/>
            <rFont val="Tahoma"/>
            <family val="2"/>
          </rPr>
          <t>Mass flow rate of CO2</t>
        </r>
      </text>
    </comment>
    <comment ref="I18" authorId="0" shapeId="0" xr:uid="{C91516D6-5F9B-6E4D-B545-B959016C3E4D}">
      <text>
        <r>
          <rPr>
            <b/>
            <sz val="10"/>
            <color rgb="FF000000"/>
            <rFont val="Tahoma"/>
            <family val="2"/>
          </rPr>
          <t>Jefferies, Alexander J P:</t>
        </r>
        <r>
          <rPr>
            <sz val="10"/>
            <color rgb="FF000000"/>
            <rFont val="Tahoma"/>
            <family val="2"/>
          </rPr>
          <t xml:space="preserve">
</t>
        </r>
        <r>
          <rPr>
            <sz val="10"/>
            <color rgb="FF000000"/>
            <rFont val="Tahoma"/>
            <family val="2"/>
          </rPr>
          <t>Inner tube diameter</t>
        </r>
      </text>
    </comment>
    <comment ref="BJ18" authorId="0" shapeId="0" xr:uid="{419B8374-0C9A-0446-939C-71E0FAF305D6}">
      <text>
        <r>
          <rPr>
            <b/>
            <sz val="10"/>
            <color rgb="FF000000"/>
            <rFont val="Tahoma"/>
            <family val="2"/>
          </rPr>
          <t>Jefferies, Alexander J P:</t>
        </r>
        <r>
          <rPr>
            <sz val="10"/>
            <color rgb="FF000000"/>
            <rFont val="Tahoma"/>
            <family val="2"/>
          </rPr>
          <t xml:space="preserve">
</t>
        </r>
        <r>
          <rPr>
            <sz val="10"/>
            <color rgb="FF000000"/>
            <rFont val="Tahoma"/>
            <family val="2"/>
          </rPr>
          <t>Innter tube diameter</t>
        </r>
      </text>
    </comment>
    <comment ref="I19" authorId="0" shapeId="0" xr:uid="{9216A345-B6D5-CE4C-87B9-75B4BBC7B22C}">
      <text>
        <r>
          <rPr>
            <b/>
            <sz val="10"/>
            <color rgb="FF000000"/>
            <rFont val="Tahoma"/>
            <family val="2"/>
          </rPr>
          <t>Jefferies, Alexander J P:</t>
        </r>
        <r>
          <rPr>
            <sz val="10"/>
            <color rgb="FF000000"/>
            <rFont val="Tahoma"/>
            <family val="2"/>
          </rPr>
          <t xml:space="preserve">
</t>
        </r>
        <r>
          <rPr>
            <sz val="10"/>
            <color rgb="FF000000"/>
            <rFont val="Tahoma"/>
            <family val="2"/>
          </rPr>
          <t>Outer tube diameter</t>
        </r>
      </text>
    </comment>
    <comment ref="BJ19" authorId="0" shapeId="0" xr:uid="{8CD6C4F1-1BF0-E741-A070-58D31234471E}">
      <text>
        <r>
          <rPr>
            <b/>
            <sz val="10"/>
            <color rgb="FF000000"/>
            <rFont val="Tahoma"/>
            <family val="2"/>
          </rPr>
          <t>Jefferies, Alexander J P:</t>
        </r>
        <r>
          <rPr>
            <sz val="10"/>
            <color rgb="FF000000"/>
            <rFont val="Tahoma"/>
            <family val="2"/>
          </rPr>
          <t xml:space="preserve">
</t>
        </r>
        <r>
          <rPr>
            <sz val="10"/>
            <color rgb="FF000000"/>
            <rFont val="Tahoma"/>
            <family val="2"/>
          </rPr>
          <t>Outer tube diameter</t>
        </r>
      </text>
    </comment>
    <comment ref="I20" authorId="1" shapeId="0" xr:uid="{47123E31-B2B8-6242-89D1-534F02162AFD}">
      <text>
        <r>
          <rPr>
            <b/>
            <sz val="10"/>
            <color rgb="FF000000"/>
            <rFont val="Tahoma"/>
            <family val="2"/>
          </rPr>
          <t>Alexander Jefferies:</t>
        </r>
        <r>
          <rPr>
            <sz val="10"/>
            <color rgb="FF000000"/>
            <rFont val="Tahoma"/>
            <family val="2"/>
          </rPr>
          <t xml:space="preserve">
</t>
        </r>
        <r>
          <rPr>
            <sz val="10"/>
            <color rgb="FF000000"/>
            <rFont val="Tahoma"/>
            <family val="2"/>
          </rPr>
          <t>CO2 velocity</t>
        </r>
      </text>
    </comment>
    <comment ref="I21" authorId="0" shapeId="0" xr:uid="{D6EABAAB-7C25-7648-B1D0-4408404AC118}">
      <text>
        <r>
          <rPr>
            <b/>
            <sz val="10"/>
            <color rgb="FF000000"/>
            <rFont val="Tahoma"/>
            <family val="2"/>
          </rPr>
          <t>Jefferies, Alexander J P:</t>
        </r>
        <r>
          <rPr>
            <sz val="10"/>
            <color rgb="FF000000"/>
            <rFont val="Tahoma"/>
            <family val="2"/>
          </rPr>
          <t xml:space="preserve">
</t>
        </r>
        <r>
          <rPr>
            <sz val="10"/>
            <color rgb="FF000000"/>
            <rFont val="Tahoma"/>
            <family val="2"/>
          </rPr>
          <t>No. tube passes</t>
        </r>
      </text>
    </comment>
    <comment ref="BJ21" authorId="0" shapeId="0" xr:uid="{F727B6BD-0BFA-E145-9928-CB85425380F8}">
      <text>
        <r>
          <rPr>
            <b/>
            <sz val="10"/>
            <color rgb="FF000000"/>
            <rFont val="Tahoma"/>
            <family val="2"/>
          </rPr>
          <t>Jefferies, Alexander J P:</t>
        </r>
        <r>
          <rPr>
            <sz val="10"/>
            <color rgb="FF000000"/>
            <rFont val="Tahoma"/>
            <family val="2"/>
          </rPr>
          <t xml:space="preserve">
</t>
        </r>
        <r>
          <rPr>
            <sz val="10"/>
            <color rgb="FF000000"/>
            <rFont val="Tahoma"/>
            <family val="2"/>
          </rPr>
          <t>No. tube passes</t>
        </r>
      </text>
    </comment>
    <comment ref="I22" authorId="0" shapeId="0" xr:uid="{44136107-368A-8D46-A7FB-060321273557}">
      <text>
        <r>
          <rPr>
            <b/>
            <sz val="10"/>
            <color rgb="FF000000"/>
            <rFont val="Tahoma"/>
            <family val="2"/>
          </rPr>
          <t>Jefferies, Alexander J P:</t>
        </r>
        <r>
          <rPr>
            <sz val="10"/>
            <color rgb="FF000000"/>
            <rFont val="Tahoma"/>
            <family val="2"/>
          </rPr>
          <t xml:space="preserve">
</t>
        </r>
        <r>
          <rPr>
            <sz val="10"/>
            <color rgb="FF000000"/>
            <rFont val="Tahoma"/>
            <family val="2"/>
          </rPr>
          <t>Tube length</t>
        </r>
      </text>
    </comment>
    <comment ref="BJ22" authorId="0" shapeId="0" xr:uid="{0A569D46-6106-F64E-827E-A4ECA4B514EF}">
      <text>
        <r>
          <rPr>
            <b/>
            <sz val="10"/>
            <color rgb="FF000000"/>
            <rFont val="Tahoma"/>
            <family val="2"/>
          </rPr>
          <t>Jefferies, Alexander J P:</t>
        </r>
        <r>
          <rPr>
            <sz val="10"/>
            <color rgb="FF000000"/>
            <rFont val="Tahoma"/>
            <family val="2"/>
          </rPr>
          <t xml:space="preserve">
</t>
        </r>
        <r>
          <rPr>
            <sz val="10"/>
            <color rgb="FF000000"/>
            <rFont val="Tahoma"/>
            <family val="2"/>
          </rPr>
          <t>Tube length</t>
        </r>
      </text>
    </comment>
    <comment ref="I24" authorId="0" shapeId="0" xr:uid="{BBCADF63-D657-6A4F-819B-CDE3E01FA6CA}">
      <text>
        <r>
          <rPr>
            <b/>
            <sz val="10"/>
            <color rgb="FF000000"/>
            <rFont val="Tahoma"/>
            <family val="2"/>
          </rPr>
          <t>Jefferies, Alexander J P:</t>
        </r>
        <r>
          <rPr>
            <sz val="10"/>
            <color rgb="FF000000"/>
            <rFont val="Tahoma"/>
            <family val="2"/>
          </rPr>
          <t xml:space="preserve">
</t>
        </r>
        <r>
          <rPr>
            <sz val="10"/>
            <color rgb="FF000000"/>
            <rFont val="Calibri"/>
            <family val="2"/>
          </rPr>
          <t xml:space="preserve">The ratio of length to diameter should be in the range of 5-10. </t>
        </r>
      </text>
    </comment>
    <comment ref="BJ24" authorId="0" shapeId="0" xr:uid="{58F19BB3-D113-8E45-9C70-CCED9B757FE1}">
      <text>
        <r>
          <rPr>
            <b/>
            <sz val="10"/>
            <color rgb="FF000000"/>
            <rFont val="Tahoma"/>
            <family val="2"/>
          </rPr>
          <t>Jefferies, Alexander J P:</t>
        </r>
        <r>
          <rPr>
            <sz val="10"/>
            <color rgb="FF000000"/>
            <rFont val="Tahoma"/>
            <family val="2"/>
          </rPr>
          <t xml:space="preserve">
</t>
        </r>
        <r>
          <rPr>
            <sz val="10"/>
            <color rgb="FF000000"/>
            <rFont val="Calibri"/>
            <family val="2"/>
          </rPr>
          <t xml:space="preserve">The ratio of length to diameter should be in the range of 5-10. </t>
        </r>
      </text>
    </comment>
    <comment ref="I26" authorId="1" shapeId="0" xr:uid="{AE9C3D43-0873-0245-B116-24B1AFB06532}">
      <text>
        <r>
          <rPr>
            <b/>
            <sz val="10"/>
            <color rgb="FF000000"/>
            <rFont val="Tahoma"/>
            <family val="2"/>
          </rPr>
          <t>Alexander Jefferies:</t>
        </r>
        <r>
          <rPr>
            <sz val="10"/>
            <color rgb="FF000000"/>
            <rFont val="Tahoma"/>
            <family val="2"/>
          </rPr>
          <t xml:space="preserve">
</t>
        </r>
        <r>
          <rPr>
            <sz val="10"/>
            <color rgb="FF000000"/>
            <rFont val="Tahoma"/>
            <family val="2"/>
          </rPr>
          <t>Average temperature of seawater moving through the heat exchanger.</t>
        </r>
      </text>
    </comment>
    <comment ref="I27" authorId="0" shapeId="0" xr:uid="{0E7F50CF-99EA-E543-8ADA-DFEF7E8379D8}">
      <text>
        <r>
          <rPr>
            <b/>
            <sz val="10"/>
            <color rgb="FF000000"/>
            <rFont val="Tahoma"/>
            <family val="2"/>
          </rPr>
          <t>Jefferies, Alexander J P:</t>
        </r>
        <r>
          <rPr>
            <sz val="10"/>
            <color rgb="FF000000"/>
            <rFont val="Tahoma"/>
            <family val="2"/>
          </rPr>
          <t xml:space="preserve">
</t>
        </r>
        <r>
          <rPr>
            <sz val="10"/>
            <color rgb="FF000000"/>
            <rFont val="Tahoma"/>
            <family val="2"/>
          </rPr>
          <t xml:space="preserve">https://www.wkcgroup.com/tools-room/seawater-density-calculator/
</t>
        </r>
        <r>
          <rPr>
            <sz val="10"/>
            <color rgb="FF000000"/>
            <rFont val="Tahoma"/>
            <family val="2"/>
          </rPr>
          <t xml:space="preserve">
</t>
        </r>
        <r>
          <rPr>
            <sz val="10"/>
            <color rgb="FF000000"/>
            <rFont val="Tahoma"/>
            <family val="2"/>
          </rPr>
          <t>35% salinity</t>
        </r>
      </text>
    </comment>
    <comment ref="BJ27" authorId="0" shapeId="0" xr:uid="{B734DBAD-E988-C840-983A-BF5510638DA1}">
      <text>
        <r>
          <rPr>
            <b/>
            <sz val="10"/>
            <color rgb="FF000000"/>
            <rFont val="Tahoma"/>
            <family val="2"/>
          </rPr>
          <t>Jefferies, Alexander J P:</t>
        </r>
        <r>
          <rPr>
            <sz val="10"/>
            <color rgb="FF000000"/>
            <rFont val="Tahoma"/>
            <family val="2"/>
          </rPr>
          <t xml:space="preserve">
</t>
        </r>
        <r>
          <rPr>
            <sz val="10"/>
            <color rgb="FF000000"/>
            <rFont val="Tahoma"/>
            <family val="2"/>
          </rPr>
          <t xml:space="preserve">https://www.wkcgroup.com/tools-room/seawater-density-calculator/
</t>
        </r>
        <r>
          <rPr>
            <sz val="10"/>
            <color rgb="FF000000"/>
            <rFont val="Tahoma"/>
            <family val="2"/>
          </rPr>
          <t xml:space="preserve">
</t>
        </r>
        <r>
          <rPr>
            <sz val="10"/>
            <color rgb="FF000000"/>
            <rFont val="Tahoma"/>
            <family val="2"/>
          </rPr>
          <t>35% salinity</t>
        </r>
      </text>
    </comment>
    <comment ref="I28" authorId="0" shapeId="0" xr:uid="{C8CCCF81-35AE-CA4D-8AC5-311E9621547A}">
      <text>
        <r>
          <rPr>
            <b/>
            <sz val="10"/>
            <color rgb="FF000000"/>
            <rFont val="Tahoma"/>
            <family val="2"/>
          </rPr>
          <t>Jefferies, Alexander J P:</t>
        </r>
        <r>
          <rPr>
            <sz val="10"/>
            <color rgb="FF000000"/>
            <rFont val="Tahoma"/>
            <family val="2"/>
          </rPr>
          <t xml:space="preserve">
</t>
        </r>
        <r>
          <rPr>
            <sz val="10"/>
            <color rgb="FF000000"/>
            <rFont val="Tahoma"/>
            <family val="2"/>
          </rPr>
          <t>https://www.hamzasreef.com/Contents/Calculators/WaterProperties.php</t>
        </r>
      </text>
    </comment>
    <comment ref="BJ28" authorId="0" shapeId="0" xr:uid="{C51AED42-72E0-3244-A5C9-4FFFFBE875E8}">
      <text>
        <r>
          <rPr>
            <b/>
            <sz val="10"/>
            <color rgb="FF000000"/>
            <rFont val="Tahoma"/>
            <family val="2"/>
          </rPr>
          <t>Jefferies, Alexander J P:</t>
        </r>
        <r>
          <rPr>
            <sz val="10"/>
            <color rgb="FF000000"/>
            <rFont val="Tahoma"/>
            <family val="2"/>
          </rPr>
          <t xml:space="preserve">
</t>
        </r>
        <r>
          <rPr>
            <sz val="10"/>
            <color rgb="FF000000"/>
            <rFont val="Tahoma"/>
            <family val="2"/>
          </rPr>
          <t>https://www.hamzasreef.com/Contents/Calculators/WaterProperties.php</t>
        </r>
      </text>
    </comment>
    <comment ref="I29" authorId="1" shapeId="0" xr:uid="{AAA24582-4950-CC4A-B544-DC7BF2FEAADF}">
      <text>
        <r>
          <rPr>
            <b/>
            <sz val="10"/>
            <color rgb="FF000000"/>
            <rFont val="Tahoma"/>
            <family val="2"/>
          </rPr>
          <t>Alexander Jefferies:</t>
        </r>
        <r>
          <rPr>
            <sz val="10"/>
            <color rgb="FF000000"/>
            <rFont val="Tahoma"/>
            <family val="2"/>
          </rPr>
          <t xml:space="preserve">
</t>
        </r>
        <r>
          <rPr>
            <sz val="10"/>
            <color rgb="FF000000"/>
            <rFont val="Calibri"/>
            <family val="2"/>
            <scheme val="minor"/>
          </rPr>
          <t>https://www.hamzasreef.com/Contents/Calculators/WaterProperties.php</t>
        </r>
        <r>
          <rPr>
            <sz val="10"/>
            <color rgb="FF000000"/>
            <rFont val="Calibri"/>
            <family val="2"/>
            <scheme val="minor"/>
          </rPr>
          <t xml:space="preserve">
</t>
        </r>
      </text>
    </comment>
    <comment ref="I30" authorId="1" shapeId="0" xr:uid="{54BC8BAD-D184-0F42-83C0-8FCEBD1CDAC9}">
      <text>
        <r>
          <rPr>
            <b/>
            <sz val="10"/>
            <color rgb="FF000000"/>
            <rFont val="Tahoma"/>
            <family val="2"/>
          </rPr>
          <t>Alexander Jefferies:</t>
        </r>
        <r>
          <rPr>
            <sz val="10"/>
            <color rgb="FF000000"/>
            <rFont val="Tahoma"/>
            <family val="2"/>
          </rPr>
          <t xml:space="preserve">
</t>
        </r>
        <r>
          <rPr>
            <sz val="10"/>
            <color rgb="FF000000"/>
            <rFont val="Tahoma"/>
            <family val="2"/>
          </rPr>
          <t>Volumetric flow rate for seawater</t>
        </r>
      </text>
    </comment>
    <comment ref="I31" authorId="1" shapeId="0" xr:uid="{2520DF23-C48D-A449-9034-98A4402B911B}">
      <text>
        <r>
          <rPr>
            <b/>
            <sz val="10"/>
            <color rgb="FF000000"/>
            <rFont val="Tahoma"/>
            <family val="2"/>
          </rPr>
          <t>Alexander Jefferies:</t>
        </r>
        <r>
          <rPr>
            <sz val="10"/>
            <color rgb="FF000000"/>
            <rFont val="Tahoma"/>
            <family val="2"/>
          </rPr>
          <t xml:space="preserve">
</t>
        </r>
        <r>
          <rPr>
            <sz val="10"/>
            <color rgb="FF000000"/>
            <rFont val="Calibri"/>
            <family val="2"/>
            <scheme val="minor"/>
          </rPr>
          <t>https://www.hamzasreef.com/Contents/Calculators/WaterProperties.php</t>
        </r>
        <r>
          <rPr>
            <sz val="10"/>
            <color rgb="FF000000"/>
            <rFont val="Calibri"/>
            <family val="2"/>
            <scheme val="minor"/>
          </rPr>
          <t xml:space="preserve">
</t>
        </r>
      </text>
    </comment>
    <comment ref="H33" authorId="0" shapeId="0" xr:uid="{A85FB949-86F6-8248-ABA3-5EFC3FB49E47}">
      <text>
        <r>
          <rPr>
            <b/>
            <sz val="10"/>
            <color rgb="FF000000"/>
            <rFont val="Tahoma"/>
            <family val="2"/>
          </rPr>
          <t>Jefferies, Alexander J P:</t>
        </r>
        <r>
          <rPr>
            <sz val="10"/>
            <color rgb="FF000000"/>
            <rFont val="Tahoma"/>
            <family val="2"/>
          </rPr>
          <t xml:space="preserve">
</t>
        </r>
        <r>
          <rPr>
            <sz val="10"/>
            <color rgb="FF000000"/>
            <rFont val="Tahoma"/>
            <family val="2"/>
          </rPr>
          <t>Countercurrent, cross flow, single pass</t>
        </r>
      </text>
    </comment>
    <comment ref="I33" authorId="1" shapeId="0" xr:uid="{1C2460A7-3569-DD47-85E8-4F01EE640F9C}">
      <text>
        <r>
          <rPr>
            <b/>
            <sz val="10"/>
            <color rgb="FF000000"/>
            <rFont val="Tahoma"/>
            <family val="2"/>
          </rPr>
          <t>Alexander Jefferies:</t>
        </r>
        <r>
          <rPr>
            <sz val="10"/>
            <color rgb="FF000000"/>
            <rFont val="Tahoma"/>
            <family val="2"/>
          </rPr>
          <t xml:space="preserve">
</t>
        </r>
        <r>
          <rPr>
            <sz val="10"/>
            <color rgb="FF000000"/>
            <rFont val="Tahoma"/>
            <family val="2"/>
          </rPr>
          <t>Seawater mass flow rate</t>
        </r>
      </text>
    </comment>
    <comment ref="BI33" authorId="0" shapeId="0" xr:uid="{BC773F1A-B8CA-CA4F-991F-02A6A6E5B289}">
      <text>
        <r>
          <rPr>
            <b/>
            <sz val="10"/>
            <color rgb="FF000000"/>
            <rFont val="Tahoma"/>
            <family val="2"/>
          </rPr>
          <t>Jefferies, Alexander J P:</t>
        </r>
        <r>
          <rPr>
            <sz val="10"/>
            <color rgb="FF000000"/>
            <rFont val="Tahoma"/>
            <family val="2"/>
          </rPr>
          <t xml:space="preserve">
</t>
        </r>
        <r>
          <rPr>
            <sz val="10"/>
            <color rgb="FF000000"/>
            <rFont val="Tahoma"/>
            <family val="2"/>
          </rPr>
          <t>Countercurrent, cross flow, single pass</t>
        </r>
      </text>
    </comment>
    <comment ref="I34" authorId="0" shapeId="0" xr:uid="{88B42A2E-E78C-734C-B79A-FD367AF06FD1}">
      <text>
        <r>
          <rPr>
            <b/>
            <sz val="10"/>
            <color rgb="FF000000"/>
            <rFont val="Tahoma"/>
            <family val="2"/>
          </rPr>
          <t>Jefferies, Alexander J P:</t>
        </r>
        <r>
          <rPr>
            <sz val="10"/>
            <color rgb="FF000000"/>
            <rFont val="Tahoma"/>
            <family val="2"/>
          </rPr>
          <t xml:space="preserve">
</t>
        </r>
        <r>
          <rPr>
            <sz val="10"/>
            <color rgb="FF000000"/>
            <rFont val="Tahoma"/>
            <family val="2"/>
          </rPr>
          <t>Pitch configuration factor</t>
        </r>
      </text>
    </comment>
    <comment ref="BJ34" authorId="0" shapeId="0" xr:uid="{75560FF1-2EDA-4C42-8DDF-50AD42AF1200}">
      <text>
        <r>
          <rPr>
            <b/>
            <sz val="10"/>
            <color rgb="FF000000"/>
            <rFont val="Tahoma"/>
            <family val="2"/>
          </rPr>
          <t>Jefferies, Alexander J P:</t>
        </r>
        <r>
          <rPr>
            <sz val="10"/>
            <color rgb="FF000000"/>
            <rFont val="Tahoma"/>
            <family val="2"/>
          </rPr>
          <t xml:space="preserve">
</t>
        </r>
        <r>
          <rPr>
            <sz val="10"/>
            <color rgb="FF000000"/>
            <rFont val="Tahoma"/>
            <family val="2"/>
          </rPr>
          <t>Pitch configuration factor</t>
        </r>
      </text>
    </comment>
    <comment ref="I35" authorId="0" shapeId="0" xr:uid="{D3E9683E-6506-3643-BF1E-D547CE4F068B}">
      <text>
        <r>
          <rPr>
            <b/>
            <sz val="10"/>
            <color rgb="FF000000"/>
            <rFont val="Tahoma"/>
            <family val="2"/>
          </rPr>
          <t xml:space="preserve">Jefferies, Alexander 
</t>
        </r>
        <r>
          <rPr>
            <b/>
            <sz val="10"/>
            <color rgb="FF000000"/>
            <rFont val="Tahoma"/>
            <family val="2"/>
          </rPr>
          <t xml:space="preserve">
</t>
        </r>
        <r>
          <rPr>
            <sz val="10"/>
            <color rgb="FF000000"/>
            <rFont val="Tahoma"/>
            <family val="2"/>
          </rPr>
          <t>Pitch</t>
        </r>
      </text>
    </comment>
    <comment ref="BJ35" authorId="0" shapeId="0" xr:uid="{FE9A10B6-F3D4-3840-8D94-6B4E8692A427}">
      <text>
        <r>
          <rPr>
            <b/>
            <sz val="10"/>
            <color rgb="FF000000"/>
            <rFont val="Tahoma"/>
            <family val="2"/>
          </rPr>
          <t xml:space="preserve">Jefferies, Alexander 
</t>
        </r>
        <r>
          <rPr>
            <b/>
            <sz val="10"/>
            <color rgb="FF000000"/>
            <rFont val="Tahoma"/>
            <family val="2"/>
          </rPr>
          <t xml:space="preserve">
</t>
        </r>
        <r>
          <rPr>
            <sz val="10"/>
            <color rgb="FF000000"/>
            <rFont val="Tahoma"/>
            <family val="2"/>
          </rPr>
          <t>Pitch</t>
        </r>
      </text>
    </comment>
    <comment ref="I36" authorId="0" shapeId="0" xr:uid="{0906455A-EFCB-3646-9D7F-17147E6D0755}">
      <text>
        <r>
          <rPr>
            <b/>
            <sz val="10"/>
            <color rgb="FF000000"/>
            <rFont val="Tahoma"/>
            <family val="2"/>
          </rPr>
          <t>Jefferies, Alexander J P:</t>
        </r>
        <r>
          <rPr>
            <sz val="10"/>
            <color rgb="FF000000"/>
            <rFont val="Tahoma"/>
            <family val="2"/>
          </rPr>
          <t xml:space="preserve">
</t>
        </r>
        <r>
          <rPr>
            <sz val="10"/>
            <color rgb="FF000000"/>
            <rFont val="Tahoma"/>
            <family val="2"/>
          </rPr>
          <t xml:space="preserve">Shell diameter
</t>
        </r>
        <r>
          <rPr>
            <sz val="10"/>
            <color rgb="FF000000"/>
            <rFont val="Tahoma"/>
            <family val="2"/>
          </rPr>
          <t xml:space="preserve">
</t>
        </r>
        <r>
          <rPr>
            <sz val="10"/>
            <color rgb="FF000000"/>
            <rFont val="Tahoma"/>
            <family val="2"/>
          </rPr>
          <t>(15.37)</t>
        </r>
      </text>
    </comment>
    <comment ref="BJ36" authorId="0" shapeId="0" xr:uid="{8A2B8647-273A-8144-BCA9-E10FFDCCE7F8}">
      <text>
        <r>
          <rPr>
            <b/>
            <sz val="10"/>
            <color rgb="FF000000"/>
            <rFont val="Tahoma"/>
            <family val="2"/>
          </rPr>
          <t>Jefferies, Alexander J P:</t>
        </r>
        <r>
          <rPr>
            <sz val="10"/>
            <color rgb="FF000000"/>
            <rFont val="Tahoma"/>
            <family val="2"/>
          </rPr>
          <t xml:space="preserve">
</t>
        </r>
        <r>
          <rPr>
            <sz val="10"/>
            <color rgb="FF000000"/>
            <rFont val="Tahoma"/>
            <family val="2"/>
          </rPr>
          <t xml:space="preserve">Shell diameter
</t>
        </r>
        <r>
          <rPr>
            <sz val="10"/>
            <color rgb="FF000000"/>
            <rFont val="Tahoma"/>
            <family val="2"/>
          </rPr>
          <t xml:space="preserve">
</t>
        </r>
        <r>
          <rPr>
            <sz val="10"/>
            <color rgb="FF000000"/>
            <rFont val="Tahoma"/>
            <family val="2"/>
          </rPr>
          <t>(15.37)</t>
        </r>
      </text>
    </comment>
    <comment ref="I37" authorId="0" shapeId="0" xr:uid="{BB4F17A4-64AB-9645-BCAD-0B6EA31A5B2A}">
      <text>
        <r>
          <rPr>
            <b/>
            <sz val="10"/>
            <color rgb="FF000000"/>
            <rFont val="Tahoma"/>
            <family val="2"/>
          </rPr>
          <t>Jefferies, Alexander J P:</t>
        </r>
        <r>
          <rPr>
            <sz val="10"/>
            <color rgb="FF000000"/>
            <rFont val="Tahoma"/>
            <family val="2"/>
          </rPr>
          <t xml:space="preserve">
</t>
        </r>
        <r>
          <rPr>
            <sz val="10"/>
            <color rgb="FF000000"/>
            <rFont val="Tahoma"/>
            <family val="2"/>
          </rPr>
          <t>Baffle cut</t>
        </r>
      </text>
    </comment>
    <comment ref="BJ37" authorId="0" shapeId="0" xr:uid="{C2108B44-52E2-A340-95B8-36F6881DD4F7}">
      <text>
        <r>
          <rPr>
            <b/>
            <sz val="10"/>
            <color rgb="FF000000"/>
            <rFont val="Tahoma"/>
            <family val="2"/>
          </rPr>
          <t>Jefferies, Alexander J P:</t>
        </r>
        <r>
          <rPr>
            <sz val="10"/>
            <color rgb="FF000000"/>
            <rFont val="Tahoma"/>
            <family val="2"/>
          </rPr>
          <t xml:space="preserve">
</t>
        </r>
        <r>
          <rPr>
            <sz val="10"/>
            <color rgb="FF000000"/>
            <rFont val="Tahoma"/>
            <family val="2"/>
          </rPr>
          <t>Baffle cut</t>
        </r>
      </text>
    </comment>
    <comment ref="I38" authorId="0" shapeId="0" xr:uid="{A2083ADE-EBF2-124D-91CA-8421B8174420}">
      <text>
        <r>
          <rPr>
            <b/>
            <sz val="10"/>
            <color rgb="FF000000"/>
            <rFont val="Tahoma"/>
            <family val="2"/>
          </rPr>
          <t>Jefferies, Alexander J P:</t>
        </r>
        <r>
          <rPr>
            <sz val="10"/>
            <color rgb="FF000000"/>
            <rFont val="Tahoma"/>
            <family val="2"/>
          </rPr>
          <t xml:space="preserve">
</t>
        </r>
        <r>
          <rPr>
            <sz val="10"/>
            <color rgb="FF000000"/>
            <rFont val="Tahoma"/>
            <family val="2"/>
          </rPr>
          <t>Distance between baffles</t>
        </r>
      </text>
    </comment>
    <comment ref="BJ38" authorId="0" shapeId="0" xr:uid="{6AF13D21-5541-A549-A1BE-5875ABC1D227}">
      <text>
        <r>
          <rPr>
            <b/>
            <sz val="10"/>
            <color rgb="FF000000"/>
            <rFont val="Tahoma"/>
            <family val="2"/>
          </rPr>
          <t>Jefferies, Alexander J P:</t>
        </r>
        <r>
          <rPr>
            <sz val="10"/>
            <color rgb="FF000000"/>
            <rFont val="Tahoma"/>
            <family val="2"/>
          </rPr>
          <t xml:space="preserve">
</t>
        </r>
        <r>
          <rPr>
            <sz val="10"/>
            <color rgb="FF000000"/>
            <rFont val="Tahoma"/>
            <family val="2"/>
          </rPr>
          <t>Distance between baffles</t>
        </r>
      </text>
    </comment>
    <comment ref="I39" authorId="0" shapeId="0" xr:uid="{91B8BFD1-43F5-6949-872B-84C669A4723C}">
      <text>
        <r>
          <rPr>
            <b/>
            <sz val="10"/>
            <color rgb="FF000000"/>
            <rFont val="Tahoma"/>
            <family val="2"/>
          </rPr>
          <t>Jefferies, Alexander J P:</t>
        </r>
        <r>
          <rPr>
            <sz val="10"/>
            <color rgb="FF000000"/>
            <rFont val="Tahoma"/>
            <family val="2"/>
          </rPr>
          <t xml:space="preserve">
</t>
        </r>
        <r>
          <rPr>
            <sz val="10"/>
            <color rgb="FF000000"/>
            <rFont val="Tahoma"/>
            <family val="2"/>
          </rPr>
          <t xml:space="preserve">Mass cross flow area
</t>
        </r>
        <r>
          <rPr>
            <sz val="10"/>
            <color rgb="FF000000"/>
            <rFont val="Tahoma"/>
            <family val="2"/>
          </rPr>
          <t xml:space="preserve">
</t>
        </r>
        <r>
          <rPr>
            <sz val="10"/>
            <color rgb="FF000000"/>
            <rFont val="Tahoma"/>
            <family val="2"/>
          </rPr>
          <t>C.22</t>
        </r>
      </text>
    </comment>
    <comment ref="BJ39" authorId="0" shapeId="0" xr:uid="{37458B8E-3D92-804E-9EA9-A8949C985AFA}">
      <text>
        <r>
          <rPr>
            <b/>
            <sz val="10"/>
            <color rgb="FF000000"/>
            <rFont val="Tahoma"/>
            <family val="2"/>
          </rPr>
          <t>Jefferies, Alexander J P:</t>
        </r>
        <r>
          <rPr>
            <sz val="10"/>
            <color rgb="FF000000"/>
            <rFont val="Tahoma"/>
            <family val="2"/>
          </rPr>
          <t xml:space="preserve">
</t>
        </r>
        <r>
          <rPr>
            <sz val="10"/>
            <color rgb="FF000000"/>
            <rFont val="Tahoma"/>
            <family val="2"/>
          </rPr>
          <t xml:space="preserve">Mass cross flow area
</t>
        </r>
        <r>
          <rPr>
            <sz val="10"/>
            <color rgb="FF000000"/>
            <rFont val="Tahoma"/>
            <family val="2"/>
          </rPr>
          <t xml:space="preserve">
</t>
        </r>
        <r>
          <rPr>
            <sz val="10"/>
            <color rgb="FF000000"/>
            <rFont val="Tahoma"/>
            <family val="2"/>
          </rPr>
          <t>C.22</t>
        </r>
      </text>
    </comment>
    <comment ref="I40" authorId="1" shapeId="0" xr:uid="{BD908BD1-939F-264B-9731-1A9315B01043}">
      <text>
        <r>
          <rPr>
            <b/>
            <sz val="10"/>
            <color rgb="FF000000"/>
            <rFont val="Tahoma"/>
            <family val="2"/>
          </rPr>
          <t>Alexander Jefferies:</t>
        </r>
        <r>
          <rPr>
            <sz val="10"/>
            <color rgb="FF000000"/>
            <rFont val="Tahoma"/>
            <family val="2"/>
          </rPr>
          <t xml:space="preserve">
</t>
        </r>
        <r>
          <rPr>
            <sz val="10"/>
            <color rgb="FF000000"/>
            <rFont val="Tahoma"/>
            <family val="2"/>
          </rPr>
          <t>Seawater velocity</t>
        </r>
      </text>
    </comment>
    <comment ref="I41" authorId="0" shapeId="0" xr:uid="{BF641DB2-6C65-B042-85DF-6DFFCF9B530A}">
      <text>
        <r>
          <rPr>
            <b/>
            <sz val="10"/>
            <color rgb="FF000000"/>
            <rFont val="Tahoma"/>
            <family val="2"/>
          </rPr>
          <t>Jefferies, Alexander J P:</t>
        </r>
        <r>
          <rPr>
            <sz val="10"/>
            <color rgb="FF000000"/>
            <rFont val="Tahoma"/>
            <family val="2"/>
          </rPr>
          <t xml:space="preserve">
</t>
        </r>
        <r>
          <rPr>
            <sz val="10"/>
            <color rgb="FF000000"/>
            <rFont val="Tahoma"/>
            <family val="2"/>
          </rPr>
          <t>Bypass correction factor</t>
        </r>
      </text>
    </comment>
    <comment ref="BJ41" authorId="0" shapeId="0" xr:uid="{E83D7B48-94B2-BE42-9BAF-33B2121627D8}">
      <text>
        <r>
          <rPr>
            <b/>
            <sz val="10"/>
            <color rgb="FF000000"/>
            <rFont val="Tahoma"/>
            <family val="2"/>
          </rPr>
          <t>Jefferies, Alexander J P:</t>
        </r>
        <r>
          <rPr>
            <sz val="10"/>
            <color rgb="FF000000"/>
            <rFont val="Tahoma"/>
            <family val="2"/>
          </rPr>
          <t xml:space="preserve">
</t>
        </r>
        <r>
          <rPr>
            <sz val="10"/>
            <color rgb="FF000000"/>
            <rFont val="Tahoma"/>
            <family val="2"/>
          </rPr>
          <t>Bypass correction factor</t>
        </r>
      </text>
    </comment>
    <comment ref="I42" authorId="0" shapeId="0" xr:uid="{6A869455-7431-894B-BCF8-CF400360DD07}">
      <text>
        <r>
          <rPr>
            <b/>
            <sz val="10"/>
            <color rgb="FF000000"/>
            <rFont val="Tahoma"/>
            <family val="2"/>
          </rPr>
          <t>Jefferies, Alexander J P:</t>
        </r>
        <r>
          <rPr>
            <sz val="10"/>
            <color rgb="FF000000"/>
            <rFont val="Tahoma"/>
            <family val="2"/>
          </rPr>
          <t xml:space="preserve">
</t>
        </r>
        <r>
          <rPr>
            <sz val="10"/>
            <color rgb="FF000000"/>
            <rFont val="Tahoma"/>
            <family val="2"/>
          </rPr>
          <t>leakage correction factor</t>
        </r>
      </text>
    </comment>
    <comment ref="BJ42" authorId="0" shapeId="0" xr:uid="{C2D966E1-BFE4-964A-AFCA-E1DC42F632F0}">
      <text>
        <r>
          <rPr>
            <b/>
            <sz val="10"/>
            <color rgb="FF000000"/>
            <rFont val="Tahoma"/>
            <family val="2"/>
          </rPr>
          <t>Jefferies, Alexander J P:</t>
        </r>
        <r>
          <rPr>
            <sz val="10"/>
            <color rgb="FF000000"/>
            <rFont val="Tahoma"/>
            <family val="2"/>
          </rPr>
          <t xml:space="preserve">
</t>
        </r>
        <r>
          <rPr>
            <sz val="10"/>
            <color rgb="FF000000"/>
            <rFont val="Tahoma"/>
            <family val="2"/>
          </rPr>
          <t>leakage correction factor</t>
        </r>
      </text>
    </comment>
    <comment ref="I43" authorId="1" shapeId="0" xr:uid="{BFDAF117-4BF6-7D48-9F34-5BD4D6D74D61}">
      <text>
        <r>
          <rPr>
            <b/>
            <sz val="10"/>
            <color rgb="FF000000"/>
            <rFont val="Tahoma"/>
            <family val="2"/>
          </rPr>
          <t>Alexander Jefferies:</t>
        </r>
        <r>
          <rPr>
            <sz val="10"/>
            <color rgb="FF000000"/>
            <rFont val="Tahoma"/>
            <family val="2"/>
          </rPr>
          <t xml:space="preserve">
</t>
        </r>
        <r>
          <rPr>
            <sz val="10"/>
            <color rgb="FF000000"/>
            <rFont val="Tahoma"/>
            <family val="2"/>
          </rPr>
          <t>Number of baffles</t>
        </r>
      </text>
    </comment>
    <comment ref="H45" authorId="0" shapeId="0" xr:uid="{065AB12E-11F1-9D46-B481-4C889C077D6B}">
      <text>
        <r>
          <rPr>
            <b/>
            <sz val="10"/>
            <color rgb="FF000000"/>
            <rFont val="Tahoma"/>
            <family val="2"/>
          </rPr>
          <t>Jefferies, Alexander J P:</t>
        </r>
        <r>
          <rPr>
            <sz val="10"/>
            <color rgb="FF000000"/>
            <rFont val="Tahoma"/>
            <family val="2"/>
          </rPr>
          <t xml:space="preserve">
</t>
        </r>
        <r>
          <rPr>
            <sz val="10"/>
            <color rgb="FF000000"/>
            <rFont val="Tahoma"/>
            <family val="2"/>
          </rPr>
          <t xml:space="preserve">Heat exchange area. Adjust number of tubes and length to fit the required area. </t>
        </r>
      </text>
    </comment>
    <comment ref="BI45" authorId="0" shapeId="0" xr:uid="{5B2CF9EF-1962-6248-A2BA-08610110B9B5}">
      <text>
        <r>
          <rPr>
            <b/>
            <sz val="10"/>
            <color rgb="FF000000"/>
            <rFont val="Tahoma"/>
            <family val="2"/>
          </rPr>
          <t>Jefferies, Alexander J P:</t>
        </r>
        <r>
          <rPr>
            <sz val="10"/>
            <color rgb="FF000000"/>
            <rFont val="Tahoma"/>
            <family val="2"/>
          </rPr>
          <t xml:space="preserve">
</t>
        </r>
        <r>
          <rPr>
            <sz val="10"/>
            <color rgb="FF000000"/>
            <rFont val="Tahoma"/>
            <family val="2"/>
          </rPr>
          <t xml:space="preserve">Heat exchange area. Adjust number of tubes and length to fit the required area. </t>
        </r>
      </text>
    </comment>
    <comment ref="H46" authorId="0" shapeId="0" xr:uid="{7243006E-1853-7A4F-8F2D-6610349C2657}">
      <text>
        <r>
          <rPr>
            <b/>
            <sz val="10"/>
            <color rgb="FF000000"/>
            <rFont val="Tahoma"/>
            <family val="2"/>
          </rPr>
          <t>Jefferies, Alexander J P:</t>
        </r>
        <r>
          <rPr>
            <sz val="10"/>
            <color rgb="FF000000"/>
            <rFont val="Tahoma"/>
            <family val="2"/>
          </rPr>
          <t xml:space="preserve">
</t>
        </r>
        <r>
          <rPr>
            <sz val="10"/>
            <color rgb="FF000000"/>
            <rFont val="Tahoma"/>
            <family val="2"/>
          </rPr>
          <t>Q = U.A.∆Tlm</t>
        </r>
      </text>
    </comment>
    <comment ref="BI46" authorId="0" shapeId="0" xr:uid="{72F78276-4D07-BB40-8F07-D7B1ADCBBE1B}">
      <text>
        <r>
          <rPr>
            <b/>
            <sz val="10"/>
            <color rgb="FF000000"/>
            <rFont val="Tahoma"/>
            <family val="2"/>
          </rPr>
          <t>Jefferies, Alexander J P:</t>
        </r>
        <r>
          <rPr>
            <sz val="10"/>
            <color rgb="FF000000"/>
            <rFont val="Tahoma"/>
            <family val="2"/>
          </rPr>
          <t xml:space="preserve">
</t>
        </r>
        <r>
          <rPr>
            <sz val="10"/>
            <color rgb="FF000000"/>
            <rFont val="Tahoma"/>
            <family val="2"/>
          </rPr>
          <t>Q = U.A.∆Tlm</t>
        </r>
      </text>
    </comment>
    <comment ref="I48" authorId="1" shapeId="0" xr:uid="{50686471-0AE6-0448-99D2-F373C788239D}">
      <text>
        <r>
          <rPr>
            <b/>
            <sz val="10"/>
            <color rgb="FF000000"/>
            <rFont val="Tahoma"/>
            <family val="2"/>
          </rPr>
          <t>Alexander Jefferies:</t>
        </r>
        <r>
          <rPr>
            <sz val="10"/>
            <color rgb="FF000000"/>
            <rFont val="Tahoma"/>
            <family val="2"/>
          </rPr>
          <t xml:space="preserve">
</t>
        </r>
        <r>
          <rPr>
            <sz val="10"/>
            <color rgb="FF000000"/>
            <rFont val="Tahoma"/>
            <family val="2"/>
          </rPr>
          <t>K is the overall mass transfer coefficient</t>
        </r>
      </text>
    </comment>
    <comment ref="I49" authorId="1" shapeId="0" xr:uid="{C3E80E56-593A-F94E-A583-85CF4AD1C6B3}">
      <text>
        <r>
          <rPr>
            <b/>
            <sz val="10"/>
            <color rgb="FF000000"/>
            <rFont val="Tahoma"/>
            <family val="2"/>
          </rPr>
          <t>Alexander Jefferies:</t>
        </r>
        <r>
          <rPr>
            <sz val="10"/>
            <color rgb="FF000000"/>
            <rFont val="Tahoma"/>
            <family val="2"/>
          </rPr>
          <t xml:space="preserve">
</t>
        </r>
        <r>
          <rPr>
            <sz val="10"/>
            <color rgb="FF000000"/>
            <rFont val="Tahoma"/>
            <family val="2"/>
          </rPr>
          <t>no unit</t>
        </r>
      </text>
    </comment>
    <comment ref="I50" authorId="1" shapeId="0" xr:uid="{19643787-0433-9E4C-839D-9B47C06C0D21}">
      <text>
        <r>
          <rPr>
            <b/>
            <sz val="10"/>
            <color rgb="FF000000"/>
            <rFont val="Tahoma"/>
            <family val="2"/>
          </rPr>
          <t>Alexander Jefferies:</t>
        </r>
        <r>
          <rPr>
            <sz val="10"/>
            <color rgb="FF000000"/>
            <rFont val="Tahoma"/>
            <family val="2"/>
          </rPr>
          <t xml:space="preserve">
</t>
        </r>
        <r>
          <rPr>
            <sz val="10"/>
            <color rgb="FF000000"/>
            <rFont val="Tahoma"/>
            <family val="2"/>
          </rPr>
          <t>tube side heat transfer coefficient</t>
        </r>
      </text>
    </comment>
    <comment ref="H52" authorId="0" shapeId="0" xr:uid="{3CFB63F5-661B-0E4A-BE25-54C402CEB3CD}">
      <text>
        <r>
          <rPr>
            <b/>
            <sz val="10"/>
            <color rgb="FF000000"/>
            <rFont val="Tahoma"/>
            <family val="2"/>
          </rPr>
          <t>Jefferies, Alexander J P:</t>
        </r>
        <r>
          <rPr>
            <sz val="10"/>
            <color rgb="FF000000"/>
            <rFont val="Tahoma"/>
            <family val="2"/>
          </rPr>
          <t xml:space="preserve">
</t>
        </r>
        <r>
          <rPr>
            <sz val="10"/>
            <color rgb="FF000000"/>
            <rFont val="Tahoma"/>
            <family val="2"/>
          </rPr>
          <t xml:space="preserve">Maximum 0.001 MPa.
</t>
        </r>
        <r>
          <rPr>
            <sz val="10"/>
            <color rgb="FF000000"/>
            <rFont val="Tahoma"/>
            <family val="2"/>
          </rPr>
          <t>Increase number of tubes if too high.</t>
        </r>
      </text>
    </comment>
    <comment ref="I52" authorId="1" shapeId="0" xr:uid="{CDA7F754-DF2C-DE45-BB38-00D65424163A}">
      <text>
        <r>
          <rPr>
            <b/>
            <sz val="10"/>
            <color rgb="FF000000"/>
            <rFont val="Tahoma"/>
            <family val="2"/>
          </rPr>
          <t>Alexander Jefferies:</t>
        </r>
        <r>
          <rPr>
            <sz val="10"/>
            <color rgb="FF000000"/>
            <rFont val="Tahoma"/>
            <family val="2"/>
          </rPr>
          <t xml:space="preserve">
</t>
        </r>
        <r>
          <rPr>
            <sz val="10"/>
            <color rgb="FF000000"/>
            <rFont val="Tahoma"/>
            <family val="2"/>
          </rPr>
          <t>PT is tube pitch</t>
        </r>
      </text>
    </comment>
    <comment ref="BI52" authorId="0" shapeId="0" xr:uid="{7B991EF1-E00C-7945-918F-114E5591D4C0}">
      <text>
        <r>
          <rPr>
            <b/>
            <sz val="10"/>
            <color rgb="FF000000"/>
            <rFont val="Tahoma"/>
            <family val="2"/>
          </rPr>
          <t>Jefferies, Alexander J P:</t>
        </r>
        <r>
          <rPr>
            <sz val="10"/>
            <color rgb="FF000000"/>
            <rFont val="Tahoma"/>
            <family val="2"/>
          </rPr>
          <t xml:space="preserve">
</t>
        </r>
        <r>
          <rPr>
            <sz val="10"/>
            <color rgb="FF000000"/>
            <rFont val="Tahoma"/>
            <family val="2"/>
          </rPr>
          <t xml:space="preserve">Maximum 0.001 MPa.
</t>
        </r>
        <r>
          <rPr>
            <sz val="10"/>
            <color rgb="FF000000"/>
            <rFont val="Tahoma"/>
            <family val="2"/>
          </rPr>
          <t>Increase number of tubes if too high.</t>
        </r>
      </text>
    </comment>
    <comment ref="I54" authorId="1" shapeId="0" xr:uid="{84E90E5D-26EB-294C-86D9-BC9F1A6B0176}">
      <text>
        <r>
          <rPr>
            <b/>
            <sz val="10"/>
            <color rgb="FF000000"/>
            <rFont val="Tahoma"/>
            <family val="2"/>
          </rPr>
          <t>Alexander Jefferies:</t>
        </r>
        <r>
          <rPr>
            <sz val="10"/>
            <color rgb="FF000000"/>
            <rFont val="Tahoma"/>
            <family val="2"/>
          </rPr>
          <t xml:space="preserve">
</t>
        </r>
        <r>
          <rPr>
            <sz val="10"/>
            <color rgb="FF000000"/>
            <rFont val="Tahoma"/>
            <family val="2"/>
          </rPr>
          <t>Pressure drop</t>
        </r>
      </text>
    </comment>
    <comment ref="I57" authorId="1" shapeId="0" xr:uid="{5031347E-53A1-A440-8E8F-BD5BC6E0EB11}">
      <text>
        <r>
          <rPr>
            <b/>
            <sz val="10"/>
            <color rgb="FF000000"/>
            <rFont val="Tahoma"/>
            <family val="2"/>
          </rPr>
          <t>Alexander Jefferies:</t>
        </r>
        <r>
          <rPr>
            <sz val="10"/>
            <color rgb="FF000000"/>
            <rFont val="Tahoma"/>
            <family val="2"/>
          </rPr>
          <t xml:space="preserve">
</t>
        </r>
        <r>
          <rPr>
            <sz val="10"/>
            <color rgb="FF000000"/>
            <rFont val="Calibri"/>
            <family val="2"/>
            <scheme val="minor"/>
          </rPr>
          <t>K is the overall mass transfer coefficient</t>
        </r>
        <r>
          <rPr>
            <sz val="10"/>
            <color rgb="FF000000"/>
            <rFont val="Calibri"/>
            <family val="2"/>
            <scheme val="minor"/>
          </rPr>
          <t xml:space="preserve">
</t>
        </r>
      </text>
    </comment>
    <comment ref="I58" authorId="1" shapeId="0" xr:uid="{9C65159D-FB2E-1D41-BD61-6FF67E38883A}">
      <text>
        <r>
          <rPr>
            <b/>
            <sz val="10"/>
            <color rgb="FF000000"/>
            <rFont val="Tahoma"/>
            <family val="2"/>
          </rPr>
          <t>Alexander Jefferies:</t>
        </r>
        <r>
          <rPr>
            <sz val="10"/>
            <color rgb="FF000000"/>
            <rFont val="Tahoma"/>
            <family val="2"/>
          </rPr>
          <t xml:space="preserve">
</t>
        </r>
        <r>
          <rPr>
            <sz val="10"/>
            <color rgb="FF000000"/>
            <rFont val="Calibri"/>
            <family val="2"/>
            <scheme val="minor"/>
          </rPr>
          <t>shell side heat transfer coefficient</t>
        </r>
        <r>
          <rPr>
            <sz val="10"/>
            <color rgb="FF000000"/>
            <rFont val="Calibri"/>
            <family val="2"/>
            <scheme val="minor"/>
          </rPr>
          <t xml:space="preserve">
</t>
        </r>
      </text>
    </comment>
    <comment ref="I61" authorId="1" shapeId="0" xr:uid="{37405A46-DCF7-9746-B965-E283CDB40BE9}">
      <text>
        <r>
          <rPr>
            <b/>
            <sz val="10"/>
            <color rgb="FF000000"/>
            <rFont val="Tahoma"/>
            <family val="2"/>
          </rPr>
          <t>Alexander Jefferies:</t>
        </r>
        <r>
          <rPr>
            <sz val="10"/>
            <color rgb="FF000000"/>
            <rFont val="Tahoma"/>
            <family val="2"/>
          </rPr>
          <t xml:space="preserve">
</t>
        </r>
        <r>
          <rPr>
            <sz val="10"/>
            <color rgb="FF000000"/>
            <rFont val="Tahoma"/>
            <family val="2"/>
          </rPr>
          <t>pressure drop for the end</t>
        </r>
      </text>
    </comment>
    <comment ref="I64" authorId="1" shapeId="0" xr:uid="{5B03F0A8-9664-764D-BEC2-4DDE84DAA060}">
      <text>
        <r>
          <rPr>
            <b/>
            <sz val="10"/>
            <color rgb="FF000000"/>
            <rFont val="Tahoma"/>
            <family val="2"/>
          </rPr>
          <t>Alexander Jefferies:</t>
        </r>
        <r>
          <rPr>
            <sz val="10"/>
            <color rgb="FF000000"/>
            <rFont val="Tahoma"/>
            <family val="2"/>
          </rPr>
          <t xml:space="preserve">
</t>
        </r>
        <r>
          <rPr>
            <sz val="10"/>
            <color rgb="FF000000"/>
            <rFont val="Tahoma"/>
            <family val="2"/>
          </rPr>
          <t>Pressure drop for the cross-flow section</t>
        </r>
      </text>
    </comment>
    <comment ref="I66" authorId="1" shapeId="0" xr:uid="{25DA39B3-4970-424F-9DCD-3933C42165CF}">
      <text>
        <r>
          <rPr>
            <b/>
            <sz val="10"/>
            <color rgb="FF000000"/>
            <rFont val="Tahoma"/>
            <family val="2"/>
          </rPr>
          <t>Alexander Jefferies:</t>
        </r>
        <r>
          <rPr>
            <sz val="10"/>
            <color rgb="FF000000"/>
            <rFont val="Tahoma"/>
            <family val="2"/>
          </rPr>
          <t xml:space="preserve">
</t>
        </r>
        <r>
          <rPr>
            <sz val="10"/>
            <color rgb="FF000000"/>
            <rFont val="Tahoma"/>
            <family val="2"/>
          </rPr>
          <t>Pressure drop for the window section</t>
        </r>
      </text>
    </comment>
    <comment ref="I70" authorId="1" shapeId="0" xr:uid="{9668DFE0-09FC-1B4A-A0D4-A6E0190898B2}">
      <text>
        <r>
          <rPr>
            <b/>
            <sz val="10"/>
            <color rgb="FF000000"/>
            <rFont val="Tahoma"/>
            <family val="2"/>
          </rPr>
          <t>Alexander Jefferies:</t>
        </r>
        <r>
          <rPr>
            <sz val="10"/>
            <color rgb="FF000000"/>
            <rFont val="Tahoma"/>
            <family val="2"/>
          </rPr>
          <t xml:space="preserve">
</t>
        </r>
        <r>
          <rPr>
            <sz val="10"/>
            <color rgb="FF000000"/>
            <rFont val="Tahoma"/>
            <family val="2"/>
          </rPr>
          <t>Shell side pressure drop</t>
        </r>
      </text>
    </comment>
    <comment ref="H73" authorId="0" shapeId="0" xr:uid="{9C009EB7-E682-8E4F-B963-8BC84EEDD70F}">
      <text>
        <r>
          <rPr>
            <b/>
            <sz val="10"/>
            <color rgb="FF000000"/>
            <rFont val="Tahoma"/>
            <family val="2"/>
          </rPr>
          <t>Jefferies, Alexander J P:</t>
        </r>
        <r>
          <rPr>
            <sz val="10"/>
            <color rgb="FF000000"/>
            <rFont val="Tahoma"/>
            <family val="2"/>
          </rPr>
          <t xml:space="preserve">
</t>
        </r>
        <r>
          <rPr>
            <sz val="10"/>
            <color rgb="FF000000"/>
            <rFont val="Tahoma"/>
            <family val="2"/>
          </rPr>
          <t xml:space="preserve">heat transfer coefficient. 
</t>
        </r>
        <r>
          <rPr>
            <sz val="10"/>
            <color rgb="FF000000"/>
            <rFont val="Tahoma"/>
            <family val="2"/>
          </rPr>
          <t>carbon-steel pipe with a thermal resistance, k, of 45 w/m.k. Non-fouled condition.</t>
        </r>
      </text>
    </comment>
    <comment ref="BI73" authorId="0" shapeId="0" xr:uid="{A27B69AB-537E-FF4D-8615-670FBC9EF088}">
      <text>
        <r>
          <rPr>
            <b/>
            <sz val="10"/>
            <color rgb="FF000000"/>
            <rFont val="Tahoma"/>
            <family val="2"/>
          </rPr>
          <t>Jefferies, Alexander J P:</t>
        </r>
        <r>
          <rPr>
            <sz val="10"/>
            <color rgb="FF000000"/>
            <rFont val="Tahoma"/>
            <family val="2"/>
          </rPr>
          <t xml:space="preserve">
</t>
        </r>
        <r>
          <rPr>
            <sz val="10"/>
            <color rgb="FF000000"/>
            <rFont val="Tahoma"/>
            <family val="2"/>
          </rPr>
          <t xml:space="preserve">heat transfer coefficient. 
</t>
        </r>
        <r>
          <rPr>
            <sz val="10"/>
            <color rgb="FF000000"/>
            <rFont val="Tahoma"/>
            <family val="2"/>
          </rPr>
          <t>carbon-steel pipe with a thermal resistance, k, of 45 w/m.k. Non-fouled condition.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Alexander Jefferies</author>
  </authors>
  <commentList>
    <comment ref="A1" authorId="0" shapeId="0" xr:uid="{FE68BF01-06ED-5141-9A40-ADCC87525E39}">
      <text>
        <r>
          <rPr>
            <b/>
            <sz val="10"/>
            <color rgb="FF000000"/>
            <rFont val="Tahoma"/>
            <family val="2"/>
          </rPr>
          <t>Alexander Jefferies:</t>
        </r>
        <r>
          <rPr>
            <sz val="10"/>
            <color rgb="FF000000"/>
            <rFont val="Tahoma"/>
            <family val="2"/>
          </rPr>
          <t xml:space="preserve">
</t>
        </r>
        <r>
          <rPr>
            <sz val="10"/>
            <color rgb="FF000000"/>
            <rFont val="Calibri"/>
            <family val="2"/>
            <scheme val="minor"/>
          </rPr>
          <t>the primary values obtained from ‘Cooling calculations’ that have been applied in Equations 2, 3, and 4, along with net power production values from the sheet ‘Selecting a target field’</t>
        </r>
        <r>
          <rPr>
            <sz val="10"/>
            <color rgb="FF000000"/>
            <rFont val="Calibri"/>
            <family val="2"/>
            <scheme val="minor"/>
          </rPr>
          <t xml:space="preserve"> </t>
        </r>
      </text>
    </comment>
    <comment ref="N1" authorId="0" shapeId="0" xr:uid="{0919E61F-62E3-FC4A-8B4F-05D7FDF1790A}">
      <text>
        <r>
          <rPr>
            <b/>
            <sz val="10"/>
            <color rgb="FF000000"/>
            <rFont val="Tahoma"/>
            <family val="2"/>
          </rPr>
          <t>Alexander Jefferies:</t>
        </r>
        <r>
          <rPr>
            <sz val="10"/>
            <color rgb="FF000000"/>
            <rFont val="Tahoma"/>
            <family val="2"/>
          </rPr>
          <t xml:space="preserve">
</t>
        </r>
        <r>
          <rPr>
            <sz val="10"/>
            <color rgb="FF000000"/>
            <rFont val="Calibri"/>
            <family val="2"/>
            <scheme val="minor"/>
          </rPr>
          <t>The</t>
        </r>
        <r>
          <rPr>
            <sz val="10"/>
            <color rgb="FF000000"/>
            <rFont val="Calibri"/>
            <family val="2"/>
            <scheme val="minor"/>
          </rPr>
          <t xml:space="preserve"> onshore</t>
        </r>
        <r>
          <rPr>
            <sz val="10"/>
            <color rgb="FF000000"/>
            <rFont val="Calibri"/>
            <family val="2"/>
            <scheme val="minor"/>
          </rPr>
          <t xml:space="preserve"> cooling tower parasitic load is found by multiplying the rate of heat extraction by the parasitic fraction. The parasitic fraction is the range temperature divided by the sum of the range and the approach temperature, where the range is the difference between the inlet and outlet temperatures of CO</t>
        </r>
        <r>
          <rPr>
            <vertAlign val="subscript"/>
            <sz val="10"/>
            <color rgb="FF000000"/>
            <rFont val="Calibri"/>
            <family val="2"/>
            <scheme val="minor"/>
          </rPr>
          <t>2</t>
        </r>
        <r>
          <rPr>
            <sz val="10"/>
            <color rgb="FF000000"/>
            <rFont val="Calibri"/>
            <family val="2"/>
            <scheme val="minor"/>
          </rPr>
          <t xml:space="preserve"> passing through the cooling tower.</t>
        </r>
        <r>
          <rPr>
            <sz val="10"/>
            <color rgb="FF000000"/>
            <rFont val="Calibri"/>
            <family val="2"/>
            <scheme val="minor"/>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Jefferies, Alexander J P</author>
    <author>Alexander Jefferies</author>
  </authors>
  <commentList>
    <comment ref="C2" authorId="0" shapeId="0" xr:uid="{160F7E6D-5502-CE4E-B1EC-8B68CB502473}">
      <text>
        <r>
          <rPr>
            <b/>
            <sz val="10"/>
            <color rgb="FF000000"/>
            <rFont val="Tahoma"/>
            <family val="2"/>
          </rPr>
          <t>Jefferies, Alexander J P:</t>
        </r>
        <r>
          <rPr>
            <sz val="10"/>
            <color rgb="FF000000"/>
            <rFont val="Tahoma"/>
            <family val="2"/>
          </rPr>
          <t>Pipe length</t>
        </r>
      </text>
    </comment>
    <comment ref="D2" authorId="0" shapeId="0" xr:uid="{158FE420-F8AF-014F-9895-A8DDB242F20E}">
      <text>
        <r>
          <rPr>
            <b/>
            <sz val="10"/>
            <color rgb="FF000000"/>
            <rFont val="Tahoma"/>
            <family val="2"/>
          </rPr>
          <t>Jefferies, Alexander J P:</t>
        </r>
        <r>
          <rPr>
            <sz val="10"/>
            <color rgb="FF000000"/>
            <rFont val="Tahoma"/>
            <family val="2"/>
          </rPr>
          <t xml:space="preserve">
</t>
        </r>
        <r>
          <rPr>
            <sz val="10"/>
            <color rgb="FF000000"/>
            <rFont val="Tahoma"/>
            <family val="2"/>
          </rPr>
          <t>Pipe diameter</t>
        </r>
      </text>
    </comment>
    <comment ref="E2" authorId="0" shapeId="0" xr:uid="{4CD8C2ED-64B1-ED49-8DC3-9F85E993E8C6}">
      <text>
        <r>
          <rPr>
            <b/>
            <sz val="10"/>
            <color rgb="FF000000"/>
            <rFont val="Tahoma"/>
            <family val="2"/>
          </rPr>
          <t>Jefferies, Alexander J P:</t>
        </r>
        <r>
          <rPr>
            <sz val="10"/>
            <color rgb="FF000000"/>
            <rFont val="Tahoma"/>
            <family val="2"/>
          </rPr>
          <t xml:space="preserve">
</t>
        </r>
        <r>
          <rPr>
            <sz val="10"/>
            <color rgb="FF000000"/>
            <rFont val="Tahoma"/>
            <family val="2"/>
          </rPr>
          <t xml:space="preserve">Dynamic viscocity
</t>
        </r>
        <r>
          <rPr>
            <sz val="10"/>
            <color rgb="FF000000"/>
            <rFont val="Tahoma"/>
            <family val="2"/>
          </rPr>
          <t>Pa s</t>
        </r>
      </text>
    </comment>
    <comment ref="F2" authorId="0" shapeId="0" xr:uid="{39F7793D-AB6E-2E44-B5D6-4184F8E64E0B}">
      <text>
        <r>
          <rPr>
            <b/>
            <sz val="10"/>
            <color rgb="FF000000"/>
            <rFont val="Tahoma"/>
            <family val="2"/>
          </rPr>
          <t>Jefferies, Alexander J P:</t>
        </r>
        <r>
          <rPr>
            <sz val="10"/>
            <color rgb="FF000000"/>
            <rFont val="Tahoma"/>
            <family val="2"/>
          </rPr>
          <t xml:space="preserve">
</t>
        </r>
        <r>
          <rPr>
            <sz val="10"/>
            <color rgb="FF000000"/>
            <rFont val="Tahoma"/>
            <family val="2"/>
          </rPr>
          <t>Reservoir permeability</t>
        </r>
      </text>
    </comment>
    <comment ref="G2" authorId="0" shapeId="0" xr:uid="{39748BEF-B38A-E445-A6ED-D9CF7C652815}">
      <text>
        <r>
          <rPr>
            <b/>
            <sz val="10"/>
            <color rgb="FF000000"/>
            <rFont val="Tahoma"/>
            <family val="2"/>
          </rPr>
          <t>Jefferies, Alexander J P:</t>
        </r>
        <r>
          <rPr>
            <sz val="10"/>
            <color rgb="FF000000"/>
            <rFont val="Tahoma"/>
            <family val="2"/>
          </rPr>
          <t xml:space="preserve">
</t>
        </r>
        <r>
          <rPr>
            <sz val="10"/>
            <color rgb="FF000000"/>
            <rFont val="Tahoma"/>
            <family val="2"/>
          </rPr>
          <t>Reservoir thickness</t>
        </r>
      </text>
    </comment>
    <comment ref="H2" authorId="0" shapeId="0" xr:uid="{E3474CCE-0D46-AF40-9547-DDB9F630353E}">
      <text>
        <r>
          <rPr>
            <b/>
            <sz val="10"/>
            <color rgb="FF000000"/>
            <rFont val="Tahoma"/>
            <family val="2"/>
          </rPr>
          <t>Jefferies, Alexander J P:</t>
        </r>
        <r>
          <rPr>
            <sz val="10"/>
            <color rgb="FF000000"/>
            <rFont val="Tahoma"/>
            <family val="2"/>
          </rPr>
          <t xml:space="preserve">
</t>
        </r>
        <r>
          <rPr>
            <sz val="10"/>
            <color rgb="FF000000"/>
            <rFont val="Tahoma"/>
            <family val="2"/>
          </rPr>
          <t>Length (distance between well bottoms)</t>
        </r>
      </text>
    </comment>
    <comment ref="I2" authorId="0" shapeId="0" xr:uid="{DF2D0CB0-67EA-2148-8E56-3761B97948B2}">
      <text>
        <r>
          <rPr>
            <b/>
            <sz val="10"/>
            <color rgb="FF000000"/>
            <rFont val="Tahoma"/>
            <family val="2"/>
          </rPr>
          <t>Jefferies, Alexander J P:</t>
        </r>
        <r>
          <rPr>
            <sz val="10"/>
            <color rgb="FF000000"/>
            <rFont val="Tahoma"/>
            <family val="2"/>
          </rPr>
          <t xml:space="preserve">
</t>
        </r>
        <r>
          <rPr>
            <sz val="10"/>
            <color rgb="FF000000"/>
            <rFont val="Tahoma"/>
            <family val="2"/>
          </rPr>
          <t>Injection well density</t>
        </r>
      </text>
    </comment>
    <comment ref="J2" authorId="0" shapeId="0" xr:uid="{C7B08583-0F01-4449-B28C-F6DF3C0524D6}">
      <text>
        <r>
          <rPr>
            <b/>
            <sz val="10"/>
            <color rgb="FF000000"/>
            <rFont val="Tahoma"/>
            <family val="2"/>
          </rPr>
          <t>Jefferies, Alexander J P:</t>
        </r>
        <r>
          <rPr>
            <sz val="10"/>
            <color rgb="FF000000"/>
            <rFont val="Tahoma"/>
            <family val="2"/>
          </rPr>
          <t xml:space="preserve">
</t>
        </r>
        <r>
          <rPr>
            <sz val="10"/>
            <color rgb="FF000000"/>
            <rFont val="Tahoma"/>
            <family val="2"/>
          </rPr>
          <t>Prouction well density</t>
        </r>
      </text>
    </comment>
    <comment ref="K2" authorId="0" shapeId="0" xr:uid="{DF67AB82-091E-4545-A37B-6C217724EEF1}">
      <text>
        <r>
          <rPr>
            <b/>
            <sz val="10"/>
            <color rgb="FF000000"/>
            <rFont val="Tahoma"/>
            <family val="2"/>
          </rPr>
          <t>Jefferies, Alexander J P:</t>
        </r>
        <r>
          <rPr>
            <sz val="10"/>
            <color rgb="FF000000"/>
            <rFont val="Tahoma"/>
            <family val="2"/>
          </rPr>
          <t xml:space="preserve">
</t>
        </r>
        <r>
          <rPr>
            <sz val="10"/>
            <color rgb="FF000000"/>
            <rFont val="Tahoma"/>
            <family val="2"/>
          </rPr>
          <t>Thermosiphon-generated presssure difference</t>
        </r>
      </text>
    </comment>
    <comment ref="L2" authorId="0" shapeId="0" xr:uid="{FC04D1FD-ACFE-D34D-AEC1-CFE694852EA9}">
      <text>
        <r>
          <rPr>
            <b/>
            <sz val="10"/>
            <color rgb="FF000000"/>
            <rFont val="Tahoma"/>
            <family val="2"/>
          </rPr>
          <t>Jefferies, Alexander J P:</t>
        </r>
        <r>
          <rPr>
            <sz val="10"/>
            <color rgb="FF000000"/>
            <rFont val="Tahoma"/>
            <family val="2"/>
          </rPr>
          <t xml:space="preserve">
</t>
        </r>
        <r>
          <rPr>
            <sz val="10"/>
            <color rgb="FF000000"/>
            <rFont val="Tahoma"/>
            <family val="2"/>
          </rPr>
          <t>pipe pressure loss constant (using the Darcy Weisbach Equation 11)</t>
        </r>
      </text>
    </comment>
    <comment ref="M2" authorId="1" shapeId="0" xr:uid="{7BCC6D98-2301-EC4F-8B5E-B60B77967146}">
      <text>
        <r>
          <rPr>
            <b/>
            <sz val="10"/>
            <color rgb="FF000000"/>
            <rFont val="Tahoma"/>
            <family val="2"/>
          </rPr>
          <t>Alexander Jefferies:</t>
        </r>
        <r>
          <rPr>
            <sz val="10"/>
            <color rgb="FF000000"/>
            <rFont val="Tahoma"/>
            <family val="2"/>
          </rPr>
          <t xml:space="preserve">
</t>
        </r>
        <r>
          <rPr>
            <sz val="10"/>
            <color rgb="FF000000"/>
            <rFont val="Tahoma"/>
            <family val="2"/>
          </rPr>
          <t>Reservoir pressure loss constant (using the Darcy equation 12)</t>
        </r>
      </text>
    </comment>
    <comment ref="P2" authorId="1" shapeId="0" xr:uid="{C55A94F4-EFB7-2C48-8395-FD9F04EF3BB5}">
      <text>
        <r>
          <rPr>
            <b/>
            <sz val="10"/>
            <color rgb="FF000000"/>
            <rFont val="Tahoma"/>
            <family val="2"/>
          </rPr>
          <t>Alexander Jefferies:</t>
        </r>
        <r>
          <rPr>
            <sz val="10"/>
            <color rgb="FF000000"/>
            <rFont val="Tahoma"/>
            <family val="2"/>
          </rPr>
          <t xml:space="preserve">
</t>
        </r>
        <r>
          <rPr>
            <sz val="10"/>
            <color rgb="FF000000"/>
            <rFont val="Tahoma"/>
            <family val="2"/>
          </rPr>
          <t>Pipe and reservoir constants used from columns L and M</t>
        </r>
      </text>
    </comment>
    <comment ref="S2" authorId="1" shapeId="0" xr:uid="{2036D6E9-B741-F942-A86A-A038F5ADDDDC}">
      <text>
        <r>
          <rPr>
            <b/>
            <sz val="10"/>
            <color rgb="FF000000"/>
            <rFont val="Tahoma"/>
            <family val="2"/>
          </rPr>
          <t>Alexander Jefferies:</t>
        </r>
        <r>
          <rPr>
            <sz val="10"/>
            <color rgb="FF000000"/>
            <rFont val="Tahoma"/>
            <family val="2"/>
          </rPr>
          <t xml:space="preserve">
</t>
        </r>
        <r>
          <rPr>
            <sz val="10"/>
            <color rgb="FF000000"/>
            <rFont val="Tahoma"/>
            <family val="2"/>
          </rPr>
          <t>Decreases proportionally as more of the thermosiphon-generated pressure difference is used to circulate CO2 (mass flow rate increase).</t>
        </r>
      </text>
    </comment>
    <comment ref="T2" authorId="1" shapeId="0" xr:uid="{81F78B0C-EF7C-4646-B2B5-CD72DD3EAFB7}">
      <text>
        <r>
          <rPr>
            <b/>
            <sz val="10"/>
            <color rgb="FF000000"/>
            <rFont val="Tahoma"/>
            <family val="2"/>
          </rPr>
          <t>Alexander Jefferies:</t>
        </r>
        <r>
          <rPr>
            <sz val="10"/>
            <color rgb="FF000000"/>
            <rFont val="Tahoma"/>
            <family val="2"/>
          </rPr>
          <t xml:space="preserve">
</t>
        </r>
        <r>
          <rPr>
            <sz val="10"/>
            <color rgb="FF000000"/>
            <rFont val="Tahoma"/>
            <family val="2"/>
          </rPr>
          <t>Method 2 for finding power generated by the turbine (takes pressure losses into account)</t>
        </r>
      </text>
    </comment>
    <comment ref="U2" authorId="1" shapeId="0" xr:uid="{440B61C5-16AA-E745-AE9D-CDE1C1563745}">
      <text>
        <r>
          <rPr>
            <b/>
            <sz val="10"/>
            <color rgb="FF000000"/>
            <rFont val="Tahoma"/>
            <family val="2"/>
          </rPr>
          <t>Alexander Jefferies:</t>
        </r>
        <r>
          <rPr>
            <sz val="10"/>
            <color rgb="FF000000"/>
            <rFont val="Tahoma"/>
            <family val="2"/>
          </rPr>
          <t xml:space="preserve">
</t>
        </r>
        <r>
          <rPr>
            <sz val="10"/>
            <color rgb="FF000000"/>
            <rFont val="Tahoma"/>
            <family val="2"/>
          </rPr>
          <t>Section 4 method for calculating power produced by the turbine (assumes the system is frictionless)</t>
        </r>
      </text>
    </comment>
    <comment ref="D3" authorId="0" shapeId="0" xr:uid="{0A6FF6B3-A210-E74F-880F-42C1644B4C2C}">
      <text>
        <r>
          <rPr>
            <b/>
            <sz val="10"/>
            <color rgb="FF000000"/>
            <rFont val="Tahoma"/>
            <family val="2"/>
          </rPr>
          <t>Jefferies, Alexander J P:</t>
        </r>
        <r>
          <rPr>
            <sz val="10"/>
            <color rgb="FF000000"/>
            <rFont val="Tahoma"/>
            <family val="2"/>
          </rPr>
          <t xml:space="preserve">
</t>
        </r>
        <r>
          <rPr>
            <sz val="10"/>
            <color rgb="FF000000"/>
            <rFont val="Tahoma"/>
            <family val="2"/>
          </rPr>
          <t>base case</t>
        </r>
      </text>
    </comment>
    <comment ref="L3" authorId="0" shapeId="0" xr:uid="{F3DAE6B4-4841-F445-9DD4-BB98FB430519}">
      <text>
        <r>
          <rPr>
            <b/>
            <sz val="10"/>
            <color rgb="FF000000"/>
            <rFont val="Tahoma"/>
            <family val="2"/>
          </rPr>
          <t xml:space="preserve">Jefferies, Alexander 
</t>
        </r>
        <r>
          <rPr>
            <b/>
            <sz val="10"/>
            <color rgb="FF000000"/>
            <rFont val="Tahoma"/>
            <family val="2"/>
          </rPr>
          <t xml:space="preserve">
</t>
        </r>
        <r>
          <rPr>
            <b/>
            <sz val="10"/>
            <color rgb="FF000000"/>
            <rFont val="Tahoma"/>
            <family val="2"/>
          </rPr>
          <t>*10000 for unit conversion, ie. well diameter</t>
        </r>
      </text>
    </comment>
    <comment ref="I7" authorId="1" shapeId="0" xr:uid="{AB0EAF8F-59B6-A64F-92A1-B4F83FE79F72}">
      <text>
        <r>
          <rPr>
            <b/>
            <sz val="10"/>
            <color rgb="FF000000"/>
            <rFont val="Tahoma"/>
            <family val="2"/>
          </rPr>
          <t>Alexander Jefferies:</t>
        </r>
        <r>
          <rPr>
            <sz val="10"/>
            <color rgb="FF000000"/>
            <rFont val="Tahoma"/>
            <family val="2"/>
          </rPr>
          <t xml:space="preserve">
</t>
        </r>
        <r>
          <rPr>
            <sz val="10"/>
            <color rgb="FF000000"/>
            <rFont val="Calibri"/>
            <family val="2"/>
            <scheme val="minor"/>
          </rPr>
          <t>For equations 11 and 12 on page 34, the density values have been re-written as averages.</t>
        </r>
        <r>
          <rPr>
            <sz val="10"/>
            <color rgb="FF000000"/>
            <rFont val="Calibri"/>
            <family val="2"/>
            <scheme val="minor"/>
          </rPr>
          <t xml:space="preserve"> </t>
        </r>
      </text>
    </comment>
    <comment ref="J9" authorId="1" shapeId="0" xr:uid="{65E5A41B-BEC3-3E49-8AF3-828FCFF76BE0}">
      <text>
        <r>
          <rPr>
            <b/>
            <sz val="10"/>
            <color rgb="FF000000"/>
            <rFont val="Tahoma"/>
            <family val="2"/>
          </rPr>
          <t>Alexander Jefferies:</t>
        </r>
        <r>
          <rPr>
            <sz val="10"/>
            <color rgb="FF000000"/>
            <rFont val="Tahoma"/>
            <family val="2"/>
          </rPr>
          <t>Average reservoir density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Jefferies, Alexander J P</author>
  </authors>
  <commentList>
    <comment ref="G3" authorId="0" shapeId="0" xr:uid="{392331A2-D29D-ED42-A39E-70F9383619E9}">
      <text>
        <r>
          <rPr>
            <b/>
            <sz val="10"/>
            <color rgb="FF000000"/>
            <rFont val="Tahoma"/>
            <family val="2"/>
          </rPr>
          <t>Jefferies, Alexander J P:</t>
        </r>
        <r>
          <rPr>
            <sz val="10"/>
            <color rgb="FF000000"/>
            <rFont val="Tahoma"/>
            <family val="2"/>
          </rPr>
          <t xml:space="preserve">
</t>
        </r>
        <r>
          <rPr>
            <sz val="10"/>
            <color rgb="FF000000"/>
            <rFont val="Tahoma"/>
            <family val="2"/>
          </rPr>
          <t>Using area of a 0.14 m diameter well</t>
        </r>
      </text>
    </comment>
  </commentList>
</comments>
</file>

<file path=xl/sharedStrings.xml><?xml version="1.0" encoding="utf-8"?>
<sst xmlns="http://schemas.openxmlformats.org/spreadsheetml/2006/main" count="681" uniqueCount="334">
  <si>
    <t xml:space="preserve"> </t>
  </si>
  <si>
    <t>M</t>
  </si>
  <si>
    <t>T</t>
  </si>
  <si>
    <t>P</t>
  </si>
  <si>
    <t>esmond</t>
  </si>
  <si>
    <t>missing data</t>
  </si>
  <si>
    <t>forbes</t>
  </si>
  <si>
    <t>gordon</t>
  </si>
  <si>
    <t>v fields</t>
  </si>
  <si>
    <t>d/t ranges only</t>
  </si>
  <si>
    <t>n. ravenspurn</t>
  </si>
  <si>
    <t>no data</t>
  </si>
  <si>
    <t xml:space="preserve">audrey </t>
  </si>
  <si>
    <t>no paper</t>
  </si>
  <si>
    <t xml:space="preserve">welland </t>
  </si>
  <si>
    <t>anglia</t>
  </si>
  <si>
    <t>no access</t>
  </si>
  <si>
    <t>discounted</t>
  </si>
  <si>
    <t>counted</t>
  </si>
  <si>
    <t>total</t>
  </si>
  <si>
    <t>lancelot</t>
  </si>
  <si>
    <t>Fields</t>
  </si>
  <si>
    <t>tristan</t>
  </si>
  <si>
    <t>%</t>
  </si>
  <si>
    <t>hyde</t>
  </si>
  <si>
    <t>orwell</t>
  </si>
  <si>
    <t>(Satellite fields combined)</t>
  </si>
  <si>
    <t>excalibur</t>
  </si>
  <si>
    <t>no acess</t>
  </si>
  <si>
    <t>galleon</t>
  </si>
  <si>
    <t>ann</t>
  </si>
  <si>
    <t>wensum</t>
  </si>
  <si>
    <t>baird</t>
  </si>
  <si>
    <t>callisto</t>
  </si>
  <si>
    <t>ganymede</t>
  </si>
  <si>
    <t xml:space="preserve">alison </t>
  </si>
  <si>
    <t>trent</t>
  </si>
  <si>
    <t>galahad</t>
  </si>
  <si>
    <t>newsham</t>
  </si>
  <si>
    <t>mordred</t>
  </si>
  <si>
    <t>deben</t>
  </si>
  <si>
    <t>europa</t>
  </si>
  <si>
    <t>sinope</t>
  </si>
  <si>
    <t>bell</t>
  </si>
  <si>
    <t>vixen</t>
  </si>
  <si>
    <t>skiff</t>
  </si>
  <si>
    <t>brigantine</t>
  </si>
  <si>
    <t>hawksley</t>
  </si>
  <si>
    <t>mcadam</t>
  </si>
  <si>
    <t>watt</t>
  </si>
  <si>
    <t>hoton</t>
  </si>
  <si>
    <t>apollo</t>
  </si>
  <si>
    <t>artemis</t>
  </si>
  <si>
    <t>minerva</t>
  </si>
  <si>
    <t>whittle</t>
  </si>
  <si>
    <t>wollaston</t>
  </si>
  <si>
    <t>viscount</t>
  </si>
  <si>
    <t>helvellyn</t>
  </si>
  <si>
    <t>boyle</t>
  </si>
  <si>
    <t>rose</t>
  </si>
  <si>
    <t>valkyrie</t>
  </si>
  <si>
    <t>arthur</t>
  </si>
  <si>
    <t>saturn</t>
  </si>
  <si>
    <t>horne</t>
  </si>
  <si>
    <t>wren</t>
  </si>
  <si>
    <t>munro</t>
  </si>
  <si>
    <t>cutter</t>
  </si>
  <si>
    <t>garrow</t>
  </si>
  <si>
    <t>kilmar</t>
  </si>
  <si>
    <t>hunter</t>
  </si>
  <si>
    <t>mimas</t>
  </si>
  <si>
    <t>tethys</t>
  </si>
  <si>
    <t>wenlock</t>
  </si>
  <si>
    <t>thurne</t>
  </si>
  <si>
    <t>minke</t>
  </si>
  <si>
    <t>caravel</t>
  </si>
  <si>
    <t>kelvin</t>
  </si>
  <si>
    <t>shamrock</t>
  </si>
  <si>
    <t>wissey</t>
  </si>
  <si>
    <t>victoria</t>
  </si>
  <si>
    <t>rita</t>
  </si>
  <si>
    <t>durangoi</t>
  </si>
  <si>
    <t>stamford</t>
  </si>
  <si>
    <t>ceres</t>
  </si>
  <si>
    <t>eris</t>
  </si>
  <si>
    <t>seven seas</t>
  </si>
  <si>
    <t>york</t>
  </si>
  <si>
    <t>katy</t>
  </si>
  <si>
    <t xml:space="preserve">orca </t>
  </si>
  <si>
    <t>aviat</t>
  </si>
  <si>
    <t>columbus</t>
  </si>
  <si>
    <t>sillimanite</t>
  </si>
  <si>
    <t>blythe</t>
  </si>
  <si>
    <t>elgood</t>
  </si>
  <si>
    <t>southwark</t>
  </si>
  <si>
    <t>STATE 3:
 PRODUCTION SANDFACE</t>
  </si>
  <si>
    <t>ISENTROPIC EXPANSION
-----------------------------&gt;</t>
  </si>
  <si>
    <t xml:space="preserve">STATE 4:
 PRODUCTION WELLHEAD / TURBINE INLET </t>
  </si>
  <si>
    <t>ISENTROPIC EXPANSION
--------------&gt;</t>
  </si>
  <si>
    <t>STATE 5:
 TURBINE OUTLET / COOLER INLET</t>
  </si>
  <si>
    <t>STATE 6/1:
 COOLER OUTLET / INJECTION WELLHEAD</t>
  </si>
  <si>
    <t>STATE 2:
 INJECTION SANDFACE</t>
  </si>
  <si>
    <t>Approach temperature / deg c</t>
  </si>
  <si>
    <t>Field</t>
  </si>
  <si>
    <t>Depth  (m)</t>
  </si>
  <si>
    <t>Geothermal
 gradient (C/km)</t>
  </si>
  <si>
    <t>Temperature
  (degC)</t>
  </si>
  <si>
    <t>Pressure (MPa)</t>
  </si>
  <si>
    <t>Enthalpy
(KJ/kg)</t>
  </si>
  <si>
    <t>Density
(kg/m3)</t>
  </si>
  <si>
    <t>∆H</t>
  </si>
  <si>
    <t>ρ</t>
  </si>
  <si>
    <t>h</t>
  </si>
  <si>
    <t>s</t>
  </si>
  <si>
    <t>Approach</t>
  </si>
  <si>
    <t>State 1/6</t>
  </si>
  <si>
    <t>Reservoir
pressure</t>
  </si>
  <si>
    <t>State 2 pressure / MPa</t>
  </si>
  <si>
    <t>Sean East</t>
  </si>
  <si>
    <t>Davy</t>
  </si>
  <si>
    <t>Sean North</t>
  </si>
  <si>
    <t>Sean south</t>
  </si>
  <si>
    <t>Barque</t>
  </si>
  <si>
    <t>Chiswick</t>
  </si>
  <si>
    <t>Waveney</t>
  </si>
  <si>
    <t>Beaufort</t>
  </si>
  <si>
    <t>Brown</t>
  </si>
  <si>
    <t>Juliet</t>
  </si>
  <si>
    <t>Bessemer</t>
  </si>
  <si>
    <t>Carrack</t>
  </si>
  <si>
    <t>Kew</t>
  </si>
  <si>
    <t>Grove</t>
  </si>
  <si>
    <t>Clipper</t>
  </si>
  <si>
    <t>Ketch</t>
  </si>
  <si>
    <t>Cygus</t>
  </si>
  <si>
    <t>Markham</t>
  </si>
  <si>
    <t>Schooner</t>
  </si>
  <si>
    <t>Ensign</t>
  </si>
  <si>
    <t>Cleeton</t>
  </si>
  <si>
    <t>Malory</t>
  </si>
  <si>
    <t>West Sole</t>
  </si>
  <si>
    <t>Indefatigable</t>
  </si>
  <si>
    <t>Rough</t>
  </si>
  <si>
    <t>Victor</t>
  </si>
  <si>
    <t>Thames</t>
  </si>
  <si>
    <t>Yare</t>
  </si>
  <si>
    <t>Bure</t>
  </si>
  <si>
    <t>S. Ravenspurn</t>
  </si>
  <si>
    <t>Amethyst</t>
  </si>
  <si>
    <t>Pickerill</t>
  </si>
  <si>
    <t>Guinevere</t>
  </si>
  <si>
    <t>Caister C</t>
  </si>
  <si>
    <t>Murdoch</t>
  </si>
  <si>
    <t>Johnston</t>
  </si>
  <si>
    <t>Gawain</t>
  </si>
  <si>
    <t>Tyne north</t>
  </si>
  <si>
    <t xml:space="preserve">Tyne south </t>
  </si>
  <si>
    <t>Tyne west</t>
  </si>
  <si>
    <t>Windermere</t>
  </si>
  <si>
    <t>Boulton</t>
  </si>
  <si>
    <t>Corvette</t>
  </si>
  <si>
    <t>Mercury</t>
  </si>
  <si>
    <t>Neptune</t>
  </si>
  <si>
    <t>Cavendish</t>
  </si>
  <si>
    <t>Babbage</t>
  </si>
  <si>
    <t>Wingate</t>
  </si>
  <si>
    <t>Breagh</t>
  </si>
  <si>
    <t>Tolmount</t>
  </si>
  <si>
    <t>S. Morecambe</t>
  </si>
  <si>
    <t>C/S Camelot</t>
  </si>
  <si>
    <t>Caister B</t>
  </si>
  <si>
    <t>Dawn</t>
  </si>
  <si>
    <t>Little Dotty rot.</t>
  </si>
  <si>
    <t>Hewett upper bunter</t>
  </si>
  <si>
    <t>Hewett lower bunter</t>
  </si>
  <si>
    <t xml:space="preserve">Hewett  zechstein </t>
  </si>
  <si>
    <t>Big Dotty</t>
  </si>
  <si>
    <t>Little Dotty bunter</t>
  </si>
  <si>
    <t>Deborah</t>
  </si>
  <si>
    <t>Della</t>
  </si>
  <si>
    <t>Delilah</t>
  </si>
  <si>
    <t>Leman</t>
  </si>
  <si>
    <t>Depth</t>
  </si>
  <si>
    <t>z (m)</t>
  </si>
  <si>
    <t>D (cm)</t>
  </si>
  <si>
    <t>µ</t>
  </si>
  <si>
    <t>b (m)</t>
  </si>
  <si>
    <t>L (m)</t>
  </si>
  <si>
    <t>I_ρ</t>
  </si>
  <si>
    <t>P_ρ</t>
  </si>
  <si>
    <t>TS ∆P</t>
  </si>
  <si>
    <t>Pipe</t>
  </si>
  <si>
    <t>Reservoir</t>
  </si>
  <si>
    <t>Total</t>
  </si>
  <si>
    <t>mpa used for turbine</t>
  </si>
  <si>
    <t>∆P/d</t>
  </si>
  <si>
    <t>South Sean</t>
  </si>
  <si>
    <t>Tyne North</t>
  </si>
  <si>
    <t>0.14 m well diameter</t>
  </si>
  <si>
    <t>0.41 m well diameter</t>
  </si>
  <si>
    <t>0.28 m well diameter</t>
  </si>
  <si>
    <t>State</t>
  </si>
  <si>
    <t>Property</t>
  </si>
  <si>
    <t>Specific enthalpy (kJ/kg)</t>
  </si>
  <si>
    <t>Specific entropy (kJ/(kg k))</t>
  </si>
  <si>
    <t>Temperature (oC)</t>
  </si>
  <si>
    <t>Density (kg/m3)</t>
  </si>
  <si>
    <t>Turbine</t>
  </si>
  <si>
    <t>Net</t>
  </si>
  <si>
    <t xml:space="preserve">                                                                           </t>
  </si>
  <si>
    <t>ISENTROPIC COMPRESSION
---------------------&gt;</t>
  </si>
  <si>
    <t>ISOBARIC COOLING
-----------------------&gt;</t>
  </si>
  <si>
    <t>LMTD</t>
  </si>
  <si>
    <t>Tho</t>
  </si>
  <si>
    <t>Thi</t>
  </si>
  <si>
    <t>TCi</t>
  </si>
  <si>
    <t>TCo</t>
  </si>
  <si>
    <t>Cp (J/Kg.k)</t>
  </si>
  <si>
    <t>T (oC)</t>
  </si>
  <si>
    <t>ρ (kg/m3)</t>
  </si>
  <si>
    <t>k (w/(m.k)</t>
  </si>
  <si>
    <t>m (kg/s)</t>
  </si>
  <si>
    <t>Kht</t>
  </si>
  <si>
    <t>u (Pa.s)</t>
  </si>
  <si>
    <t>Prandtl</t>
  </si>
  <si>
    <t>ht (w/m2.k)</t>
  </si>
  <si>
    <t>do (m)</t>
  </si>
  <si>
    <t>di (m)</t>
  </si>
  <si>
    <t>Fi (m3/s)</t>
  </si>
  <si>
    <t>Ntp</t>
  </si>
  <si>
    <t>No. tubes</t>
  </si>
  <si>
    <t>kpt1</t>
  </si>
  <si>
    <t>kpt2</t>
  </si>
  <si>
    <t>(MPa)</t>
  </si>
  <si>
    <t>pc</t>
  </si>
  <si>
    <t>Ds (m)</t>
  </si>
  <si>
    <t>pt (m)</t>
  </si>
  <si>
    <t>Bc</t>
  </si>
  <si>
    <t>Fo (m3/s)</t>
  </si>
  <si>
    <t>As</t>
  </si>
  <si>
    <t>Lb (m)</t>
  </si>
  <si>
    <t>kps1</t>
  </si>
  <si>
    <t>Fpb</t>
  </si>
  <si>
    <t>u (pa .s)</t>
  </si>
  <si>
    <t>∆Pe</t>
  </si>
  <si>
    <t>kps2</t>
  </si>
  <si>
    <t>Fpl</t>
  </si>
  <si>
    <t>kps3</t>
  </si>
  <si>
    <t>∆Pc</t>
  </si>
  <si>
    <t>kps4</t>
  </si>
  <si>
    <t>∆Pw</t>
  </si>
  <si>
    <t>Nb</t>
  </si>
  <si>
    <t>khs</t>
  </si>
  <si>
    <t>hs</t>
  </si>
  <si>
    <t>∆Ps</t>
  </si>
  <si>
    <t>ks1</t>
  </si>
  <si>
    <t>ks2</t>
  </si>
  <si>
    <t>ks3</t>
  </si>
  <si>
    <t>Mpa</t>
  </si>
  <si>
    <t>∆Pt</t>
  </si>
  <si>
    <t>Tubeside
CO2 properties</t>
  </si>
  <si>
    <t>Tubeside
Design</t>
  </si>
  <si>
    <t>Shellside
seawater properties</t>
  </si>
  <si>
    <t>Shellside
Design</t>
  </si>
  <si>
    <t>Vt (m/s)</t>
  </si>
  <si>
    <t>Vs (m/s)</t>
  </si>
  <si>
    <t>Heat
 rejection 
requirement /configuraiton</t>
  </si>
  <si>
    <t>Tubeside
pressure drop</t>
  </si>
  <si>
    <t>Shellside
 pressure drop</t>
  </si>
  <si>
    <t>Overall U</t>
  </si>
  <si>
    <t>w/m2.k</t>
  </si>
  <si>
    <t>Shellside film
transfer coef.</t>
  </si>
  <si>
    <t>A (m2)</t>
  </si>
  <si>
    <t>Parasitic pumping / kW</t>
  </si>
  <si>
    <t>L:Ds</t>
  </si>
  <si>
    <t>∆H cooler</t>
  </si>
  <si>
    <t>Tubeside
film transfer
coefficient</t>
  </si>
  <si>
    <t>Area</t>
  </si>
  <si>
    <t>∆Tlm</t>
  </si>
  <si>
    <t>U</t>
  </si>
  <si>
    <t>Turbine kW</t>
  </si>
  <si>
    <t>Cooling kW</t>
  </si>
  <si>
    <t>∆Pt (Mpa)</t>
  </si>
  <si>
    <t>GG</t>
  </si>
  <si>
    <t>topaz</t>
  </si>
  <si>
    <t>Heat exchange area
 area</t>
  </si>
  <si>
    <t>Required area</t>
  </si>
  <si>
    <t>Shellside pump
parasitic loss (kW)</t>
  </si>
  <si>
    <t>Turbine (kW)
Eq. 1</t>
  </si>
  <si>
    <t>North Sean</t>
  </si>
  <si>
    <t>HX surface
area (m2)</t>
  </si>
  <si>
    <t xml:space="preserve">h1-h2 </t>
  </si>
  <si>
    <t>cooling</t>
  </si>
  <si>
    <t>net</t>
  </si>
  <si>
    <t>∆H cooler (J/kg)</t>
  </si>
  <si>
    <t>Thi (degC)</t>
  </si>
  <si>
    <t>Q (J)</t>
  </si>
  <si>
    <t>S.Sean
 0.14</t>
  </si>
  <si>
    <t>S. Sean
 0.28</t>
  </si>
  <si>
    <t>S.Sean
 0.41</t>
  </si>
  <si>
    <t>S. Sean
1 MPa pump</t>
  </si>
  <si>
    <t>S. Sean
2 MPa pump</t>
  </si>
  <si>
    <t>S. Sean
3 MPa pump</t>
  </si>
  <si>
    <t>S. Sean
4 MPa pump</t>
  </si>
  <si>
    <t>S. Sean
5 MPa pump</t>
  </si>
  <si>
    <t>S. Sean
6 MPa pump</t>
  </si>
  <si>
    <t>S. Sean
7 MPa pump</t>
  </si>
  <si>
    <t>S. Sean
8 MPa pump</t>
  </si>
  <si>
    <t>onshore net</t>
  </si>
  <si>
    <t>onshore cooling</t>
  </si>
  <si>
    <t>Kj/kg</t>
  </si>
  <si>
    <t>MPa</t>
  </si>
  <si>
    <t>State 2</t>
  </si>
  <si>
    <t>State 4</t>
  </si>
  <si>
    <t>State 1</t>
  </si>
  <si>
    <t>State 3</t>
  </si>
  <si>
    <t>h (J/Kg)</t>
  </si>
  <si>
    <t>density kg/m3</t>
  </si>
  <si>
    <t>pressure (Pa)</t>
  </si>
  <si>
    <t>entropy</t>
  </si>
  <si>
    <t>Injection well</t>
  </si>
  <si>
    <t>Production well</t>
  </si>
  <si>
    <t>Velocity</t>
  </si>
  <si>
    <t>V change</t>
  </si>
  <si>
    <t>KE</t>
  </si>
  <si>
    <t>% of total change</t>
  </si>
  <si>
    <t>Q (Wth)</t>
  </si>
  <si>
    <t>k (mD)</t>
  </si>
  <si>
    <t>Integrating the well demonstration method with a two-phase turbine in a 100 kg/s frictionless scenario</t>
  </si>
  <si>
    <t>Heat
 rejection 
requirement /configuration</t>
  </si>
  <si>
    <t>Average ρ</t>
  </si>
  <si>
    <t>Specific entropy
(kJ/(kg k))</t>
  </si>
  <si>
    <t>QC (Wth)</t>
  </si>
  <si>
    <t>hs (w/m2.k)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</si>
</sst>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0"/>
    <numFmt numFmtId="165" formatCode="0.00000"/>
    <numFmt numFmtId="166" formatCode="0.0000"/>
    <numFmt numFmtId="167" formatCode="0.0000000"/>
    <numFmt numFmtId="168" formatCode="0.0"/>
  </numFmts>
  <fonts count="22" x14ac:knownFonts="1">
    <font>
      <sz val="12"/>
      <color theme="1"/>
      <name val="Calibri"/>
      <family val="2"/>
      <scheme val="minor"/>
    </font>
    <font>
      <sz val="12"/>
      <color theme="1"/>
      <name val="Calibri"/>
      <family val="2"/>
      <scheme val="minor"/>
    </font>
    <font>
      <sz val="12"/>
      <color rgb="FF006100"/>
      <name val="Calibri"/>
      <family val="2"/>
      <scheme val="minor"/>
    </font>
    <font>
      <sz val="12"/>
      <color rgb="FF9C5700"/>
      <name val="Calibri"/>
      <family val="2"/>
      <scheme val="minor"/>
    </font>
    <font>
      <b/>
      <sz val="12"/>
      <color theme="1"/>
      <name val="Calibri"/>
      <family val="2"/>
      <scheme val="minor"/>
    </font>
    <font>
      <sz val="10"/>
      <name val="Arial"/>
      <family val="2"/>
    </font>
    <font>
      <b/>
      <sz val="10"/>
      <name val="Arial"/>
      <family val="2"/>
    </font>
    <font>
      <b/>
      <sz val="10"/>
      <color rgb="FF000000"/>
      <name val="Tahoma"/>
      <family val="2"/>
    </font>
    <font>
      <sz val="10"/>
      <color rgb="FF000000"/>
      <name val="Tahoma"/>
      <family val="2"/>
    </font>
    <font>
      <sz val="10"/>
      <color theme="1"/>
      <name val="Arial"/>
      <family val="2"/>
    </font>
    <font>
      <sz val="14"/>
      <color rgb="FF9C5700"/>
      <name val="Calibri"/>
      <family val="2"/>
      <scheme val="minor"/>
    </font>
    <font>
      <b/>
      <sz val="12"/>
      <color rgb="FF000000"/>
      <name val="Calibri"/>
      <family val="2"/>
      <scheme val="minor"/>
    </font>
    <font>
      <sz val="12"/>
      <color rgb="FF000000"/>
      <name val="Calibri"/>
      <family val="2"/>
      <scheme val="minor"/>
    </font>
    <font>
      <b/>
      <sz val="10"/>
      <color theme="1"/>
      <name val="Arial"/>
      <family val="2"/>
    </font>
    <font>
      <b/>
      <sz val="10"/>
      <color rgb="FF000000"/>
      <name val="Arial"/>
      <family val="2"/>
    </font>
    <font>
      <sz val="10"/>
      <color rgb="FF000000"/>
      <name val="Calibri"/>
      <family val="2"/>
    </font>
    <font>
      <vertAlign val="subscript"/>
      <sz val="10"/>
      <color rgb="FF000000"/>
      <name val="Calibri"/>
      <family val="2"/>
    </font>
    <font>
      <sz val="12"/>
      <color rgb="FF9C0006"/>
      <name val="Calibri"/>
      <family val="2"/>
      <scheme val="minor"/>
    </font>
    <font>
      <sz val="12"/>
      <color rgb="FF000000"/>
      <name val="Times New Roman"/>
      <family val="1"/>
    </font>
    <font>
      <sz val="11"/>
      <color theme="1"/>
      <name val="Calibri"/>
      <family val="2"/>
      <scheme val="minor"/>
    </font>
    <font>
      <sz val="10"/>
      <color rgb="FF000000"/>
      <name val="Calibri"/>
      <family val="2"/>
      <scheme val="minor"/>
    </font>
    <font>
      <vertAlign val="subscript"/>
      <sz val="10"/>
      <color rgb="FF000000"/>
      <name val="Calibri"/>
      <family val="2"/>
      <scheme val="minor"/>
    </font>
  </fonts>
  <fills count="11">
    <fill>
      <patternFill patternType="none"/>
    </fill>
    <fill>
      <patternFill patternType="gray125"/>
    </fill>
    <fill>
      <patternFill patternType="solid">
        <fgColor rgb="FFC6EFCE"/>
      </patternFill>
    </fill>
    <fill>
      <patternFill patternType="solid">
        <fgColor rgb="FFFFEB9C"/>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C7CE"/>
      </patternFill>
    </fill>
    <fill>
      <patternFill patternType="solid">
        <fgColor theme="7" tint="0.79998168889431442"/>
        <bgColor indexed="64"/>
      </patternFill>
    </fill>
  </fills>
  <borders count="3">
    <border>
      <left/>
      <right/>
      <top/>
      <bottom/>
      <diagonal/>
    </border>
    <border>
      <left style="thin">
        <color theme="6"/>
      </left>
      <right style="thin">
        <color theme="6"/>
      </right>
      <top style="thin">
        <color theme="6"/>
      </top>
      <bottom style="thin">
        <color theme="6"/>
      </bottom>
      <diagonal/>
    </border>
    <border>
      <left/>
      <right/>
      <top/>
      <bottom style="thin">
        <color indexed="64"/>
      </bottom>
      <diagonal/>
    </border>
  </borders>
  <cellStyleXfs count="6">
    <xf numFmtId="0" fontId="0" fillId="0" borderId="0"/>
    <xf numFmtId="0" fontId="2" fillId="2" borderId="0" applyNumberFormat="0" applyBorder="0" applyAlignment="0" applyProtection="0"/>
    <xf numFmtId="0" fontId="3" fillId="3" borderId="0" applyNumberFormat="0" applyBorder="0" applyAlignment="0" applyProtection="0"/>
    <xf numFmtId="0" fontId="5" fillId="0" borderId="0" applyNumberFormat="0" applyFill="0" applyBorder="0" applyAlignment="0" applyProtection="0"/>
    <xf numFmtId="0" fontId="17" fillId="9" borderId="0" applyNumberFormat="0" applyBorder="0" applyAlignment="0" applyProtection="0"/>
    <xf numFmtId="0" fontId="19" fillId="0" borderId="0"/>
  </cellStyleXfs>
  <cellXfs count="116">
    <xf numFmtId="0" fontId="0" fillId="0" borderId="0" xfId="0"/>
    <xf numFmtId="0" fontId="0" fillId="0" borderId="0" xfId="0" applyAlignment="1">
      <alignment horizontal="center"/>
    </xf>
    <xf numFmtId="0" fontId="6" fillId="0" borderId="0" xfId="3" applyFont="1" applyFill="1" applyBorder="1" applyAlignment="1" applyProtection="1">
      <alignment horizontal="center" vertical="center"/>
    </xf>
    <xf numFmtId="1" fontId="0" fillId="0" borderId="0" xfId="0" applyNumberFormat="1"/>
    <xf numFmtId="0" fontId="4" fillId="0" borderId="0" xfId="0" applyFont="1"/>
    <xf numFmtId="0" fontId="4"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center" vertical="center" wrapText="1"/>
    </xf>
    <xf numFmtId="0" fontId="2" fillId="2" borderId="0" xfId="1" applyAlignment="1">
      <alignment horizontal="center" vertical="center" wrapText="1"/>
    </xf>
    <xf numFmtId="0" fontId="2" fillId="2" borderId="0" xfId="1" applyAlignment="1">
      <alignment horizontal="center" vertical="center"/>
    </xf>
    <xf numFmtId="0" fontId="11" fillId="0" borderId="0" xfId="0" applyFont="1" applyAlignment="1">
      <alignment horizontal="center" vertical="center"/>
    </xf>
    <xf numFmtId="1" fontId="5" fillId="0" borderId="0" xfId="3" applyNumberFormat="1" applyFill="1" applyAlignment="1">
      <alignment horizontal="center"/>
    </xf>
    <xf numFmtId="2" fontId="0" fillId="0" borderId="0" xfId="0" applyNumberFormat="1" applyAlignment="1">
      <alignment horizontal="center"/>
    </xf>
    <xf numFmtId="2" fontId="5" fillId="0" borderId="0" xfId="3" applyNumberFormat="1" applyFill="1" applyBorder="1" applyAlignment="1" applyProtection="1">
      <alignment horizontal="center" vertical="center"/>
    </xf>
    <xf numFmtId="164" fontId="0" fillId="0" borderId="0" xfId="0" applyNumberFormat="1" applyAlignment="1">
      <alignment horizontal="center"/>
    </xf>
    <xf numFmtId="0" fontId="12" fillId="0" borderId="0" xfId="0" applyFont="1" applyAlignment="1">
      <alignment horizontal="center" vertical="center" wrapText="1"/>
    </xf>
    <xf numFmtId="2" fontId="0" fillId="0" borderId="0" xfId="0" applyNumberFormat="1" applyAlignment="1">
      <alignment horizontal="center" vertical="center" wrapText="1"/>
    </xf>
    <xf numFmtId="0" fontId="6" fillId="0" borderId="0" xfId="0" applyFont="1" applyAlignment="1">
      <alignment horizontal="center"/>
    </xf>
    <xf numFmtId="2" fontId="4" fillId="0" borderId="0" xfId="0" applyNumberFormat="1" applyFont="1"/>
    <xf numFmtId="2" fontId="0" fillId="0" borderId="0" xfId="0" applyNumberFormat="1"/>
    <xf numFmtId="2" fontId="0" fillId="4" borderId="0" xfId="0" applyNumberFormat="1" applyFill="1"/>
    <xf numFmtId="0" fontId="6" fillId="4" borderId="0" xfId="3" applyFont="1" applyFill="1" applyBorder="1" applyAlignment="1" applyProtection="1">
      <alignment horizontal="center" vertical="center"/>
    </xf>
    <xf numFmtId="2" fontId="5" fillId="0" borderId="0" xfId="3" applyNumberFormat="1" applyFill="1" applyAlignment="1">
      <alignment horizontal="center"/>
    </xf>
    <xf numFmtId="0" fontId="6" fillId="0" borderId="0" xfId="0" applyFont="1" applyAlignment="1">
      <alignment horizontal="center" vertical="center"/>
    </xf>
    <xf numFmtId="0" fontId="6" fillId="0" borderId="0" xfId="3" applyFont="1" applyFill="1" applyBorder="1" applyAlignment="1" applyProtection="1">
      <alignment horizontal="center"/>
    </xf>
    <xf numFmtId="0" fontId="13" fillId="0" borderId="0" xfId="0" applyFont="1" applyAlignment="1">
      <alignment horizontal="center"/>
    </xf>
    <xf numFmtId="2" fontId="9" fillId="0" borderId="0" xfId="0" applyNumberFormat="1" applyFont="1" applyAlignment="1">
      <alignment horizontal="center"/>
    </xf>
    <xf numFmtId="0" fontId="14" fillId="0" borderId="0" xfId="0" applyFont="1" applyAlignment="1">
      <alignment horizontal="center"/>
    </xf>
    <xf numFmtId="2" fontId="5" fillId="0" borderId="0" xfId="3" applyNumberFormat="1" applyFill="1" applyBorder="1" applyAlignment="1" applyProtection="1">
      <alignment horizontal="center"/>
    </xf>
    <xf numFmtId="1" fontId="5" fillId="0" borderId="0" xfId="3" applyNumberFormat="1" applyFill="1" applyAlignment="1">
      <alignment horizontal="center" vertical="center"/>
    </xf>
    <xf numFmtId="2" fontId="0" fillId="0" borderId="0" xfId="0" applyNumberFormat="1" applyAlignment="1">
      <alignment horizontal="center" vertical="center"/>
    </xf>
    <xf numFmtId="2" fontId="9" fillId="0" borderId="0" xfId="0" applyNumberFormat="1" applyFont="1" applyAlignment="1">
      <alignment horizontal="center" vertical="center"/>
    </xf>
    <xf numFmtId="2" fontId="5" fillId="0" borderId="0" xfId="3" applyNumberFormat="1" applyFill="1" applyAlignment="1">
      <alignment horizontal="center" vertical="center"/>
    </xf>
    <xf numFmtId="2" fontId="5" fillId="0" borderId="0" xfId="3" applyNumberFormat="1" applyFill="1" applyBorder="1" applyAlignment="1">
      <alignment horizontal="center"/>
    </xf>
    <xf numFmtId="1" fontId="0" fillId="0" borderId="0" xfId="0" applyNumberFormat="1" applyAlignment="1">
      <alignment horizontal="center"/>
    </xf>
    <xf numFmtId="2" fontId="9" fillId="0" borderId="0" xfId="3" applyNumberFormat="1" applyFont="1" applyFill="1" applyBorder="1" applyAlignment="1">
      <alignment horizontal="center"/>
    </xf>
    <xf numFmtId="0" fontId="11" fillId="0" borderId="0" xfId="0" applyFont="1" applyAlignment="1">
      <alignment horizontal="center"/>
    </xf>
    <xf numFmtId="2" fontId="0" fillId="5" borderId="1" xfId="0" applyNumberFormat="1" applyFill="1" applyBorder="1" applyAlignment="1">
      <alignment horizontal="center"/>
    </xf>
    <xf numFmtId="0" fontId="0" fillId="0" borderId="0" xfId="0" applyAlignment="1">
      <alignment horizontal="center" vertical="center" wrapText="1"/>
    </xf>
    <xf numFmtId="0" fontId="12" fillId="0" borderId="0" xfId="0" applyFont="1" applyAlignment="1">
      <alignment vertical="center" wrapText="1"/>
    </xf>
    <xf numFmtId="2" fontId="5" fillId="0" borderId="0" xfId="0" applyNumberFormat="1" applyFont="1" applyAlignment="1">
      <alignment horizontal="center" vertical="center"/>
    </xf>
    <xf numFmtId="0" fontId="11" fillId="0" borderId="0" xfId="0" applyFont="1"/>
    <xf numFmtId="0" fontId="12" fillId="0" borderId="0" xfId="0" applyFont="1"/>
    <xf numFmtId="165" fontId="0" fillId="0" borderId="0" xfId="0" applyNumberFormat="1"/>
    <xf numFmtId="2" fontId="0" fillId="4" borderId="0" xfId="0" applyNumberFormat="1" applyFill="1" applyAlignment="1">
      <alignment horizontal="center"/>
    </xf>
    <xf numFmtId="0" fontId="5" fillId="0" borderId="0" xfId="3" applyFill="1" applyBorder="1" applyAlignment="1" applyProtection="1">
      <alignment horizontal="center"/>
    </xf>
    <xf numFmtId="0" fontId="0" fillId="0" borderId="0" xfId="0" applyAlignment="1">
      <alignment horizontal="center" vertical="center"/>
    </xf>
    <xf numFmtId="2" fontId="0" fillId="6" borderId="0" xfId="0" applyNumberFormat="1" applyFill="1"/>
    <xf numFmtId="0" fontId="0" fillId="6" borderId="0" xfId="0" applyFill="1"/>
    <xf numFmtId="166" fontId="0" fillId="0" borderId="0" xfId="0" applyNumberFormat="1" applyAlignment="1">
      <alignment horizontal="center"/>
    </xf>
    <xf numFmtId="165" fontId="0" fillId="6" borderId="0" xfId="0" applyNumberFormat="1" applyFill="1"/>
    <xf numFmtId="0" fontId="0" fillId="4" borderId="0" xfId="0" applyFill="1"/>
    <xf numFmtId="0" fontId="0" fillId="7" borderId="0" xfId="0" applyFill="1"/>
    <xf numFmtId="0" fontId="0" fillId="8" borderId="0" xfId="0" applyFill="1"/>
    <xf numFmtId="0" fontId="0" fillId="4" borderId="0" xfId="0" applyFill="1" applyAlignment="1">
      <alignment horizontal="center"/>
    </xf>
    <xf numFmtId="0" fontId="0" fillId="0" borderId="0" xfId="0" applyAlignment="1">
      <alignment horizontal="right"/>
    </xf>
    <xf numFmtId="1" fontId="0" fillId="0" borderId="0" xfId="0" applyNumberFormat="1" applyAlignment="1">
      <alignment horizontal="right"/>
    </xf>
    <xf numFmtId="0" fontId="12" fillId="6" borderId="0" xfId="0" applyFont="1" applyFill="1"/>
    <xf numFmtId="164" fontId="0" fillId="0" borderId="0" xfId="0" applyNumberFormat="1"/>
    <xf numFmtId="0" fontId="4" fillId="0" borderId="0" xfId="0" applyFont="1" applyAlignment="1">
      <alignment horizontal="center" wrapText="1"/>
    </xf>
    <xf numFmtId="2" fontId="0" fillId="7" borderId="0" xfId="0" applyNumberFormat="1" applyFill="1"/>
    <xf numFmtId="2" fontId="0" fillId="7" borderId="0" xfId="0" applyNumberFormat="1" applyFill="1" applyAlignment="1">
      <alignment horizontal="center"/>
    </xf>
    <xf numFmtId="2" fontId="0" fillId="8" borderId="0" xfId="0" applyNumberFormat="1" applyFill="1"/>
    <xf numFmtId="0" fontId="4" fillId="4" borderId="0" xfId="0" applyFont="1" applyFill="1" applyAlignment="1">
      <alignment horizontal="center" vertical="center"/>
    </xf>
    <xf numFmtId="0" fontId="4" fillId="0" borderId="0" xfId="0" applyFont="1" applyAlignment="1">
      <alignment horizontal="right"/>
    </xf>
    <xf numFmtId="2" fontId="0" fillId="0" borderId="0" xfId="0" applyNumberFormat="1" applyAlignment="1">
      <alignment horizontal="right"/>
    </xf>
    <xf numFmtId="167" fontId="0" fillId="0" borderId="0" xfId="0" applyNumberFormat="1" applyAlignment="1">
      <alignment horizontal="right"/>
    </xf>
    <xf numFmtId="164" fontId="0" fillId="0" borderId="0" xfId="0" applyNumberFormat="1" applyAlignment="1">
      <alignment horizontal="right"/>
    </xf>
    <xf numFmtId="166" fontId="0" fillId="0" borderId="0" xfId="0" applyNumberFormat="1" applyAlignment="1">
      <alignment horizontal="right"/>
    </xf>
    <xf numFmtId="2" fontId="0" fillId="8" borderId="0" xfId="0" applyNumberFormat="1" applyFill="1" applyAlignment="1">
      <alignment horizontal="right"/>
    </xf>
    <xf numFmtId="1" fontId="0" fillId="8" borderId="0" xfId="0" applyNumberFormat="1" applyFill="1" applyAlignment="1">
      <alignment horizontal="right"/>
    </xf>
    <xf numFmtId="165" fontId="0" fillId="10" borderId="0" xfId="0" applyNumberFormat="1" applyFill="1" applyAlignment="1">
      <alignment horizontal="right"/>
    </xf>
    <xf numFmtId="166" fontId="0" fillId="10" borderId="0" xfId="0" applyNumberFormat="1" applyFill="1" applyAlignment="1">
      <alignment horizontal="right"/>
    </xf>
    <xf numFmtId="2" fontId="0" fillId="7" borderId="0" xfId="0" applyNumberFormat="1" applyFill="1" applyAlignment="1">
      <alignment horizontal="right"/>
    </xf>
    <xf numFmtId="0" fontId="4" fillId="0" borderId="0" xfId="0" applyFont="1" applyAlignment="1">
      <alignment horizontal="left" vertical="center"/>
    </xf>
    <xf numFmtId="168" fontId="0" fillId="0" borderId="0" xfId="0" applyNumberFormat="1" applyAlignment="1">
      <alignment horizontal="right"/>
    </xf>
    <xf numFmtId="0" fontId="6" fillId="4" borderId="0" xfId="3" applyFont="1" applyFill="1" applyBorder="1" applyAlignment="1" applyProtection="1">
      <alignment horizontal="center"/>
    </xf>
    <xf numFmtId="0" fontId="4" fillId="6" borderId="0" xfId="0" applyFont="1" applyFill="1" applyAlignment="1">
      <alignment horizontal="right"/>
    </xf>
    <xf numFmtId="0" fontId="13" fillId="0" borderId="0" xfId="0" applyFont="1" applyAlignment="1">
      <alignment horizontal="center" vertical="center"/>
    </xf>
    <xf numFmtId="0" fontId="17" fillId="9" borderId="0" xfId="4" applyAlignment="1">
      <alignment horizontal="center" vertical="center" wrapText="1"/>
    </xf>
    <xf numFmtId="1" fontId="5" fillId="0" borderId="0" xfId="0" applyNumberFormat="1" applyFont="1" applyAlignment="1">
      <alignment horizontal="center"/>
    </xf>
    <xf numFmtId="1" fontId="5" fillId="4" borderId="0" xfId="3" applyNumberFormat="1" applyFill="1" applyAlignment="1">
      <alignment horizontal="center"/>
    </xf>
    <xf numFmtId="2" fontId="5" fillId="4" borderId="0" xfId="3" applyNumberFormat="1" applyFill="1" applyBorder="1" applyAlignment="1" applyProtection="1">
      <alignment horizontal="center" vertical="center"/>
    </xf>
    <xf numFmtId="164" fontId="0" fillId="4" borderId="0" xfId="0" applyNumberFormat="1" applyFill="1" applyAlignment="1">
      <alignment horizontal="center"/>
    </xf>
    <xf numFmtId="0" fontId="4" fillId="4" borderId="0" xfId="0" applyFont="1" applyFill="1"/>
    <xf numFmtId="0" fontId="12" fillId="4" borderId="0" xfId="0" applyFont="1" applyFill="1" applyAlignment="1">
      <alignment horizontal="center" vertical="center" wrapText="1"/>
    </xf>
    <xf numFmtId="2" fontId="0" fillId="4" borderId="0" xfId="0" applyNumberFormat="1" applyFill="1" applyAlignment="1">
      <alignment horizontal="center" vertical="center" wrapText="1"/>
    </xf>
    <xf numFmtId="0" fontId="6" fillId="0" borderId="2" xfId="3" applyFont="1" applyFill="1" applyBorder="1" applyAlignment="1" applyProtection="1">
      <alignment horizontal="center" vertical="center"/>
    </xf>
    <xf numFmtId="2" fontId="0" fillId="0" borderId="2" xfId="0" applyNumberFormat="1" applyBorder="1"/>
    <xf numFmtId="1" fontId="0" fillId="0" borderId="2" xfId="0" applyNumberFormat="1" applyBorder="1"/>
    <xf numFmtId="0" fontId="0" fillId="0" borderId="2" xfId="0" applyBorder="1"/>
    <xf numFmtId="164" fontId="0" fillId="0" borderId="2" xfId="0" applyNumberFormat="1" applyBorder="1"/>
    <xf numFmtId="0" fontId="11" fillId="0" borderId="0" xfId="0" applyFont="1" applyAlignment="1">
      <alignment horizontal="left"/>
    </xf>
    <xf numFmtId="0" fontId="0" fillId="6" borderId="0" xfId="0" applyFill="1" applyAlignment="1">
      <alignment horizontal="right"/>
    </xf>
    <xf numFmtId="0" fontId="18" fillId="0" borderId="0" xfId="0" applyFont="1" applyAlignment="1">
      <alignment horizontal="right" vertical="center" wrapText="1"/>
    </xf>
    <xf numFmtId="11" fontId="0" fillId="0" borderId="0" xfId="0" applyNumberFormat="1"/>
    <xf numFmtId="2" fontId="0" fillId="10" borderId="0" xfId="0" applyNumberFormat="1" applyFill="1"/>
    <xf numFmtId="0" fontId="0" fillId="10" borderId="0" xfId="0" applyFill="1"/>
    <xf numFmtId="2" fontId="0" fillId="0" borderId="0" xfId="0" applyNumberFormat="1" applyAlignment="1">
      <alignment horizontal="center" vertical="top"/>
    </xf>
    <xf numFmtId="1" fontId="0" fillId="4" borderId="0" xfId="0" applyNumberFormat="1" applyFill="1" applyAlignment="1">
      <alignment horizontal="center"/>
    </xf>
    <xf numFmtId="0" fontId="17" fillId="0" borderId="0" xfId="4" applyFill="1" applyAlignment="1">
      <alignment horizontal="center" vertical="center" wrapText="1"/>
    </xf>
    <xf numFmtId="166" fontId="0" fillId="0" borderId="0" xfId="0" applyNumberFormat="1" applyAlignment="1">
      <alignment horizontal="center" vertical="center"/>
    </xf>
    <xf numFmtId="2" fontId="4" fillId="0" borderId="0" xfId="0" applyNumberFormat="1" applyFont="1" applyAlignment="1">
      <alignment horizontal="center"/>
    </xf>
    <xf numFmtId="0" fontId="0" fillId="0" borderId="0" xfId="0" applyAlignment="1">
      <alignment horizontal="center" vertical="center"/>
    </xf>
    <xf numFmtId="0" fontId="4" fillId="0" borderId="0" xfId="0" applyFont="1" applyAlignment="1">
      <alignment horizontal="center" vertical="center"/>
    </xf>
    <xf numFmtId="0" fontId="0" fillId="0" borderId="0" xfId="0" quotePrefix="1" applyAlignment="1">
      <alignment horizontal="center" vertical="center" wrapText="1"/>
    </xf>
    <xf numFmtId="0" fontId="10" fillId="3" borderId="0" xfId="2" applyFont="1" applyAlignment="1">
      <alignment horizontal="center" vertical="center" wrapText="1"/>
    </xf>
    <xf numFmtId="0" fontId="1" fillId="0" borderId="0" xfId="2"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xf>
    <xf numFmtId="0" fontId="4" fillId="0" borderId="0" xfId="0" applyFont="1" applyAlignment="1">
      <alignment horizontal="center" vertical="center" wrapText="1"/>
    </xf>
    <xf numFmtId="0" fontId="4" fillId="7" borderId="0" xfId="0" applyFont="1" applyFill="1" applyAlignment="1">
      <alignment horizontal="center"/>
    </xf>
    <xf numFmtId="0" fontId="4" fillId="4" borderId="0" xfId="0" applyFont="1" applyFill="1" applyAlignment="1">
      <alignment horizontal="center"/>
    </xf>
    <xf numFmtId="0" fontId="4" fillId="8" borderId="0" xfId="0" applyFont="1" applyFill="1" applyAlignment="1">
      <alignment horizontal="center"/>
    </xf>
  </cellXfs>
  <cellStyles count="6">
    <cellStyle name="Bad" xfId="4" builtinId="27"/>
    <cellStyle name="Good" xfId="1" builtinId="26"/>
    <cellStyle name="Neutral" xfId="2" builtinId="28"/>
    <cellStyle name="Normal" xfId="0" builtinId="0"/>
    <cellStyle name="Normal 2" xfId="3" xr:uid="{EB3FB198-3DD1-7C42-A30A-7D66D3A80837}"/>
    <cellStyle name="Normal 3" xfId="5" xr:uid="{41401F1A-0602-D14D-B23B-32302C3C8DD7}"/>
  </cellStyles>
  <dxfs count="0"/>
  <tableStyles count="0" defaultTableStyle="TableStyleMedium2" defaultPivotStyle="PivotStyleLight16"/>
  <colors>
    <mruColors>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Times New Roman" panose="02020603050405020304" pitchFamily="18" charset="0"/>
                <a:ea typeface="+mn-ea"/>
                <a:cs typeface="Times New Roman" panose="02020603050405020304" pitchFamily="18" charset="0"/>
              </a:defRPr>
            </a:pPr>
            <a:r>
              <a:rPr lang="en-GB"/>
              <a:t>Fig. 5: Net power generation and</a:t>
            </a:r>
            <a:r>
              <a:rPr lang="en-GB" baseline="0"/>
              <a:t> required heat exchanger surface area for</a:t>
            </a:r>
          </a:p>
          <a:p>
            <a:pPr>
              <a:defRPr/>
            </a:pPr>
            <a:r>
              <a:rPr lang="en-GB" baseline="0"/>
              <a:t>50 SNS fields in a 100 kg/s frictioness CPG system</a:t>
            </a:r>
            <a:endParaRPr lang="en-GB"/>
          </a:p>
        </c:rich>
      </c:tx>
      <c:layout>
        <c:manualLayout>
          <c:xMode val="edge"/>
          <c:yMode val="edge"/>
          <c:x val="0.12707243171932239"/>
          <c:y val="9.498350428299464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1201695381178546"/>
          <c:y val="0.13782931320259129"/>
          <c:w val="0.77209147150165169"/>
          <c:h val="0.64606717584812978"/>
        </c:manualLayout>
      </c:layout>
      <c:areaChart>
        <c:grouping val="standard"/>
        <c:varyColors val="0"/>
        <c:ser>
          <c:idx val="1"/>
          <c:order val="1"/>
          <c:tx>
            <c:strRef>
              <c:f>'Cooling summary'!$A$2:$A$51</c:f>
              <c:strCache>
                <c:ptCount val="50"/>
                <c:pt idx="0">
                  <c:v>Clipper</c:v>
                </c:pt>
                <c:pt idx="1">
                  <c:v>Barque</c:v>
                </c:pt>
                <c:pt idx="2">
                  <c:v>Bure</c:v>
                </c:pt>
                <c:pt idx="3">
                  <c:v>Davy</c:v>
                </c:pt>
                <c:pt idx="4">
                  <c:v>Breagh</c:v>
                </c:pt>
                <c:pt idx="5">
                  <c:v>Yare</c:v>
                </c:pt>
                <c:pt idx="6">
                  <c:v>Indefatigable</c:v>
                </c:pt>
                <c:pt idx="7">
                  <c:v>Corvette</c:v>
                </c:pt>
                <c:pt idx="8">
                  <c:v>Cleeton</c:v>
                </c:pt>
                <c:pt idx="9">
                  <c:v>Waveney</c:v>
                </c:pt>
                <c:pt idx="10">
                  <c:v>Ensign</c:v>
                </c:pt>
                <c:pt idx="11">
                  <c:v>Guinevere</c:v>
                </c:pt>
                <c:pt idx="12">
                  <c:v>Gawain</c:v>
                </c:pt>
                <c:pt idx="13">
                  <c:v>Neptune</c:v>
                </c:pt>
                <c:pt idx="14">
                  <c:v>West Sole</c:v>
                </c:pt>
                <c:pt idx="15">
                  <c:v>South Sean</c:v>
                </c:pt>
                <c:pt idx="16">
                  <c:v>Brown</c:v>
                </c:pt>
                <c:pt idx="17">
                  <c:v>Bessemer</c:v>
                </c:pt>
                <c:pt idx="18">
                  <c:v>Beaufort</c:v>
                </c:pt>
                <c:pt idx="19">
                  <c:v>Sean East</c:v>
                </c:pt>
                <c:pt idx="20">
                  <c:v>Juliet</c:v>
                </c:pt>
                <c:pt idx="21">
                  <c:v>Thames</c:v>
                </c:pt>
                <c:pt idx="22">
                  <c:v>Victor</c:v>
                </c:pt>
                <c:pt idx="23">
                  <c:v>S. Ravenspurn</c:v>
                </c:pt>
                <c:pt idx="24">
                  <c:v>Malory</c:v>
                </c:pt>
                <c:pt idx="25">
                  <c:v>Amethyst</c:v>
                </c:pt>
                <c:pt idx="26">
                  <c:v>North Sean</c:v>
                </c:pt>
                <c:pt idx="27">
                  <c:v>Rough</c:v>
                </c:pt>
                <c:pt idx="28">
                  <c:v>Tolmount</c:v>
                </c:pt>
                <c:pt idx="29">
                  <c:v>Carrack</c:v>
                </c:pt>
                <c:pt idx="30">
                  <c:v>Pickerill</c:v>
                </c:pt>
                <c:pt idx="31">
                  <c:v>Mercury</c:v>
                </c:pt>
                <c:pt idx="32">
                  <c:v>Babbage</c:v>
                </c:pt>
                <c:pt idx="33">
                  <c:v>Johnston</c:v>
                </c:pt>
                <c:pt idx="34">
                  <c:v>Cavendish</c:v>
                </c:pt>
                <c:pt idx="35">
                  <c:v>Grove</c:v>
                </c:pt>
                <c:pt idx="36">
                  <c:v>Kew</c:v>
                </c:pt>
                <c:pt idx="37">
                  <c:v>Cygus</c:v>
                </c:pt>
                <c:pt idx="38">
                  <c:v>Chiswick</c:v>
                </c:pt>
                <c:pt idx="39">
                  <c:v>Murdoch</c:v>
                </c:pt>
                <c:pt idx="40">
                  <c:v>Schooner</c:v>
                </c:pt>
                <c:pt idx="41">
                  <c:v>Windermere</c:v>
                </c:pt>
                <c:pt idx="42">
                  <c:v>Caister C</c:v>
                </c:pt>
                <c:pt idx="43">
                  <c:v>Ketch</c:v>
                </c:pt>
                <c:pt idx="44">
                  <c:v>Wingate</c:v>
                </c:pt>
                <c:pt idx="45">
                  <c:v>Tyne North</c:v>
                </c:pt>
                <c:pt idx="46">
                  <c:v>Markham</c:v>
                </c:pt>
                <c:pt idx="47">
                  <c:v>Tyne south </c:v>
                </c:pt>
                <c:pt idx="48">
                  <c:v>Boulton</c:v>
                </c:pt>
                <c:pt idx="49">
                  <c:v>Tyne west</c:v>
                </c:pt>
              </c:strCache>
            </c:strRef>
          </c:tx>
          <c:spPr>
            <a:pattFill prst="ltUpDiag">
              <a:fgClr>
                <a:schemeClr val="tx1">
                  <a:lumMod val="85000"/>
                  <a:lumOff val="15000"/>
                </a:schemeClr>
              </a:fgClr>
              <a:bgClr>
                <a:schemeClr val="bg1"/>
              </a:bgClr>
            </a:pattFill>
            <a:ln>
              <a:solidFill>
                <a:schemeClr val="tx1"/>
              </a:solidFill>
            </a:ln>
            <a:effectLst/>
          </c:spPr>
          <c:val>
            <c:numRef>
              <c:f>'Cooling summary'!$F$2:$F$51</c:f>
              <c:numCache>
                <c:formatCode>0.00</c:formatCode>
                <c:ptCount val="50"/>
                <c:pt idx="0">
                  <c:v>132.143240840625</c:v>
                </c:pt>
                <c:pt idx="1">
                  <c:v>163.06829348906251</c:v>
                </c:pt>
                <c:pt idx="2">
                  <c:v>168.21265145343753</c:v>
                </c:pt>
                <c:pt idx="3">
                  <c:v>193.24721788312499</c:v>
                </c:pt>
                <c:pt idx="4">
                  <c:v>199.09843419374999</c:v>
                </c:pt>
                <c:pt idx="5">
                  <c:v>202.16148702750004</c:v>
                </c:pt>
                <c:pt idx="6">
                  <c:v>216.06303450375003</c:v>
                </c:pt>
                <c:pt idx="7">
                  <c:v>237.09207030468752</c:v>
                </c:pt>
                <c:pt idx="8">
                  <c:v>237.19024507500004</c:v>
                </c:pt>
                <c:pt idx="9">
                  <c:v>244.16065376718757</c:v>
                </c:pt>
                <c:pt idx="10">
                  <c:v>246.02597440312505</c:v>
                </c:pt>
                <c:pt idx="11">
                  <c:v>253.21236759000004</c:v>
                </c:pt>
                <c:pt idx="12">
                  <c:v>300.02209807499997</c:v>
                </c:pt>
                <c:pt idx="13">
                  <c:v>300.02209807499997</c:v>
                </c:pt>
                <c:pt idx="14">
                  <c:v>318.08625581250004</c:v>
                </c:pt>
                <c:pt idx="15">
                  <c:v>318.08625581249999</c:v>
                </c:pt>
                <c:pt idx="16">
                  <c:v>349.10948323125007</c:v>
                </c:pt>
                <c:pt idx="17">
                  <c:v>364.03204831875001</c:v>
                </c:pt>
                <c:pt idx="18">
                  <c:v>378.16921524375005</c:v>
                </c:pt>
                <c:pt idx="19">
                  <c:v>384.17751118687505</c:v>
                </c:pt>
                <c:pt idx="20">
                  <c:v>410.37053990625003</c:v>
                </c:pt>
                <c:pt idx="21">
                  <c:v>449.24774895000007</c:v>
                </c:pt>
                <c:pt idx="22">
                  <c:v>453.09619994625001</c:v>
                </c:pt>
                <c:pt idx="23">
                  <c:v>457.10173057500003</c:v>
                </c:pt>
                <c:pt idx="24">
                  <c:v>467.46898632</c:v>
                </c:pt>
                <c:pt idx="25">
                  <c:v>475.16588831250004</c:v>
                </c:pt>
                <c:pt idx="26">
                  <c:v>475.1658883125001</c:v>
                </c:pt>
                <c:pt idx="27">
                  <c:v>480.29</c:v>
                </c:pt>
                <c:pt idx="28">
                  <c:v>482.31301159125007</c:v>
                </c:pt>
                <c:pt idx="29">
                  <c:v>582.45127731000002</c:v>
                </c:pt>
                <c:pt idx="30">
                  <c:v>644.18357288250002</c:v>
                </c:pt>
                <c:pt idx="31">
                  <c:v>669.15923445000021</c:v>
                </c:pt>
                <c:pt idx="32">
                  <c:v>1058.1276744281251</c:v>
                </c:pt>
                <c:pt idx="33">
                  <c:v>1088.1691541437501</c:v>
                </c:pt>
                <c:pt idx="34">
                  <c:v>1394.513707426875</c:v>
                </c:pt>
                <c:pt idx="35">
                  <c:v>1555.0883617500003</c:v>
                </c:pt>
                <c:pt idx="36">
                  <c:v>1630.4865853499998</c:v>
                </c:pt>
                <c:pt idx="37">
                  <c:v>1693.0435489931256</c:v>
                </c:pt>
                <c:pt idx="38">
                  <c:v>1779.7122362250004</c:v>
                </c:pt>
                <c:pt idx="39">
                  <c:v>2370.3316544250001</c:v>
                </c:pt>
                <c:pt idx="40">
                  <c:v>2380.1491314562504</c:v>
                </c:pt>
                <c:pt idx="41">
                  <c:v>2393.5009002187498</c:v>
                </c:pt>
                <c:pt idx="42">
                  <c:v>2396.4461433281253</c:v>
                </c:pt>
                <c:pt idx="43">
                  <c:v>2404.260855045</c:v>
                </c:pt>
                <c:pt idx="44">
                  <c:v>2409.2088634687502</c:v>
                </c:pt>
                <c:pt idx="45">
                  <c:v>2561.3797574531254</c:v>
                </c:pt>
                <c:pt idx="46">
                  <c:v>2696.5075113112498</c:v>
                </c:pt>
                <c:pt idx="47">
                  <c:v>2954.5108076925003</c:v>
                </c:pt>
                <c:pt idx="48">
                  <c:v>3116.0672097187512</c:v>
                </c:pt>
                <c:pt idx="49">
                  <c:v>3309.667856775</c:v>
                </c:pt>
              </c:numCache>
            </c:numRef>
          </c:val>
          <c:extLst>
            <c:ext xmlns:c16="http://schemas.microsoft.com/office/drawing/2014/chart" uri="{C3380CC4-5D6E-409C-BE32-E72D297353CC}">
              <c16:uniqueId val="{00000000-2903-3C4B-8318-E30E0C6BD42C}"/>
            </c:ext>
          </c:extLst>
        </c:ser>
        <c:dLbls>
          <c:showLegendKey val="0"/>
          <c:showVal val="0"/>
          <c:showCatName val="0"/>
          <c:showSerName val="0"/>
          <c:showPercent val="0"/>
          <c:showBubbleSize val="0"/>
        </c:dLbls>
        <c:axId val="69973007"/>
        <c:axId val="70138735"/>
      </c:areaChart>
      <c:barChart>
        <c:barDir val="col"/>
        <c:grouping val="clustered"/>
        <c:varyColors val="0"/>
        <c:ser>
          <c:idx val="0"/>
          <c:order val="0"/>
          <c:tx>
            <c:strRef>
              <c:f>'Cooling summary'!$A$2:$A$51</c:f>
              <c:strCache>
                <c:ptCount val="50"/>
                <c:pt idx="0">
                  <c:v>Clipper</c:v>
                </c:pt>
                <c:pt idx="1">
                  <c:v>Barque</c:v>
                </c:pt>
                <c:pt idx="2">
                  <c:v>Bure</c:v>
                </c:pt>
                <c:pt idx="3">
                  <c:v>Davy</c:v>
                </c:pt>
                <c:pt idx="4">
                  <c:v>Breagh</c:v>
                </c:pt>
                <c:pt idx="5">
                  <c:v>Yare</c:v>
                </c:pt>
                <c:pt idx="6">
                  <c:v>Indefatigable</c:v>
                </c:pt>
                <c:pt idx="7">
                  <c:v>Corvette</c:v>
                </c:pt>
                <c:pt idx="8">
                  <c:v>Cleeton</c:v>
                </c:pt>
                <c:pt idx="9">
                  <c:v>Waveney</c:v>
                </c:pt>
                <c:pt idx="10">
                  <c:v>Ensign</c:v>
                </c:pt>
                <c:pt idx="11">
                  <c:v>Guinevere</c:v>
                </c:pt>
                <c:pt idx="12">
                  <c:v>Gawain</c:v>
                </c:pt>
                <c:pt idx="13">
                  <c:v>Neptune</c:v>
                </c:pt>
                <c:pt idx="14">
                  <c:v>West Sole</c:v>
                </c:pt>
                <c:pt idx="15">
                  <c:v>South Sean</c:v>
                </c:pt>
                <c:pt idx="16">
                  <c:v>Brown</c:v>
                </c:pt>
                <c:pt idx="17">
                  <c:v>Bessemer</c:v>
                </c:pt>
                <c:pt idx="18">
                  <c:v>Beaufort</c:v>
                </c:pt>
                <c:pt idx="19">
                  <c:v>Sean East</c:v>
                </c:pt>
                <c:pt idx="20">
                  <c:v>Juliet</c:v>
                </c:pt>
                <c:pt idx="21">
                  <c:v>Thames</c:v>
                </c:pt>
                <c:pt idx="22">
                  <c:v>Victor</c:v>
                </c:pt>
                <c:pt idx="23">
                  <c:v>S. Ravenspurn</c:v>
                </c:pt>
                <c:pt idx="24">
                  <c:v>Malory</c:v>
                </c:pt>
                <c:pt idx="25">
                  <c:v>Amethyst</c:v>
                </c:pt>
                <c:pt idx="26">
                  <c:v>North Sean</c:v>
                </c:pt>
                <c:pt idx="27">
                  <c:v>Rough</c:v>
                </c:pt>
                <c:pt idx="28">
                  <c:v>Tolmount</c:v>
                </c:pt>
                <c:pt idx="29">
                  <c:v>Carrack</c:v>
                </c:pt>
                <c:pt idx="30">
                  <c:v>Pickerill</c:v>
                </c:pt>
                <c:pt idx="31">
                  <c:v>Mercury</c:v>
                </c:pt>
                <c:pt idx="32">
                  <c:v>Babbage</c:v>
                </c:pt>
                <c:pt idx="33">
                  <c:v>Johnston</c:v>
                </c:pt>
                <c:pt idx="34">
                  <c:v>Cavendish</c:v>
                </c:pt>
                <c:pt idx="35">
                  <c:v>Grove</c:v>
                </c:pt>
                <c:pt idx="36">
                  <c:v>Kew</c:v>
                </c:pt>
                <c:pt idx="37">
                  <c:v>Cygus</c:v>
                </c:pt>
                <c:pt idx="38">
                  <c:v>Chiswick</c:v>
                </c:pt>
                <c:pt idx="39">
                  <c:v>Murdoch</c:v>
                </c:pt>
                <c:pt idx="40">
                  <c:v>Schooner</c:v>
                </c:pt>
                <c:pt idx="41">
                  <c:v>Windermere</c:v>
                </c:pt>
                <c:pt idx="42">
                  <c:v>Caister C</c:v>
                </c:pt>
                <c:pt idx="43">
                  <c:v>Ketch</c:v>
                </c:pt>
                <c:pt idx="44">
                  <c:v>Wingate</c:v>
                </c:pt>
                <c:pt idx="45">
                  <c:v>Tyne North</c:v>
                </c:pt>
                <c:pt idx="46">
                  <c:v>Markham</c:v>
                </c:pt>
                <c:pt idx="47">
                  <c:v>Tyne south </c:v>
                </c:pt>
                <c:pt idx="48">
                  <c:v>Boulton</c:v>
                </c:pt>
                <c:pt idx="49">
                  <c:v>Tyne west</c:v>
                </c:pt>
              </c:strCache>
            </c:strRef>
          </c:tx>
          <c:spPr>
            <a:solidFill>
              <a:schemeClr val="accent1"/>
            </a:solidFill>
            <a:ln>
              <a:noFill/>
            </a:ln>
            <a:effectLst/>
          </c:spPr>
          <c:invertIfNegative val="0"/>
          <c:cat>
            <c:strRef>
              <c:f>'Cooling summary'!$A$2:$A$51</c:f>
              <c:strCache>
                <c:ptCount val="50"/>
                <c:pt idx="0">
                  <c:v>Clipper</c:v>
                </c:pt>
                <c:pt idx="1">
                  <c:v>Barque</c:v>
                </c:pt>
                <c:pt idx="2">
                  <c:v>Bure</c:v>
                </c:pt>
                <c:pt idx="3">
                  <c:v>Davy</c:v>
                </c:pt>
                <c:pt idx="4">
                  <c:v>Breagh</c:v>
                </c:pt>
                <c:pt idx="5">
                  <c:v>Yare</c:v>
                </c:pt>
                <c:pt idx="6">
                  <c:v>Indefatigable</c:v>
                </c:pt>
                <c:pt idx="7">
                  <c:v>Corvette</c:v>
                </c:pt>
                <c:pt idx="8">
                  <c:v>Cleeton</c:v>
                </c:pt>
                <c:pt idx="9">
                  <c:v>Waveney</c:v>
                </c:pt>
                <c:pt idx="10">
                  <c:v>Ensign</c:v>
                </c:pt>
                <c:pt idx="11">
                  <c:v>Guinevere</c:v>
                </c:pt>
                <c:pt idx="12">
                  <c:v>Gawain</c:v>
                </c:pt>
                <c:pt idx="13">
                  <c:v>Neptune</c:v>
                </c:pt>
                <c:pt idx="14">
                  <c:v>West Sole</c:v>
                </c:pt>
                <c:pt idx="15">
                  <c:v>South Sean</c:v>
                </c:pt>
                <c:pt idx="16">
                  <c:v>Brown</c:v>
                </c:pt>
                <c:pt idx="17">
                  <c:v>Bessemer</c:v>
                </c:pt>
                <c:pt idx="18">
                  <c:v>Beaufort</c:v>
                </c:pt>
                <c:pt idx="19">
                  <c:v>Sean East</c:v>
                </c:pt>
                <c:pt idx="20">
                  <c:v>Juliet</c:v>
                </c:pt>
                <c:pt idx="21">
                  <c:v>Thames</c:v>
                </c:pt>
                <c:pt idx="22">
                  <c:v>Victor</c:v>
                </c:pt>
                <c:pt idx="23">
                  <c:v>S. Ravenspurn</c:v>
                </c:pt>
                <c:pt idx="24">
                  <c:v>Malory</c:v>
                </c:pt>
                <c:pt idx="25">
                  <c:v>Amethyst</c:v>
                </c:pt>
                <c:pt idx="26">
                  <c:v>North Sean</c:v>
                </c:pt>
                <c:pt idx="27">
                  <c:v>Rough</c:v>
                </c:pt>
                <c:pt idx="28">
                  <c:v>Tolmount</c:v>
                </c:pt>
                <c:pt idx="29">
                  <c:v>Carrack</c:v>
                </c:pt>
                <c:pt idx="30">
                  <c:v>Pickerill</c:v>
                </c:pt>
                <c:pt idx="31">
                  <c:v>Mercury</c:v>
                </c:pt>
                <c:pt idx="32">
                  <c:v>Babbage</c:v>
                </c:pt>
                <c:pt idx="33">
                  <c:v>Johnston</c:v>
                </c:pt>
                <c:pt idx="34">
                  <c:v>Cavendish</c:v>
                </c:pt>
                <c:pt idx="35">
                  <c:v>Grove</c:v>
                </c:pt>
                <c:pt idx="36">
                  <c:v>Kew</c:v>
                </c:pt>
                <c:pt idx="37">
                  <c:v>Cygus</c:v>
                </c:pt>
                <c:pt idx="38">
                  <c:v>Chiswick</c:v>
                </c:pt>
                <c:pt idx="39">
                  <c:v>Murdoch</c:v>
                </c:pt>
                <c:pt idx="40">
                  <c:v>Schooner</c:v>
                </c:pt>
                <c:pt idx="41">
                  <c:v>Windermere</c:v>
                </c:pt>
                <c:pt idx="42">
                  <c:v>Caister C</c:v>
                </c:pt>
                <c:pt idx="43">
                  <c:v>Ketch</c:v>
                </c:pt>
                <c:pt idx="44">
                  <c:v>Wingate</c:v>
                </c:pt>
                <c:pt idx="45">
                  <c:v>Tyne North</c:v>
                </c:pt>
                <c:pt idx="46">
                  <c:v>Markham</c:v>
                </c:pt>
                <c:pt idx="47">
                  <c:v>Tyne south </c:v>
                </c:pt>
                <c:pt idx="48">
                  <c:v>Boulton</c:v>
                </c:pt>
                <c:pt idx="49">
                  <c:v>Tyne west</c:v>
                </c:pt>
              </c:strCache>
            </c:strRef>
          </c:cat>
          <c:val>
            <c:numRef>
              <c:f>'Cooling summary'!$L$2:$L$51</c:f>
              <c:numCache>
                <c:formatCode>0.00</c:formatCode>
                <c:ptCount val="50"/>
                <c:pt idx="0">
                  <c:v>89.177264067821483</c:v>
                </c:pt>
                <c:pt idx="1">
                  <c:v>106.86675334723104</c:v>
                </c:pt>
                <c:pt idx="2">
                  <c:v>97.599055055550821</c:v>
                </c:pt>
                <c:pt idx="3">
                  <c:v>300.99437474059692</c:v>
                </c:pt>
                <c:pt idx="4">
                  <c:v>245.74010456591122</c:v>
                </c:pt>
                <c:pt idx="5">
                  <c:v>119.66531602942625</c:v>
                </c:pt>
                <c:pt idx="6">
                  <c:v>377.82473104466459</c:v>
                </c:pt>
                <c:pt idx="7">
                  <c:v>219.90003787185401</c:v>
                </c:pt>
                <c:pt idx="8">
                  <c:v>58.623549549678856</c:v>
                </c:pt>
                <c:pt idx="9">
                  <c:v>200.66952383379603</c:v>
                </c:pt>
                <c:pt idx="10">
                  <c:v>85.590538781501849</c:v>
                </c:pt>
                <c:pt idx="11">
                  <c:v>286.26085736488386</c:v>
                </c:pt>
                <c:pt idx="12">
                  <c:v>78.358916364712456</c:v>
                </c:pt>
                <c:pt idx="13">
                  <c:v>79.158916364711729</c:v>
                </c:pt>
                <c:pt idx="14">
                  <c:v>178.85277598744653</c:v>
                </c:pt>
                <c:pt idx="15">
                  <c:v>466.38929427834063</c:v>
                </c:pt>
                <c:pt idx="16">
                  <c:v>304.23858534144978</c:v>
                </c:pt>
                <c:pt idx="17">
                  <c:v>327.81291178283379</c:v>
                </c:pt>
                <c:pt idx="18">
                  <c:v>332.00860245399616</c:v>
                </c:pt>
                <c:pt idx="19">
                  <c:v>465.26200906030391</c:v>
                </c:pt>
                <c:pt idx="20">
                  <c:v>385.93359029189963</c:v>
                </c:pt>
                <c:pt idx="21">
                  <c:v>169.34021041104299</c:v>
                </c:pt>
                <c:pt idx="22">
                  <c:v>300.06910898510426</c:v>
                </c:pt>
                <c:pt idx="23">
                  <c:v>377.64220636626322</c:v>
                </c:pt>
                <c:pt idx="24">
                  <c:v>379.09029368136282</c:v>
                </c:pt>
                <c:pt idx="25">
                  <c:v>254.33851134855229</c:v>
                </c:pt>
                <c:pt idx="26">
                  <c:v>445.20120543814278</c:v>
                </c:pt>
                <c:pt idx="27">
                  <c:v>339.99999999999829</c:v>
                </c:pt>
                <c:pt idx="28">
                  <c:v>258.35000911361516</c:v>
                </c:pt>
                <c:pt idx="29">
                  <c:v>429.83791952371337</c:v>
                </c:pt>
                <c:pt idx="30">
                  <c:v>450.0012488136324</c:v>
                </c:pt>
                <c:pt idx="31">
                  <c:v>452.98849974454532</c:v>
                </c:pt>
                <c:pt idx="32">
                  <c:v>634.09630500642243</c:v>
                </c:pt>
                <c:pt idx="33">
                  <c:v>643.34978308047209</c:v>
                </c:pt>
                <c:pt idx="34">
                  <c:v>443.55903471629875</c:v>
                </c:pt>
                <c:pt idx="35">
                  <c:v>772.72746088152587</c:v>
                </c:pt>
                <c:pt idx="36">
                  <c:v>778.09689189485516</c:v>
                </c:pt>
                <c:pt idx="37">
                  <c:v>678.37949388041261</c:v>
                </c:pt>
                <c:pt idx="38">
                  <c:v>790.21894239110168</c:v>
                </c:pt>
                <c:pt idx="39">
                  <c:v>809.93467666326012</c:v>
                </c:pt>
                <c:pt idx="40">
                  <c:v>727.21183501802545</c:v>
                </c:pt>
                <c:pt idx="41">
                  <c:v>830.94186907103119</c:v>
                </c:pt>
                <c:pt idx="42">
                  <c:v>646.15415264674448</c:v>
                </c:pt>
                <c:pt idx="43">
                  <c:v>796.46164329508167</c:v>
                </c:pt>
                <c:pt idx="44">
                  <c:v>870.20683492546596</c:v>
                </c:pt>
                <c:pt idx="45">
                  <c:v>888.37387717349077</c:v>
                </c:pt>
                <c:pt idx="46">
                  <c:v>775.39135683323263</c:v>
                </c:pt>
                <c:pt idx="47">
                  <c:v>904.59510181793996</c:v>
                </c:pt>
                <c:pt idx="48">
                  <c:v>849.48886452921886</c:v>
                </c:pt>
                <c:pt idx="49">
                  <c:v>930.28114081407705</c:v>
                </c:pt>
              </c:numCache>
            </c:numRef>
          </c:val>
          <c:extLst>
            <c:ext xmlns:c16="http://schemas.microsoft.com/office/drawing/2014/chart" uri="{C3380CC4-5D6E-409C-BE32-E72D297353CC}">
              <c16:uniqueId val="{00000001-2903-3C4B-8318-E30E0C6BD42C}"/>
            </c:ext>
          </c:extLst>
        </c:ser>
        <c:dLbls>
          <c:showLegendKey val="0"/>
          <c:showVal val="0"/>
          <c:showCatName val="0"/>
          <c:showSerName val="0"/>
          <c:showPercent val="0"/>
          <c:showBubbleSize val="0"/>
        </c:dLbls>
        <c:gapWidth val="192"/>
        <c:axId val="37833823"/>
        <c:axId val="18222831"/>
      </c:barChart>
      <c:catAx>
        <c:axId val="37833823"/>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GB" sz="1200"/>
                  <a:t>Field </a:t>
                </a:r>
              </a:p>
            </c:rich>
          </c:tx>
          <c:layout>
            <c:manualLayout>
              <c:xMode val="edge"/>
              <c:yMode val="edge"/>
              <c:x val="0.46897877753034145"/>
              <c:y val="0.92318658527957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out"/>
        <c:minorTickMark val="none"/>
        <c:tickLblPos val="low"/>
        <c:spPr>
          <a:noFill/>
          <a:ln w="15875" cap="flat" cmpd="sng" algn="ctr">
            <a:solidFill>
              <a:schemeClr val="tx1"/>
            </a:solidFill>
            <a:round/>
          </a:ln>
          <a:effectLst/>
        </c:spPr>
        <c:txPr>
          <a:bodyPr rot="2700000" spcFirstLastPara="1" vertOverflow="ellipsis" wrap="square" anchor="ctr" anchorCtr="0"/>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8222831"/>
        <c:crosses val="autoZero"/>
        <c:auto val="1"/>
        <c:lblAlgn val="ctr"/>
        <c:lblOffset val="50"/>
        <c:tickLblSkip val="3"/>
        <c:tickMarkSkip val="3"/>
        <c:noMultiLvlLbl val="0"/>
      </c:catAx>
      <c:valAx>
        <c:axId val="18222831"/>
        <c:scaling>
          <c:orientation val="minMax"/>
          <c:max val="10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GB" sz="1200"/>
                  <a:t>Net power</a:t>
                </a:r>
                <a:r>
                  <a:rPr lang="en-GB" sz="1200" baseline="0"/>
                  <a:t> / kW</a:t>
                </a:r>
                <a:endParaRPr lang="en-GB" sz="1200"/>
              </a:p>
            </c:rich>
          </c:tx>
          <c:layout>
            <c:manualLayout>
              <c:xMode val="edge"/>
              <c:yMode val="edge"/>
              <c:x val="1.8206044684693785E-2"/>
              <c:y val="0.2889535430676516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37833823"/>
        <c:crosses val="autoZero"/>
        <c:crossBetween val="midCat"/>
      </c:valAx>
      <c:valAx>
        <c:axId val="70138735"/>
        <c:scaling>
          <c:orientation val="minMax"/>
        </c:scaling>
        <c:delete val="0"/>
        <c:axPos val="r"/>
        <c:minorGridlines>
          <c:spPr>
            <a:ln w="9525" cap="flat" cmpd="sng" algn="ctr">
              <a:noFill/>
              <a:round/>
            </a:ln>
            <a:effectLst/>
          </c:spPr>
        </c:minorGridlines>
        <c:title>
          <c:tx>
            <c:rich>
              <a:bodyPr rot="-54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GB" sz="1200" baseline="0"/>
                  <a:t>Required surface area / </a:t>
                </a:r>
                <a:r>
                  <a:rPr lang="en-GB" sz="1200" b="0" i="0" u="none" strike="noStrike" baseline="0">
                    <a:effectLst/>
                  </a:rPr>
                  <a:t>m</a:t>
                </a:r>
                <a:r>
                  <a:rPr lang="en-GB" sz="1200" b="0" i="0" u="none" strike="noStrike" baseline="30000">
                    <a:effectLst/>
                  </a:rPr>
                  <a:t>2</a:t>
                </a:r>
                <a:r>
                  <a:rPr lang="en-GB" sz="1200" b="0" i="0" u="none" strike="noStrike" baseline="0">
                    <a:effectLst/>
                  </a:rPr>
                  <a:t> </a:t>
                </a:r>
                <a:endParaRPr lang="en-GB" sz="1200"/>
              </a:p>
            </c:rich>
          </c:tx>
          <c:layout>
            <c:manualLayout>
              <c:xMode val="edge"/>
              <c:yMode val="edge"/>
              <c:x val="0.9537190886124729"/>
              <c:y val="0.14634870455785309"/>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69973007"/>
        <c:crosses val="max"/>
        <c:crossBetween val="between"/>
      </c:valAx>
      <c:catAx>
        <c:axId val="69973007"/>
        <c:scaling>
          <c:orientation val="minMax"/>
        </c:scaling>
        <c:delete val="1"/>
        <c:axPos val="b"/>
        <c:majorTickMark val="out"/>
        <c:minorTickMark val="none"/>
        <c:tickLblPos val="nextTo"/>
        <c:crossAx val="70138735"/>
        <c:crosses val="autoZero"/>
        <c:auto val="1"/>
        <c:lblAlgn val="ctr"/>
        <c:lblOffset val="100"/>
        <c:noMultiLvlLbl val="0"/>
      </c:cat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Times New Roman" panose="02020603050405020304" pitchFamily="18" charset="0"/>
                <a:ea typeface="+mn-ea"/>
                <a:cs typeface="Times New Roman" panose="02020603050405020304" pitchFamily="18" charset="0"/>
              </a:defRPr>
            </a:pPr>
            <a:r>
              <a:rPr lang="en-GB" sz="1200"/>
              <a:t>Fig 6: Heat exchange</a:t>
            </a:r>
            <a:r>
              <a:rPr lang="en-GB" sz="1200" baseline="0"/>
              <a:t>r surface area required sufficiently cool CO2 so that it can reinjected into the reservoir at depth (for 50 SNS gas fields)</a:t>
            </a:r>
            <a:endParaRPr lang="en-GB"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scatterChart>
        <c:scatterStyle val="lineMarker"/>
        <c:varyColors val="0"/>
        <c:ser>
          <c:idx val="0"/>
          <c:order val="0"/>
          <c:spPr>
            <a:ln w="25400" cap="rnd">
              <a:noFill/>
              <a:round/>
            </a:ln>
            <a:effectLst/>
          </c:spPr>
          <c:marker>
            <c:symbol val="circle"/>
            <c:size val="4"/>
            <c:spPr>
              <a:solidFill>
                <a:schemeClr val="tx1"/>
              </a:solidFill>
              <a:ln w="6350">
                <a:solidFill>
                  <a:schemeClr val="tx1"/>
                </a:solidFill>
              </a:ln>
              <a:effectLst/>
            </c:spPr>
          </c:marker>
          <c:xVal>
            <c:numRef>
              <c:f>'Cooling summary'!$F$2:$F$51</c:f>
              <c:numCache>
                <c:formatCode>0.00</c:formatCode>
                <c:ptCount val="50"/>
                <c:pt idx="0">
                  <c:v>132.143240840625</c:v>
                </c:pt>
                <c:pt idx="1">
                  <c:v>163.06829348906251</c:v>
                </c:pt>
                <c:pt idx="2">
                  <c:v>168.21265145343753</c:v>
                </c:pt>
                <c:pt idx="3">
                  <c:v>193.24721788312499</c:v>
                </c:pt>
                <c:pt idx="4">
                  <c:v>199.09843419374999</c:v>
                </c:pt>
                <c:pt idx="5">
                  <c:v>202.16148702750004</c:v>
                </c:pt>
                <c:pt idx="6">
                  <c:v>216.06303450375003</c:v>
                </c:pt>
                <c:pt idx="7">
                  <c:v>237.09207030468752</c:v>
                </c:pt>
                <c:pt idx="8">
                  <c:v>237.19024507500004</c:v>
                </c:pt>
                <c:pt idx="9">
                  <c:v>244.16065376718757</c:v>
                </c:pt>
                <c:pt idx="10">
                  <c:v>246.02597440312505</c:v>
                </c:pt>
                <c:pt idx="11">
                  <c:v>253.21236759000004</c:v>
                </c:pt>
                <c:pt idx="12">
                  <c:v>300.02209807499997</c:v>
                </c:pt>
                <c:pt idx="13">
                  <c:v>300.02209807499997</c:v>
                </c:pt>
                <c:pt idx="14">
                  <c:v>318.08625581250004</c:v>
                </c:pt>
                <c:pt idx="15">
                  <c:v>318.08625581249999</c:v>
                </c:pt>
                <c:pt idx="16">
                  <c:v>349.10948323125007</c:v>
                </c:pt>
                <c:pt idx="17">
                  <c:v>364.03204831875001</c:v>
                </c:pt>
                <c:pt idx="18">
                  <c:v>378.16921524375005</c:v>
                </c:pt>
                <c:pt idx="19">
                  <c:v>384.17751118687505</c:v>
                </c:pt>
                <c:pt idx="20">
                  <c:v>410.37053990625003</c:v>
                </c:pt>
                <c:pt idx="21">
                  <c:v>449.24774895000007</c:v>
                </c:pt>
                <c:pt idx="22">
                  <c:v>453.09619994625001</c:v>
                </c:pt>
                <c:pt idx="23">
                  <c:v>457.10173057500003</c:v>
                </c:pt>
                <c:pt idx="24">
                  <c:v>467.46898632</c:v>
                </c:pt>
                <c:pt idx="25">
                  <c:v>475.16588831250004</c:v>
                </c:pt>
                <c:pt idx="26">
                  <c:v>475.1658883125001</c:v>
                </c:pt>
                <c:pt idx="27">
                  <c:v>480.29</c:v>
                </c:pt>
                <c:pt idx="28">
                  <c:v>482.31301159125007</c:v>
                </c:pt>
                <c:pt idx="29">
                  <c:v>582.45127731000002</c:v>
                </c:pt>
                <c:pt idx="30">
                  <c:v>644.18357288250002</c:v>
                </c:pt>
                <c:pt idx="31">
                  <c:v>669.15923445000021</c:v>
                </c:pt>
                <c:pt idx="32">
                  <c:v>1058.1276744281251</c:v>
                </c:pt>
                <c:pt idx="33">
                  <c:v>1088.1691541437501</c:v>
                </c:pt>
                <c:pt idx="34">
                  <c:v>1394.513707426875</c:v>
                </c:pt>
                <c:pt idx="35">
                  <c:v>1555.0883617500003</c:v>
                </c:pt>
                <c:pt idx="36">
                  <c:v>1630.4865853499998</c:v>
                </c:pt>
                <c:pt idx="37">
                  <c:v>1693.0435489931256</c:v>
                </c:pt>
                <c:pt idx="38">
                  <c:v>1779.7122362250004</c:v>
                </c:pt>
                <c:pt idx="39">
                  <c:v>2370.3316544250001</c:v>
                </c:pt>
                <c:pt idx="40">
                  <c:v>2380.1491314562504</c:v>
                </c:pt>
                <c:pt idx="41">
                  <c:v>2393.5009002187498</c:v>
                </c:pt>
                <c:pt idx="42">
                  <c:v>2396.4461433281253</c:v>
                </c:pt>
                <c:pt idx="43">
                  <c:v>2404.260855045</c:v>
                </c:pt>
                <c:pt idx="44">
                  <c:v>2409.2088634687502</c:v>
                </c:pt>
                <c:pt idx="45">
                  <c:v>2561.3797574531254</c:v>
                </c:pt>
                <c:pt idx="46">
                  <c:v>2696.5075113112498</c:v>
                </c:pt>
                <c:pt idx="47">
                  <c:v>2954.5108076925003</c:v>
                </c:pt>
                <c:pt idx="48">
                  <c:v>3116.0672097187512</c:v>
                </c:pt>
                <c:pt idx="49">
                  <c:v>3309.667856775</c:v>
                </c:pt>
              </c:numCache>
            </c:numRef>
          </c:xVal>
          <c:yVal>
            <c:numRef>
              <c:f>'Cooling summary'!$B$2:$B$51</c:f>
              <c:numCache>
                <c:formatCode>0.00</c:formatCode>
                <c:ptCount val="50"/>
                <c:pt idx="0">
                  <c:v>2286</c:v>
                </c:pt>
                <c:pt idx="1">
                  <c:v>2133.6</c:v>
                </c:pt>
                <c:pt idx="2">
                  <c:v>2453.5202682109111</c:v>
                </c:pt>
                <c:pt idx="3">
                  <c:v>2225.04</c:v>
                </c:pt>
                <c:pt idx="4">
                  <c:v>2167.0222493142332</c:v>
                </c:pt>
                <c:pt idx="5">
                  <c:v>2411.1551356293812</c:v>
                </c:pt>
                <c:pt idx="6">
                  <c:v>2286</c:v>
                </c:pt>
                <c:pt idx="7">
                  <c:v>2438.28101188662</c:v>
                </c:pt>
                <c:pt idx="8">
                  <c:v>2770</c:v>
                </c:pt>
                <c:pt idx="9">
                  <c:v>2361.5904</c:v>
                </c:pt>
                <c:pt idx="10">
                  <c:v>2575.56</c:v>
                </c:pt>
                <c:pt idx="11">
                  <c:v>2483.9987808594938</c:v>
                </c:pt>
                <c:pt idx="12">
                  <c:v>2697.3483693995731</c:v>
                </c:pt>
                <c:pt idx="13">
                  <c:v>2698.2627247790306</c:v>
                </c:pt>
                <c:pt idx="14">
                  <c:v>2700</c:v>
                </c:pt>
                <c:pt idx="15">
                  <c:v>2377.44</c:v>
                </c:pt>
                <c:pt idx="16">
                  <c:v>2537.46</c:v>
                </c:pt>
                <c:pt idx="17">
                  <c:v>2575.56</c:v>
                </c:pt>
                <c:pt idx="18">
                  <c:v>2560.3200000000002</c:v>
                </c:pt>
                <c:pt idx="19">
                  <c:v>2426.2080000000001</c:v>
                </c:pt>
                <c:pt idx="20">
                  <c:v>2654.808</c:v>
                </c:pt>
                <c:pt idx="21">
                  <c:v>2451.9963425784822</c:v>
                </c:pt>
                <c:pt idx="22">
                  <c:v>2529.84</c:v>
                </c:pt>
                <c:pt idx="23">
                  <c:v>2759.8293203291678</c:v>
                </c:pt>
                <c:pt idx="24">
                  <c:v>2749</c:v>
                </c:pt>
                <c:pt idx="25">
                  <c:v>2682.109113075282</c:v>
                </c:pt>
                <c:pt idx="26">
                  <c:v>2523.7440000000001</c:v>
                </c:pt>
                <c:pt idx="27">
                  <c:v>2743.2</c:v>
                </c:pt>
                <c:pt idx="28">
                  <c:v>2910.6979579396525</c:v>
                </c:pt>
                <c:pt idx="29">
                  <c:v>2734.9704000000002</c:v>
                </c:pt>
                <c:pt idx="30">
                  <c:v>2712.5876257238647</c:v>
                </c:pt>
                <c:pt idx="31">
                  <c:v>2697.3483693995731</c:v>
                </c:pt>
                <c:pt idx="32">
                  <c:v>3123</c:v>
                </c:pt>
                <c:pt idx="33">
                  <c:v>3123.7427613532459</c:v>
                </c:pt>
                <c:pt idx="34">
                  <c:v>3520.2682109113075</c:v>
                </c:pt>
                <c:pt idx="35">
                  <c:v>3276.6000000000004</c:v>
                </c:pt>
                <c:pt idx="36">
                  <c:v>3244.9008000000003</c:v>
                </c:pt>
                <c:pt idx="37">
                  <c:v>3331.7688000000003</c:v>
                </c:pt>
                <c:pt idx="38">
                  <c:v>3185.1600000000003</c:v>
                </c:pt>
                <c:pt idx="39">
                  <c:v>3565.9859798841817</c:v>
                </c:pt>
                <c:pt idx="40">
                  <c:v>3596.6400000000003</c:v>
                </c:pt>
                <c:pt idx="41">
                  <c:v>3470</c:v>
                </c:pt>
                <c:pt idx="42">
                  <c:v>3545</c:v>
                </c:pt>
                <c:pt idx="43">
                  <c:v>3505.2000000000003</c:v>
                </c:pt>
                <c:pt idx="44">
                  <c:v>3596.4644925327643</c:v>
                </c:pt>
                <c:pt idx="45">
                  <c:v>3587.0161536117034</c:v>
                </c:pt>
                <c:pt idx="46">
                  <c:v>3640</c:v>
                </c:pt>
                <c:pt idx="47">
                  <c:v>3687.5952453520267</c:v>
                </c:pt>
                <c:pt idx="48">
                  <c:v>3826.5772630295642</c:v>
                </c:pt>
                <c:pt idx="49">
                  <c:v>3637.0009143553793</c:v>
                </c:pt>
              </c:numCache>
            </c:numRef>
          </c:yVal>
          <c:smooth val="0"/>
          <c:extLst>
            <c:ext xmlns:c16="http://schemas.microsoft.com/office/drawing/2014/chart" uri="{C3380CC4-5D6E-409C-BE32-E72D297353CC}">
              <c16:uniqueId val="{00000000-92A9-C445-A8A7-CB2B88626565}"/>
            </c:ext>
          </c:extLst>
        </c:ser>
        <c:dLbls>
          <c:showLegendKey val="0"/>
          <c:showVal val="0"/>
          <c:showCatName val="0"/>
          <c:showSerName val="0"/>
          <c:showPercent val="0"/>
          <c:showBubbleSize val="0"/>
        </c:dLbls>
        <c:axId val="225898495"/>
        <c:axId val="40174079"/>
      </c:scatterChart>
      <c:valAx>
        <c:axId val="22589849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GB"/>
                  <a:t>Heat exchanger surface area (m2)</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40174079"/>
        <c:crosses val="autoZero"/>
        <c:crossBetween val="midCat"/>
      </c:valAx>
      <c:valAx>
        <c:axId val="40174079"/>
        <c:scaling>
          <c:orientation val="minMax"/>
          <c:min val="2000"/>
        </c:scaling>
        <c:delete val="0"/>
        <c:axPos val="l"/>
        <c:title>
          <c:tx>
            <c:rich>
              <a:bodyPr rot="-54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GB"/>
                  <a:t>Reservoir depth (m)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225898495"/>
        <c:crosses val="autoZero"/>
        <c:crossBetween val="midCat"/>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Times New Roman" panose="02020603050405020304" pitchFamily="18" charset="0"/>
                <a:ea typeface="+mn-ea"/>
                <a:cs typeface="Times New Roman" panose="02020603050405020304" pitchFamily="18" charset="0"/>
              </a:defRPr>
            </a:pPr>
            <a:r>
              <a:rPr lang="en-GB" sz="1200"/>
              <a:t>Fig.8: Mass flowrate vs.</a:t>
            </a:r>
            <a:r>
              <a:rPr lang="en-GB" sz="1200" baseline="0"/>
              <a:t> total</a:t>
            </a:r>
            <a:r>
              <a:rPr lang="en-GB" sz="1200"/>
              <a:t> pressure loss</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scatterChart>
        <c:scatterStyle val="lineMarker"/>
        <c:varyColors val="0"/>
        <c:ser>
          <c:idx val="2"/>
          <c:order val="0"/>
          <c:spPr>
            <a:ln w="15875" cap="rnd">
              <a:solidFill>
                <a:schemeClr val="tx1"/>
              </a:solidFill>
              <a:round/>
            </a:ln>
            <a:effectLst/>
          </c:spPr>
          <c:marker>
            <c:symbol val="none"/>
          </c:marker>
          <c:xVal>
            <c:numRef>
              <c:f>'(Section 5) South Sean'!$O$3:$O$43</c:f>
              <c:numCache>
                <c:formatCode>General</c:formatCode>
                <c:ptCount val="4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numCache>
            </c:numRef>
          </c:xVal>
          <c:yVal>
            <c:numRef>
              <c:f>'(Section 5) South Sean'!$R$3:$R$43</c:f>
              <c:numCache>
                <c:formatCode>0.00000</c:formatCode>
                <c:ptCount val="41"/>
                <c:pt idx="0">
                  <c:v>0</c:v>
                </c:pt>
                <c:pt idx="1">
                  <c:v>3.7430084669072003E-3</c:v>
                </c:pt>
                <c:pt idx="2">
                  <c:v>1.2097575991057485E-2</c:v>
                </c:pt>
                <c:pt idx="3">
                  <c:v>2.5063702572450854E-2</c:v>
                </c:pt>
                <c:pt idx="4">
                  <c:v>4.2641388211087303E-2</c:v>
                </c:pt>
                <c:pt idx="5">
                  <c:v>6.4830632906966834E-2</c:v>
                </c:pt>
                <c:pt idx="6">
                  <c:v>9.1631436660089466E-2</c:v>
                </c:pt>
                <c:pt idx="7">
                  <c:v>0.12304379947045516</c:v>
                </c:pt>
                <c:pt idx="8">
                  <c:v>0.15906772133806396</c:v>
                </c:pt>
                <c:pt idx="9">
                  <c:v>0.19970320226291582</c:v>
                </c:pt>
                <c:pt idx="10">
                  <c:v>0.24495024224501077</c:v>
                </c:pt>
                <c:pt idx="11">
                  <c:v>0.29480884128434881</c:v>
                </c:pt>
                <c:pt idx="12">
                  <c:v>0.34927899938092999</c:v>
                </c:pt>
                <c:pt idx="13">
                  <c:v>0.40836071653475414</c:v>
                </c:pt>
                <c:pt idx="14">
                  <c:v>0.47205399274582144</c:v>
                </c:pt>
                <c:pt idx="15">
                  <c:v>0.54035882801413182</c:v>
                </c:pt>
                <c:pt idx="16">
                  <c:v>0.61327522233968523</c:v>
                </c:pt>
                <c:pt idx="17">
                  <c:v>0.69080317572248184</c:v>
                </c:pt>
                <c:pt idx="18">
                  <c:v>0.77294268816252143</c:v>
                </c:pt>
                <c:pt idx="19">
                  <c:v>0.85969375965980421</c:v>
                </c:pt>
                <c:pt idx="20">
                  <c:v>0.95105639021432986</c:v>
                </c:pt>
                <c:pt idx="21">
                  <c:v>1.0470305798260988</c:v>
                </c:pt>
                <c:pt idx="22">
                  <c:v>1.1476163284951109</c:v>
                </c:pt>
                <c:pt idx="23">
                  <c:v>1.2528136362213658</c:v>
                </c:pt>
                <c:pt idx="24">
                  <c:v>1.362622503004864</c:v>
                </c:pt>
                <c:pt idx="25">
                  <c:v>1.4770429288456053</c:v>
                </c:pt>
                <c:pt idx="26">
                  <c:v>1.5960749137435895</c:v>
                </c:pt>
                <c:pt idx="27">
                  <c:v>1.7197184576988167</c:v>
                </c:pt>
                <c:pt idx="28">
                  <c:v>1.8479735607112873</c:v>
                </c:pt>
                <c:pt idx="29">
                  <c:v>1.9808402227810009</c:v>
                </c:pt>
                <c:pt idx="30">
                  <c:v>2.1183184439079574</c:v>
                </c:pt>
                <c:pt idx="31">
                  <c:v>2.2604082240921568</c:v>
                </c:pt>
                <c:pt idx="32">
                  <c:v>2.4071095633335999</c:v>
                </c:pt>
                <c:pt idx="33">
                  <c:v>2.5584224616322859</c:v>
                </c:pt>
                <c:pt idx="34">
                  <c:v>2.7143469189882152</c:v>
                </c:pt>
                <c:pt idx="35">
                  <c:v>2.874882935401387</c:v>
                </c:pt>
                <c:pt idx="36">
                  <c:v>3.040030510871802</c:v>
                </c:pt>
                <c:pt idx="37">
                  <c:v>3.2097896453994603</c:v>
                </c:pt>
                <c:pt idx="38">
                  <c:v>3.3841603389843615</c:v>
                </c:pt>
                <c:pt idx="39">
                  <c:v>3.563142591626506</c:v>
                </c:pt>
                <c:pt idx="40">
                  <c:v>3.7467364033258934</c:v>
                </c:pt>
              </c:numCache>
            </c:numRef>
          </c:yVal>
          <c:smooth val="1"/>
          <c:extLst>
            <c:ext xmlns:c16="http://schemas.microsoft.com/office/drawing/2014/chart" uri="{C3380CC4-5D6E-409C-BE32-E72D297353CC}">
              <c16:uniqueId val="{00000000-AF01-8A48-A713-92DC7933BFA5}"/>
            </c:ext>
          </c:extLst>
        </c:ser>
        <c:dLbls>
          <c:showLegendKey val="0"/>
          <c:showVal val="0"/>
          <c:showCatName val="0"/>
          <c:showSerName val="0"/>
          <c:showPercent val="0"/>
          <c:showBubbleSize val="0"/>
        </c:dLbls>
        <c:axId val="1107559264"/>
        <c:axId val="1196211328"/>
      </c:scatterChart>
      <c:valAx>
        <c:axId val="1107559264"/>
        <c:scaling>
          <c:orientation val="minMax"/>
          <c:max val="4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100" b="0"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GB" sz="1100"/>
                  <a:t>Mass flow rate  (kg/s)</a:t>
                </a:r>
              </a:p>
            </c:rich>
          </c:tx>
          <c:layout>
            <c:manualLayout>
              <c:xMode val="edge"/>
              <c:yMode val="edge"/>
              <c:x val="0.42464297732014267"/>
              <c:y val="0.9050900900900901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196211328"/>
        <c:crosses val="autoZero"/>
        <c:crossBetween val="midCat"/>
      </c:valAx>
      <c:valAx>
        <c:axId val="1196211328"/>
        <c:scaling>
          <c:orientation val="minMax"/>
          <c:max val="4"/>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100" b="0"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GB" sz="1100"/>
                  <a:t>Pressure</a:t>
                </a:r>
                <a:r>
                  <a:rPr lang="en-GB" sz="1100" baseline="0"/>
                  <a:t> loss (MPa)</a:t>
                </a:r>
                <a:endParaRPr lang="en-GB" sz="1100"/>
              </a:p>
            </c:rich>
          </c:tx>
          <c:layout>
            <c:manualLayout>
              <c:xMode val="edge"/>
              <c:yMode val="edge"/>
              <c:x val="1.4957264957264958E-2"/>
              <c:y val="0.2919557352628219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107559264"/>
        <c:crosses val="autoZero"/>
        <c:crossBetween val="midCat"/>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Times New Roman" panose="02020603050405020304" pitchFamily="18" charset="0"/>
                <a:ea typeface="+mn-ea"/>
                <a:cs typeface="Times New Roman" panose="02020603050405020304" pitchFamily="18" charset="0"/>
              </a:defRPr>
            </a:pPr>
            <a:r>
              <a:rPr lang="en-GB" sz="1200"/>
              <a:t>Fig.9: Optimising</a:t>
            </a:r>
            <a:r>
              <a:rPr lang="en-GB" sz="1200" baseline="0"/>
              <a:t> turbine power output in a direct CPG system </a:t>
            </a:r>
            <a:endParaRPr lang="en-GB"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scatterChart>
        <c:scatterStyle val="lineMarker"/>
        <c:varyColors val="0"/>
        <c:ser>
          <c:idx val="2"/>
          <c:order val="0"/>
          <c:tx>
            <c:v>h4-h5</c:v>
          </c:tx>
          <c:spPr>
            <a:ln w="19050" cap="rnd">
              <a:solidFill>
                <a:srgbClr val="FFC000"/>
              </a:solidFill>
              <a:round/>
            </a:ln>
            <a:effectLst/>
          </c:spPr>
          <c:marker>
            <c:symbol val="none"/>
          </c:marker>
          <c:xVal>
            <c:numRef>
              <c:f>'(Section 5) South Sean'!$O$3:$O$36</c:f>
              <c:numCache>
                <c:formatCode>General</c:formatCode>
                <c:ptCount val="3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numCache>
            </c:numRef>
          </c:xVal>
          <c:yVal>
            <c:numRef>
              <c:f>'(Section 5) South Sean'!$U$3:$U$36</c:f>
              <c:numCache>
                <c:formatCode>0.00</c:formatCode>
                <c:ptCount val="34"/>
                <c:pt idx="0">
                  <c:v>0</c:v>
                </c:pt>
                <c:pt idx="1">
                  <c:v>4.8799999999999955</c:v>
                </c:pt>
                <c:pt idx="2">
                  <c:v>9.7599999999999909</c:v>
                </c:pt>
                <c:pt idx="3">
                  <c:v>14.639999999999988</c:v>
                </c:pt>
                <c:pt idx="4">
                  <c:v>19.519999999999982</c:v>
                </c:pt>
                <c:pt idx="5">
                  <c:v>24.399999999999977</c:v>
                </c:pt>
                <c:pt idx="6">
                  <c:v>29.279999999999976</c:v>
                </c:pt>
                <c:pt idx="7">
                  <c:v>34.159999999999968</c:v>
                </c:pt>
                <c:pt idx="8">
                  <c:v>39.039999999999964</c:v>
                </c:pt>
                <c:pt idx="9">
                  <c:v>43.919999999999959</c:v>
                </c:pt>
                <c:pt idx="10">
                  <c:v>48.799999999999955</c:v>
                </c:pt>
                <c:pt idx="11">
                  <c:v>53.679999999999957</c:v>
                </c:pt>
                <c:pt idx="12">
                  <c:v>58.559999999999953</c:v>
                </c:pt>
                <c:pt idx="13">
                  <c:v>63.439999999999941</c:v>
                </c:pt>
                <c:pt idx="14">
                  <c:v>68.319999999999936</c:v>
                </c:pt>
                <c:pt idx="15">
                  <c:v>73.199999999999932</c:v>
                </c:pt>
                <c:pt idx="16">
                  <c:v>78.079999999999927</c:v>
                </c:pt>
                <c:pt idx="17">
                  <c:v>82.959999999999937</c:v>
                </c:pt>
                <c:pt idx="18">
                  <c:v>87.839999999999918</c:v>
                </c:pt>
                <c:pt idx="19">
                  <c:v>92.719999999999914</c:v>
                </c:pt>
                <c:pt idx="20">
                  <c:v>97.599999999999909</c:v>
                </c:pt>
                <c:pt idx="21">
                  <c:v>102.4799999999999</c:v>
                </c:pt>
                <c:pt idx="22">
                  <c:v>107.35999999999991</c:v>
                </c:pt>
                <c:pt idx="23">
                  <c:v>112.23999999999991</c:v>
                </c:pt>
                <c:pt idx="24">
                  <c:v>117.11999999999991</c:v>
                </c:pt>
                <c:pt idx="25">
                  <c:v>121.99999999999989</c:v>
                </c:pt>
                <c:pt idx="26">
                  <c:v>126.87999999999988</c:v>
                </c:pt>
                <c:pt idx="27">
                  <c:v>131.75999999999988</c:v>
                </c:pt>
                <c:pt idx="28">
                  <c:v>136.63999999999987</c:v>
                </c:pt>
                <c:pt idx="29">
                  <c:v>141.5199999999999</c:v>
                </c:pt>
                <c:pt idx="30">
                  <c:v>146.39999999999986</c:v>
                </c:pt>
                <c:pt idx="31">
                  <c:v>151.27999999999986</c:v>
                </c:pt>
                <c:pt idx="32">
                  <c:v>156.15999999999985</c:v>
                </c:pt>
                <c:pt idx="33">
                  <c:v>161.03999999999985</c:v>
                </c:pt>
              </c:numCache>
            </c:numRef>
          </c:yVal>
          <c:smooth val="1"/>
          <c:extLst>
            <c:ext xmlns:c16="http://schemas.microsoft.com/office/drawing/2014/chart" uri="{C3380CC4-5D6E-409C-BE32-E72D297353CC}">
              <c16:uniqueId val="{00000000-5501-C944-9810-FF60D091EED1}"/>
            </c:ext>
          </c:extLst>
        </c:ser>
        <c:ser>
          <c:idx val="0"/>
          <c:order val="1"/>
          <c:tx>
            <c:v>∆P/ 𝜌̅</c:v>
          </c:tx>
          <c:spPr>
            <a:ln w="19050" cap="rnd">
              <a:solidFill>
                <a:schemeClr val="accent1"/>
              </a:solidFill>
              <a:round/>
            </a:ln>
            <a:effectLst/>
          </c:spPr>
          <c:marker>
            <c:symbol val="none"/>
          </c:marker>
          <c:xVal>
            <c:numRef>
              <c:f>'(Section 5) South Sean'!$O$3:$O$36</c:f>
              <c:numCache>
                <c:formatCode>General</c:formatCode>
                <c:ptCount val="3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numCache>
            </c:numRef>
          </c:xVal>
          <c:yVal>
            <c:numRef>
              <c:f>'(Section 5) South Sean'!$T$3:$T$36</c:f>
              <c:numCache>
                <c:formatCode>0.00</c:formatCode>
                <c:ptCount val="34"/>
                <c:pt idx="0">
                  <c:v>0</c:v>
                </c:pt>
                <c:pt idx="1">
                  <c:v>4.8754684696809409</c:v>
                </c:pt>
                <c:pt idx="2">
                  <c:v>9.7170815110471676</c:v>
                </c:pt>
                <c:pt idx="3">
                  <c:v>14.496807815482716</c:v>
                </c:pt>
                <c:pt idx="4">
                  <c:v>19.186616074371624</c:v>
                </c:pt>
                <c:pt idx="5">
                  <c:v>23.758474979097933</c:v>
                </c:pt>
                <c:pt idx="6">
                  <c:v>28.184353221045683</c:v>
                </c:pt>
                <c:pt idx="7">
                  <c:v>32.436219491598905</c:v>
                </c:pt>
                <c:pt idx="8">
                  <c:v>36.486042482141634</c:v>
                </c:pt>
                <c:pt idx="9">
                  <c:v>40.30579088405792</c:v>
                </c:pt>
                <c:pt idx="10">
                  <c:v>43.867433388731783</c:v>
                </c:pt>
                <c:pt idx="11">
                  <c:v>47.142938687547293</c:v>
                </c:pt>
                <c:pt idx="12">
                  <c:v>50.104275471888442</c:v>
                </c:pt>
                <c:pt idx="13">
                  <c:v>52.723412433139302</c:v>
                </c:pt>
                <c:pt idx="14">
                  <c:v>54.972318262683906</c:v>
                </c:pt>
                <c:pt idx="15">
                  <c:v>56.822961651906283</c:v>
                </c:pt>
                <c:pt idx="16">
                  <c:v>58.247311292190489</c:v>
                </c:pt>
                <c:pt idx="17">
                  <c:v>59.217335874920543</c:v>
                </c:pt>
                <c:pt idx="18">
                  <c:v>59.705004091480468</c:v>
                </c:pt>
                <c:pt idx="19">
                  <c:v>59.682284633254341</c:v>
                </c:pt>
                <c:pt idx="20">
                  <c:v>59.121146191626181</c:v>
                </c:pt>
                <c:pt idx="21">
                  <c:v>57.993557457980017</c:v>
                </c:pt>
                <c:pt idx="22">
                  <c:v>56.271487123699899</c:v>
                </c:pt>
                <c:pt idx="23">
                  <c:v>53.926903880169874</c:v>
                </c:pt>
                <c:pt idx="24">
                  <c:v>50.931776418773957</c:v>
                </c:pt>
                <c:pt idx="25">
                  <c:v>47.258073430896182</c:v>
                </c:pt>
                <c:pt idx="26">
                  <c:v>42.877763607920627</c:v>
                </c:pt>
                <c:pt idx="27">
                  <c:v>37.762815641231299</c:v>
                </c:pt>
                <c:pt idx="28">
                  <c:v>31.885198222212239</c:v>
                </c:pt>
                <c:pt idx="29">
                  <c:v>25.216880042247475</c:v>
                </c:pt>
                <c:pt idx="30">
                  <c:v>17.729829792721073</c:v>
                </c:pt>
                <c:pt idx="31">
                  <c:v>9.3960161650170697</c:v>
                </c:pt>
                <c:pt idx="32">
                  <c:v>0.1874078505194457</c:v>
                </c:pt>
                <c:pt idx="33">
                  <c:v>-9.9240264593877061</c:v>
                </c:pt>
              </c:numCache>
            </c:numRef>
          </c:yVal>
          <c:smooth val="1"/>
          <c:extLst>
            <c:ext xmlns:c16="http://schemas.microsoft.com/office/drawing/2014/chart" uri="{C3380CC4-5D6E-409C-BE32-E72D297353CC}">
              <c16:uniqueId val="{00000001-5501-C944-9810-FF60D091EED1}"/>
            </c:ext>
          </c:extLst>
        </c:ser>
        <c:dLbls>
          <c:showLegendKey val="0"/>
          <c:showVal val="0"/>
          <c:showCatName val="0"/>
          <c:showSerName val="0"/>
          <c:showPercent val="0"/>
          <c:showBubbleSize val="0"/>
        </c:dLbls>
        <c:axId val="1107559264"/>
        <c:axId val="1196211328"/>
      </c:scatterChart>
      <c:valAx>
        <c:axId val="1107559264"/>
        <c:scaling>
          <c:orientation val="minMax"/>
          <c:max val="3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GB" sz="1100"/>
                  <a:t>Mass flow rate  (kg/s)</a:t>
                </a:r>
              </a:p>
            </c:rich>
          </c:tx>
          <c:layout>
            <c:manualLayout>
              <c:xMode val="edge"/>
              <c:yMode val="edge"/>
              <c:x val="0.42464297732014267"/>
              <c:y val="0.9050900900900901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196211328"/>
        <c:crosses val="autoZero"/>
        <c:crossBetween val="midCat"/>
      </c:valAx>
      <c:valAx>
        <c:axId val="1196211328"/>
        <c:scaling>
          <c:orientation val="minMax"/>
          <c:max val="16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GB" sz="1100"/>
                  <a:t> Turbine</a:t>
                </a:r>
                <a:r>
                  <a:rPr lang="en-GB" sz="1100" baseline="0"/>
                  <a:t> p</a:t>
                </a:r>
                <a:r>
                  <a:rPr lang="en-GB" sz="1100"/>
                  <a:t>ower output </a:t>
                </a:r>
                <a:r>
                  <a:rPr lang="en-GB" sz="1100" baseline="0"/>
                  <a:t>(kWe)</a:t>
                </a:r>
                <a:endParaRPr lang="en-GB" sz="1100"/>
              </a:p>
            </c:rich>
          </c:tx>
          <c:layout>
            <c:manualLayout>
              <c:xMode val="edge"/>
              <c:yMode val="edge"/>
              <c:x val="1.4957264957264958E-2"/>
              <c:y val="0.2919557352628219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107559264"/>
        <c:crosses val="autoZero"/>
        <c:crossBetween val="midCat"/>
        <c:majorUnit val="20"/>
      </c:valAx>
      <c:spPr>
        <a:noFill/>
        <a:ln>
          <a:no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84168</xdr:colOff>
      <xdr:row>50</xdr:row>
      <xdr:rowOff>201705</xdr:rowOff>
    </xdr:from>
    <xdr:to>
      <xdr:col>3</xdr:col>
      <xdr:colOff>579638</xdr:colOff>
      <xdr:row>54</xdr:row>
      <xdr:rowOff>186764</xdr:rowOff>
    </xdr:to>
    <xdr:pic>
      <xdr:nvPicPr>
        <xdr:cNvPr id="2" name="Picture 1">
          <a:extLst>
            <a:ext uri="{FF2B5EF4-FFF2-40B4-BE49-F238E27FC236}">
              <a16:creationId xmlns:a16="http://schemas.microsoft.com/office/drawing/2014/main" id="{0AE2B20A-DD0D-284A-941B-9816294E4E50}"/>
            </a:ext>
          </a:extLst>
        </xdr:cNvPr>
        <xdr:cNvPicPr>
          <a:picLocks noChangeAspect="1"/>
        </xdr:cNvPicPr>
      </xdr:nvPicPr>
      <xdr:blipFill rotWithShape="1">
        <a:blip xmlns:r="http://schemas.openxmlformats.org/officeDocument/2006/relationships" r:embed="rId1"/>
        <a:srcRect b="62885"/>
        <a:stretch/>
      </xdr:blipFill>
      <xdr:spPr>
        <a:xfrm>
          <a:off x="84168" y="10488705"/>
          <a:ext cx="2971970" cy="797859"/>
        </a:xfrm>
        <a:prstGeom prst="rect">
          <a:avLst/>
        </a:prstGeom>
        <a:ln>
          <a:solidFill>
            <a:schemeClr val="tx1"/>
          </a:solidFill>
        </a:ln>
      </xdr:spPr>
    </xdr:pic>
    <xdr:clientData/>
  </xdr:twoCellAnchor>
  <xdr:twoCellAnchor editAs="oneCell">
    <xdr:from>
      <xdr:col>4</xdr:col>
      <xdr:colOff>184153</xdr:colOff>
      <xdr:row>43</xdr:row>
      <xdr:rowOff>188007</xdr:rowOff>
    </xdr:from>
    <xdr:to>
      <xdr:col>6</xdr:col>
      <xdr:colOff>776322</xdr:colOff>
      <xdr:row>46</xdr:row>
      <xdr:rowOff>40218</xdr:rowOff>
    </xdr:to>
    <xdr:pic>
      <xdr:nvPicPr>
        <xdr:cNvPr id="3" name="Picture 2">
          <a:extLst>
            <a:ext uri="{FF2B5EF4-FFF2-40B4-BE49-F238E27FC236}">
              <a16:creationId xmlns:a16="http://schemas.microsoft.com/office/drawing/2014/main" id="{D1129A61-D025-754A-B516-DC009273A82F}"/>
            </a:ext>
          </a:extLst>
        </xdr:cNvPr>
        <xdr:cNvPicPr>
          <a:picLocks noChangeAspect="1"/>
        </xdr:cNvPicPr>
      </xdr:nvPicPr>
      <xdr:blipFill>
        <a:blip xmlns:r="http://schemas.openxmlformats.org/officeDocument/2006/relationships" r:embed="rId2"/>
        <a:stretch>
          <a:fillRect/>
        </a:stretch>
      </xdr:blipFill>
      <xdr:spPr>
        <a:xfrm>
          <a:off x="3486153" y="9052607"/>
          <a:ext cx="2243169" cy="461811"/>
        </a:xfrm>
        <a:prstGeom prst="rect">
          <a:avLst/>
        </a:prstGeom>
        <a:ln>
          <a:solidFill>
            <a:schemeClr val="tx1"/>
          </a:solidFill>
        </a:ln>
      </xdr:spPr>
    </xdr:pic>
    <xdr:clientData/>
  </xdr:twoCellAnchor>
  <xdr:twoCellAnchor editAs="oneCell">
    <xdr:from>
      <xdr:col>1</xdr:col>
      <xdr:colOff>189631</xdr:colOff>
      <xdr:row>47</xdr:row>
      <xdr:rowOff>17162</xdr:rowOff>
    </xdr:from>
    <xdr:to>
      <xdr:col>3</xdr:col>
      <xdr:colOff>709706</xdr:colOff>
      <xdr:row>49</xdr:row>
      <xdr:rowOff>142271</xdr:rowOff>
    </xdr:to>
    <xdr:pic>
      <xdr:nvPicPr>
        <xdr:cNvPr id="4" name="Picture 3">
          <a:extLst>
            <a:ext uri="{FF2B5EF4-FFF2-40B4-BE49-F238E27FC236}">
              <a16:creationId xmlns:a16="http://schemas.microsoft.com/office/drawing/2014/main" id="{42019F03-D756-EE4A-8C2D-0D929825649E}"/>
            </a:ext>
          </a:extLst>
        </xdr:cNvPr>
        <xdr:cNvPicPr>
          <a:picLocks noChangeAspect="1"/>
        </xdr:cNvPicPr>
      </xdr:nvPicPr>
      <xdr:blipFill>
        <a:blip xmlns:r="http://schemas.openxmlformats.org/officeDocument/2006/relationships" r:embed="rId3"/>
        <a:stretch>
          <a:fillRect/>
        </a:stretch>
      </xdr:blipFill>
      <xdr:spPr>
        <a:xfrm>
          <a:off x="1015131" y="9694562"/>
          <a:ext cx="2171075" cy="531509"/>
        </a:xfrm>
        <a:prstGeom prst="rect">
          <a:avLst/>
        </a:prstGeom>
        <a:ln>
          <a:solidFill>
            <a:schemeClr val="tx1"/>
          </a:solidFill>
        </a:ln>
      </xdr:spPr>
    </xdr:pic>
    <xdr:clientData/>
  </xdr:twoCellAnchor>
  <xdr:twoCellAnchor editAs="oneCell">
    <xdr:from>
      <xdr:col>0</xdr:col>
      <xdr:colOff>0</xdr:colOff>
      <xdr:row>64</xdr:row>
      <xdr:rowOff>42021</xdr:rowOff>
    </xdr:from>
    <xdr:to>
      <xdr:col>3</xdr:col>
      <xdr:colOff>195385</xdr:colOff>
      <xdr:row>68</xdr:row>
      <xdr:rowOff>78153</xdr:rowOff>
    </xdr:to>
    <xdr:pic>
      <xdr:nvPicPr>
        <xdr:cNvPr id="5" name="Picture 4">
          <a:extLst>
            <a:ext uri="{FF2B5EF4-FFF2-40B4-BE49-F238E27FC236}">
              <a16:creationId xmlns:a16="http://schemas.microsoft.com/office/drawing/2014/main" id="{0E6911E1-501E-7D45-A243-84A5119DA2A6}"/>
            </a:ext>
          </a:extLst>
        </xdr:cNvPr>
        <xdr:cNvPicPr>
          <a:picLocks noChangeAspect="1"/>
        </xdr:cNvPicPr>
      </xdr:nvPicPr>
      <xdr:blipFill>
        <a:blip xmlns:r="http://schemas.openxmlformats.org/officeDocument/2006/relationships" r:embed="rId4"/>
        <a:stretch>
          <a:fillRect/>
        </a:stretch>
      </xdr:blipFill>
      <xdr:spPr>
        <a:xfrm>
          <a:off x="0" y="13173821"/>
          <a:ext cx="2671885" cy="848932"/>
        </a:xfrm>
        <a:prstGeom prst="rect">
          <a:avLst/>
        </a:prstGeom>
        <a:ln>
          <a:solidFill>
            <a:schemeClr val="tx1"/>
          </a:solidFill>
        </a:ln>
      </xdr:spPr>
    </xdr:pic>
    <xdr:clientData/>
  </xdr:twoCellAnchor>
  <xdr:twoCellAnchor>
    <xdr:from>
      <xdr:col>0</xdr:col>
      <xdr:colOff>0</xdr:colOff>
      <xdr:row>60</xdr:row>
      <xdr:rowOff>19929</xdr:rowOff>
    </xdr:from>
    <xdr:to>
      <xdr:col>3</xdr:col>
      <xdr:colOff>458947</xdr:colOff>
      <xdr:row>64</xdr:row>
      <xdr:rowOff>40802</xdr:rowOff>
    </xdr:to>
    <xdr:pic>
      <xdr:nvPicPr>
        <xdr:cNvPr id="6" name="Picture 5">
          <a:extLst>
            <a:ext uri="{FF2B5EF4-FFF2-40B4-BE49-F238E27FC236}">
              <a16:creationId xmlns:a16="http://schemas.microsoft.com/office/drawing/2014/main" id="{64D5B704-E3DB-1E4C-AAC1-598F0A8633C0}"/>
            </a:ext>
          </a:extLst>
        </xdr:cNvPr>
        <xdr:cNvPicPr>
          <a:picLocks noChangeAspect="1"/>
        </xdr:cNvPicPr>
      </xdr:nvPicPr>
      <xdr:blipFill>
        <a:blip xmlns:r="http://schemas.openxmlformats.org/officeDocument/2006/relationships" r:embed="rId5"/>
        <a:stretch>
          <a:fillRect/>
        </a:stretch>
      </xdr:blipFill>
      <xdr:spPr>
        <a:xfrm>
          <a:off x="0" y="12338929"/>
          <a:ext cx="2935447" cy="833673"/>
        </a:xfrm>
        <a:prstGeom prst="rect">
          <a:avLst/>
        </a:prstGeom>
        <a:ln>
          <a:solidFill>
            <a:schemeClr val="tx1"/>
          </a:solidFill>
        </a:ln>
      </xdr:spPr>
    </xdr:pic>
    <xdr:clientData/>
  </xdr:twoCellAnchor>
  <xdr:twoCellAnchor>
    <xdr:from>
      <xdr:col>0</xdr:col>
      <xdr:colOff>0</xdr:colOff>
      <xdr:row>68</xdr:row>
      <xdr:rowOff>14919</xdr:rowOff>
    </xdr:from>
    <xdr:to>
      <xdr:col>3</xdr:col>
      <xdr:colOff>771769</xdr:colOff>
      <xdr:row>75</xdr:row>
      <xdr:rowOff>0</xdr:rowOff>
    </xdr:to>
    <xdr:grpSp>
      <xdr:nvGrpSpPr>
        <xdr:cNvPr id="7" name="Group 6">
          <a:extLst>
            <a:ext uri="{FF2B5EF4-FFF2-40B4-BE49-F238E27FC236}">
              <a16:creationId xmlns:a16="http://schemas.microsoft.com/office/drawing/2014/main" id="{E5F64716-9F8A-7740-8176-B8BD3669344E}"/>
            </a:ext>
          </a:extLst>
        </xdr:cNvPr>
        <xdr:cNvGrpSpPr/>
      </xdr:nvGrpSpPr>
      <xdr:grpSpPr>
        <a:xfrm>
          <a:off x="0" y="14345068"/>
          <a:ext cx="3273859" cy="1444633"/>
          <a:chOff x="7721599" y="7739118"/>
          <a:chExt cx="3386667" cy="1582680"/>
        </a:xfrm>
      </xdr:grpSpPr>
      <xdr:pic>
        <xdr:nvPicPr>
          <xdr:cNvPr id="8" name="Picture 7">
            <a:extLst>
              <a:ext uri="{FF2B5EF4-FFF2-40B4-BE49-F238E27FC236}">
                <a16:creationId xmlns:a16="http://schemas.microsoft.com/office/drawing/2014/main" id="{04AD5FD9-CA9B-E574-4563-D0D7A09A46E1}"/>
              </a:ext>
            </a:extLst>
          </xdr:cNvPr>
          <xdr:cNvPicPr>
            <a:picLocks noChangeAspect="1"/>
          </xdr:cNvPicPr>
        </xdr:nvPicPr>
        <xdr:blipFill>
          <a:blip xmlns:r="http://schemas.openxmlformats.org/officeDocument/2006/relationships" r:embed="rId6"/>
          <a:stretch>
            <a:fillRect/>
          </a:stretch>
        </xdr:blipFill>
        <xdr:spPr>
          <a:xfrm>
            <a:off x="7721599" y="7739118"/>
            <a:ext cx="3386667" cy="1582680"/>
          </a:xfrm>
          <a:prstGeom prst="rect">
            <a:avLst/>
          </a:prstGeom>
          <a:ln>
            <a:solidFill>
              <a:schemeClr val="tx1"/>
            </a:solidFill>
          </a:ln>
        </xdr:spPr>
      </xdr:pic>
      <xdr:pic>
        <xdr:nvPicPr>
          <xdr:cNvPr id="9" name="Picture 8">
            <a:extLst>
              <a:ext uri="{FF2B5EF4-FFF2-40B4-BE49-F238E27FC236}">
                <a16:creationId xmlns:a16="http://schemas.microsoft.com/office/drawing/2014/main" id="{E107791D-5B78-D973-0B8A-4E23425D5537}"/>
              </a:ext>
            </a:extLst>
          </xdr:cNvPr>
          <xdr:cNvPicPr>
            <a:picLocks noChangeAspect="1"/>
          </xdr:cNvPicPr>
        </xdr:nvPicPr>
        <xdr:blipFill>
          <a:blip xmlns:r="http://schemas.openxmlformats.org/officeDocument/2006/relationships" r:embed="rId7"/>
          <a:stretch>
            <a:fillRect/>
          </a:stretch>
        </xdr:blipFill>
        <xdr:spPr>
          <a:xfrm>
            <a:off x="8111067" y="7752478"/>
            <a:ext cx="728133" cy="256988"/>
          </a:xfrm>
          <a:prstGeom prst="rect">
            <a:avLst/>
          </a:prstGeom>
        </xdr:spPr>
      </xdr:pic>
    </xdr:grpSp>
    <xdr:clientData/>
  </xdr:twoCellAnchor>
  <xdr:twoCellAnchor editAs="oneCell">
    <xdr:from>
      <xdr:col>0</xdr:col>
      <xdr:colOff>182095</xdr:colOff>
      <xdr:row>55</xdr:row>
      <xdr:rowOff>174062</xdr:rowOff>
    </xdr:from>
    <xdr:to>
      <xdr:col>3</xdr:col>
      <xdr:colOff>495860</xdr:colOff>
      <xdr:row>59</xdr:row>
      <xdr:rowOff>4669</xdr:rowOff>
    </xdr:to>
    <xdr:pic>
      <xdr:nvPicPr>
        <xdr:cNvPr id="10" name="Picture 9">
          <a:extLst>
            <a:ext uri="{FF2B5EF4-FFF2-40B4-BE49-F238E27FC236}">
              <a16:creationId xmlns:a16="http://schemas.microsoft.com/office/drawing/2014/main" id="{F139A936-9C65-E44E-9C17-6501F92D2760}"/>
            </a:ext>
          </a:extLst>
        </xdr:cNvPr>
        <xdr:cNvPicPr>
          <a:picLocks noChangeAspect="1"/>
        </xdr:cNvPicPr>
      </xdr:nvPicPr>
      <xdr:blipFill rotWithShape="1">
        <a:blip xmlns:r="http://schemas.openxmlformats.org/officeDocument/2006/relationships" r:embed="rId8"/>
        <a:srcRect b="49883"/>
        <a:stretch/>
      </xdr:blipFill>
      <xdr:spPr>
        <a:xfrm>
          <a:off x="182095" y="11477062"/>
          <a:ext cx="2790265" cy="643407"/>
        </a:xfrm>
        <a:prstGeom prst="rect">
          <a:avLst/>
        </a:prstGeom>
        <a:ln>
          <a:solidFill>
            <a:schemeClr val="tx1"/>
          </a:solidFill>
        </a:ln>
      </xdr:spPr>
    </xdr:pic>
    <xdr:clientData/>
  </xdr:twoCellAnchor>
  <xdr:twoCellAnchor editAs="oneCell">
    <xdr:from>
      <xdr:col>3</xdr:col>
      <xdr:colOff>582706</xdr:colOff>
      <xdr:row>50</xdr:row>
      <xdr:rowOff>37354</xdr:rowOff>
    </xdr:from>
    <xdr:to>
      <xdr:col>7</xdr:col>
      <xdr:colOff>1</xdr:colOff>
      <xdr:row>55</xdr:row>
      <xdr:rowOff>154268</xdr:rowOff>
    </xdr:to>
    <xdr:pic>
      <xdr:nvPicPr>
        <xdr:cNvPr id="11" name="Picture 10">
          <a:extLst>
            <a:ext uri="{FF2B5EF4-FFF2-40B4-BE49-F238E27FC236}">
              <a16:creationId xmlns:a16="http://schemas.microsoft.com/office/drawing/2014/main" id="{4574FDC5-0718-1C44-B3AC-089BAFDD03A4}"/>
            </a:ext>
          </a:extLst>
        </xdr:cNvPr>
        <xdr:cNvPicPr>
          <a:picLocks noChangeAspect="1"/>
        </xdr:cNvPicPr>
      </xdr:nvPicPr>
      <xdr:blipFill>
        <a:blip xmlns:r="http://schemas.openxmlformats.org/officeDocument/2006/relationships" r:embed="rId9"/>
        <a:stretch>
          <a:fillRect/>
        </a:stretch>
      </xdr:blipFill>
      <xdr:spPr>
        <a:xfrm>
          <a:off x="3059206" y="10324354"/>
          <a:ext cx="2715560" cy="1132914"/>
        </a:xfrm>
        <a:prstGeom prst="rect">
          <a:avLst/>
        </a:prstGeom>
        <a:ln>
          <a:solidFill>
            <a:schemeClr val="tx1"/>
          </a:solidFill>
        </a:ln>
      </xdr:spPr>
    </xdr:pic>
    <xdr:clientData/>
  </xdr:twoCellAnchor>
  <xdr:twoCellAnchor editAs="oneCell">
    <xdr:from>
      <xdr:col>3</xdr:col>
      <xdr:colOff>709707</xdr:colOff>
      <xdr:row>47</xdr:row>
      <xdr:rowOff>43701</xdr:rowOff>
    </xdr:from>
    <xdr:to>
      <xdr:col>7</xdr:col>
      <xdr:colOff>2740</xdr:colOff>
      <xdr:row>49</xdr:row>
      <xdr:rowOff>109490</xdr:rowOff>
    </xdr:to>
    <xdr:pic>
      <xdr:nvPicPr>
        <xdr:cNvPr id="12" name="Picture 11">
          <a:extLst>
            <a:ext uri="{FF2B5EF4-FFF2-40B4-BE49-F238E27FC236}">
              <a16:creationId xmlns:a16="http://schemas.microsoft.com/office/drawing/2014/main" id="{ED301BBA-827C-8347-A1E1-3E25F0101605}"/>
            </a:ext>
          </a:extLst>
        </xdr:cNvPr>
        <xdr:cNvPicPr>
          <a:picLocks noChangeAspect="1"/>
        </xdr:cNvPicPr>
      </xdr:nvPicPr>
      <xdr:blipFill>
        <a:blip xmlns:r="http://schemas.openxmlformats.org/officeDocument/2006/relationships" r:embed="rId10"/>
        <a:stretch>
          <a:fillRect/>
        </a:stretch>
      </xdr:blipFill>
      <xdr:spPr>
        <a:xfrm>
          <a:off x="3186207" y="9721101"/>
          <a:ext cx="2595033" cy="472189"/>
        </a:xfrm>
        <a:prstGeom prst="rect">
          <a:avLst/>
        </a:prstGeom>
        <a:ln>
          <a:solidFill>
            <a:schemeClr val="tx1"/>
          </a:solidFill>
        </a:ln>
      </xdr:spPr>
    </xdr:pic>
    <xdr:clientData/>
  </xdr:twoCellAnchor>
  <xdr:twoCellAnchor editAs="oneCell">
    <xdr:from>
      <xdr:col>3</xdr:col>
      <xdr:colOff>494927</xdr:colOff>
      <xdr:row>56</xdr:row>
      <xdr:rowOff>22510</xdr:rowOff>
    </xdr:from>
    <xdr:to>
      <xdr:col>7</xdr:col>
      <xdr:colOff>673</xdr:colOff>
      <xdr:row>58</xdr:row>
      <xdr:rowOff>90020</xdr:rowOff>
    </xdr:to>
    <xdr:pic>
      <xdr:nvPicPr>
        <xdr:cNvPr id="13" name="Picture 12">
          <a:extLst>
            <a:ext uri="{FF2B5EF4-FFF2-40B4-BE49-F238E27FC236}">
              <a16:creationId xmlns:a16="http://schemas.microsoft.com/office/drawing/2014/main" id="{A53CF83D-608B-FA47-AE84-973B5664D678}"/>
            </a:ext>
          </a:extLst>
        </xdr:cNvPr>
        <xdr:cNvPicPr>
          <a:picLocks noChangeAspect="1"/>
        </xdr:cNvPicPr>
      </xdr:nvPicPr>
      <xdr:blipFill>
        <a:blip xmlns:r="http://schemas.openxmlformats.org/officeDocument/2006/relationships" r:embed="rId11"/>
        <a:stretch>
          <a:fillRect/>
        </a:stretch>
      </xdr:blipFill>
      <xdr:spPr>
        <a:xfrm>
          <a:off x="2971427" y="11528710"/>
          <a:ext cx="2805206" cy="473910"/>
        </a:xfrm>
        <a:prstGeom prst="rect">
          <a:avLst/>
        </a:prstGeom>
        <a:ln>
          <a:solidFill>
            <a:schemeClr val="tx1"/>
          </a:solidFill>
        </a:ln>
      </xdr:spPr>
    </xdr:pic>
    <xdr:clientData/>
  </xdr:twoCellAnchor>
  <xdr:twoCellAnchor editAs="oneCell">
    <xdr:from>
      <xdr:col>3</xdr:col>
      <xdr:colOff>166077</xdr:colOff>
      <xdr:row>60</xdr:row>
      <xdr:rowOff>24543</xdr:rowOff>
    </xdr:from>
    <xdr:to>
      <xdr:col>6</xdr:col>
      <xdr:colOff>820044</xdr:colOff>
      <xdr:row>68</xdr:row>
      <xdr:rowOff>7005</xdr:rowOff>
    </xdr:to>
    <xdr:pic>
      <xdr:nvPicPr>
        <xdr:cNvPr id="14" name="Picture 13">
          <a:extLst>
            <a:ext uri="{FF2B5EF4-FFF2-40B4-BE49-F238E27FC236}">
              <a16:creationId xmlns:a16="http://schemas.microsoft.com/office/drawing/2014/main" id="{57D49AC3-F410-EE46-BDF0-5E3DB36CDAD8}"/>
            </a:ext>
          </a:extLst>
        </xdr:cNvPr>
        <xdr:cNvPicPr>
          <a:picLocks noChangeAspect="1"/>
        </xdr:cNvPicPr>
      </xdr:nvPicPr>
      <xdr:blipFill>
        <a:blip xmlns:r="http://schemas.openxmlformats.org/officeDocument/2006/relationships" r:embed="rId12"/>
        <a:stretch>
          <a:fillRect/>
        </a:stretch>
      </xdr:blipFill>
      <xdr:spPr>
        <a:xfrm>
          <a:off x="2642577" y="12343543"/>
          <a:ext cx="3130467" cy="1608062"/>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754944</xdr:colOff>
      <xdr:row>2</xdr:row>
      <xdr:rowOff>8467</xdr:rowOff>
    </xdr:from>
    <xdr:to>
      <xdr:col>24</xdr:col>
      <xdr:colOff>89767</xdr:colOff>
      <xdr:row>20</xdr:row>
      <xdr:rowOff>20011</xdr:rowOff>
    </xdr:to>
    <xdr:graphicFrame macro="">
      <xdr:nvGraphicFramePr>
        <xdr:cNvPr id="6" name="Chart 5">
          <a:extLst>
            <a:ext uri="{FF2B5EF4-FFF2-40B4-BE49-F238E27FC236}">
              <a16:creationId xmlns:a16="http://schemas.microsoft.com/office/drawing/2014/main" id="{3C4E9B64-1C51-2A4B-909E-B1971DCA2E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777875</xdr:colOff>
      <xdr:row>21</xdr:row>
      <xdr:rowOff>127000</xdr:rowOff>
    </xdr:from>
    <xdr:to>
      <xdr:col>22</xdr:col>
      <xdr:colOff>419100</xdr:colOff>
      <xdr:row>36</xdr:row>
      <xdr:rowOff>182418</xdr:rowOff>
    </xdr:to>
    <xdr:graphicFrame macro="">
      <xdr:nvGraphicFramePr>
        <xdr:cNvPr id="10" name="Chart 9">
          <a:extLst>
            <a:ext uri="{FF2B5EF4-FFF2-40B4-BE49-F238E27FC236}">
              <a16:creationId xmlns:a16="http://schemas.microsoft.com/office/drawing/2014/main" id="{7C226334-408A-6B43-BDE7-7FB688C427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577636</xdr:colOff>
      <xdr:row>11</xdr:row>
      <xdr:rowOff>87330</xdr:rowOff>
    </xdr:from>
    <xdr:to>
      <xdr:col>12</xdr:col>
      <xdr:colOff>742736</xdr:colOff>
      <xdr:row>25</xdr:row>
      <xdr:rowOff>61930</xdr:rowOff>
    </xdr:to>
    <xdr:graphicFrame macro="">
      <xdr:nvGraphicFramePr>
        <xdr:cNvPr id="2" name="Chart 1">
          <a:extLst>
            <a:ext uri="{FF2B5EF4-FFF2-40B4-BE49-F238E27FC236}">
              <a16:creationId xmlns:a16="http://schemas.microsoft.com/office/drawing/2014/main" id="{F1B947CA-EE3B-A84B-9F9A-D06B095E36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552450</xdr:colOff>
      <xdr:row>26</xdr:row>
      <xdr:rowOff>139700</xdr:rowOff>
    </xdr:from>
    <xdr:to>
      <xdr:col>12</xdr:col>
      <xdr:colOff>509640</xdr:colOff>
      <xdr:row>43</xdr:row>
      <xdr:rowOff>47482</xdr:rowOff>
    </xdr:to>
    <xdr:graphicFrame macro="">
      <xdr:nvGraphicFramePr>
        <xdr:cNvPr id="3" name="Chart 2">
          <a:extLst>
            <a:ext uri="{FF2B5EF4-FFF2-40B4-BE49-F238E27FC236}">
              <a16:creationId xmlns:a16="http://schemas.microsoft.com/office/drawing/2014/main" id="{560826F5-F34D-4F45-A6C5-0FA20C3C39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783167</xdr:colOff>
      <xdr:row>29</xdr:row>
      <xdr:rowOff>21167</xdr:rowOff>
    </xdr:from>
    <xdr:to>
      <xdr:col>6</xdr:col>
      <xdr:colOff>1068070</xdr:colOff>
      <xdr:row>31</xdr:row>
      <xdr:rowOff>74084</xdr:rowOff>
    </xdr:to>
    <xdr:pic>
      <xdr:nvPicPr>
        <xdr:cNvPr id="2" name="Picture 1">
          <a:extLst>
            <a:ext uri="{FF2B5EF4-FFF2-40B4-BE49-F238E27FC236}">
              <a16:creationId xmlns:a16="http://schemas.microsoft.com/office/drawing/2014/main" id="{16FDCA0C-13E6-5ACD-36D9-F4550CC34D4A}"/>
            </a:ext>
          </a:extLst>
        </xdr:cNvPr>
        <xdr:cNvPicPr>
          <a:picLocks noChangeAspect="1"/>
        </xdr:cNvPicPr>
      </xdr:nvPicPr>
      <xdr:blipFill>
        <a:blip xmlns:r="http://schemas.openxmlformats.org/officeDocument/2006/relationships" r:embed="rId1"/>
        <a:stretch>
          <a:fillRect/>
        </a:stretch>
      </xdr:blipFill>
      <xdr:spPr>
        <a:xfrm>
          <a:off x="5312834" y="5852584"/>
          <a:ext cx="1110403" cy="455083"/>
        </a:xfrm>
        <a:prstGeom prst="rect">
          <a:avLst/>
        </a:prstGeom>
      </xdr:spPr>
    </xdr:pic>
    <xdr:clientData/>
  </xdr:twoCellAnchor>
</xdr:wsDr>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BC1C3-86E2-1849-8AE0-6473E1DCE62E}">
  <dimension ref="A1:G81"/>
  <sheetViews>
    <sheetView tabSelected="1" workbookViewId="0">
      <selection activeCell="F43" sqref="F43"/>
    </sheetView>
  </sheetViews>
  <sheetFormatPr baseColWidth="10" defaultRowHeight="16" x14ac:dyDescent="0.2"/>
  <cols>
    <col min="1" max="1" width="13.5" customWidth="1"/>
    <col min="2" max="2" width="13.83203125" style="1" customWidth="1"/>
  </cols>
  <sheetData>
    <row r="1" spans="1:7" x14ac:dyDescent="0.2">
      <c r="A1" s="2" t="s">
        <v>4</v>
      </c>
      <c r="B1" s="103" t="s">
        <v>5</v>
      </c>
      <c r="E1" t="s">
        <v>17</v>
      </c>
      <c r="F1" t="s">
        <v>18</v>
      </c>
      <c r="G1" t="s">
        <v>19</v>
      </c>
    </row>
    <row r="2" spans="1:7" x14ac:dyDescent="0.2">
      <c r="A2" s="2" t="s">
        <v>6</v>
      </c>
      <c r="B2" s="103"/>
      <c r="D2" t="s">
        <v>21</v>
      </c>
      <c r="E2">
        <v>81</v>
      </c>
      <c r="F2">
        <v>64</v>
      </c>
      <c r="G2">
        <f>E2+F2</f>
        <v>145</v>
      </c>
    </row>
    <row r="3" spans="1:7" x14ac:dyDescent="0.2">
      <c r="A3" s="2" t="s">
        <v>7</v>
      </c>
      <c r="B3" s="103"/>
      <c r="D3" t="s">
        <v>23</v>
      </c>
      <c r="E3" s="3">
        <f>(E2/G2)*100</f>
        <v>55.862068965517238</v>
      </c>
      <c r="F3" s="3">
        <f>(F2/G2)*100</f>
        <v>44.137931034482762</v>
      </c>
    </row>
    <row r="4" spans="1:7" x14ac:dyDescent="0.2">
      <c r="A4" s="2" t="s">
        <v>8</v>
      </c>
      <c r="B4" s="1" t="s">
        <v>9</v>
      </c>
    </row>
    <row r="5" spans="1:7" x14ac:dyDescent="0.2">
      <c r="A5" s="2" t="s">
        <v>10</v>
      </c>
      <c r="B5" s="1" t="s">
        <v>11</v>
      </c>
      <c r="D5" t="s">
        <v>26</v>
      </c>
    </row>
    <row r="6" spans="1:7" x14ac:dyDescent="0.2">
      <c r="A6" s="2" t="s">
        <v>12</v>
      </c>
      <c r="B6" s="1" t="s">
        <v>13</v>
      </c>
    </row>
    <row r="7" spans="1:7" x14ac:dyDescent="0.2">
      <c r="A7" s="2" t="s">
        <v>14</v>
      </c>
      <c r="B7" s="1" t="s">
        <v>13</v>
      </c>
    </row>
    <row r="8" spans="1:7" x14ac:dyDescent="0.2">
      <c r="A8" s="2" t="s">
        <v>15</v>
      </c>
      <c r="B8" s="1" t="s">
        <v>16</v>
      </c>
    </row>
    <row r="9" spans="1:7" x14ac:dyDescent="0.2">
      <c r="A9" s="2" t="s">
        <v>20</v>
      </c>
      <c r="B9" s="1" t="s">
        <v>16</v>
      </c>
    </row>
    <row r="10" spans="1:7" x14ac:dyDescent="0.2">
      <c r="A10" s="2" t="s">
        <v>22</v>
      </c>
      <c r="B10" s="1" t="s">
        <v>16</v>
      </c>
    </row>
    <row r="11" spans="1:7" x14ac:dyDescent="0.2">
      <c r="A11" s="2" t="s">
        <v>24</v>
      </c>
      <c r="B11" s="1" t="s">
        <v>16</v>
      </c>
    </row>
    <row r="12" spans="1:7" x14ac:dyDescent="0.2">
      <c r="A12" s="2" t="s">
        <v>25</v>
      </c>
      <c r="B12" s="1" t="s">
        <v>13</v>
      </c>
    </row>
    <row r="13" spans="1:7" x14ac:dyDescent="0.2">
      <c r="A13" s="2" t="s">
        <v>27</v>
      </c>
      <c r="B13" s="1" t="s">
        <v>28</v>
      </c>
    </row>
    <row r="14" spans="1:7" x14ac:dyDescent="0.2">
      <c r="A14" s="2" t="s">
        <v>29</v>
      </c>
      <c r="B14" s="1" t="s">
        <v>13</v>
      </c>
    </row>
    <row r="15" spans="1:7" x14ac:dyDescent="0.2">
      <c r="A15" s="2" t="s">
        <v>30</v>
      </c>
      <c r="B15" s="1" t="s">
        <v>13</v>
      </c>
    </row>
    <row r="16" spans="1:7" x14ac:dyDescent="0.2">
      <c r="A16" s="2" t="s">
        <v>31</v>
      </c>
      <c r="B16" s="1" t="s">
        <v>13</v>
      </c>
    </row>
    <row r="17" spans="1:2" x14ac:dyDescent="0.2">
      <c r="A17" s="2" t="s">
        <v>32</v>
      </c>
      <c r="B17" s="1" t="s">
        <v>13</v>
      </c>
    </row>
    <row r="18" spans="1:2" x14ac:dyDescent="0.2">
      <c r="A18" s="2" t="s">
        <v>33</v>
      </c>
      <c r="B18" s="1" t="s">
        <v>11</v>
      </c>
    </row>
    <row r="19" spans="1:2" x14ac:dyDescent="0.2">
      <c r="A19" s="2" t="s">
        <v>34</v>
      </c>
      <c r="B19" s="1" t="s">
        <v>11</v>
      </c>
    </row>
    <row r="20" spans="1:2" x14ac:dyDescent="0.2">
      <c r="A20" s="2" t="s">
        <v>35</v>
      </c>
      <c r="B20" s="1" t="s">
        <v>13</v>
      </c>
    </row>
    <row r="21" spans="1:2" x14ac:dyDescent="0.2">
      <c r="A21" s="2" t="s">
        <v>36</v>
      </c>
      <c r="B21" s="1" t="s">
        <v>5</v>
      </c>
    </row>
    <row r="22" spans="1:2" x14ac:dyDescent="0.2">
      <c r="A22" s="2" t="s">
        <v>37</v>
      </c>
      <c r="B22" s="1" t="s">
        <v>11</v>
      </c>
    </row>
    <row r="23" spans="1:2" x14ac:dyDescent="0.2">
      <c r="A23" s="2" t="s">
        <v>38</v>
      </c>
      <c r="B23" s="1" t="s">
        <v>11</v>
      </c>
    </row>
    <row r="24" spans="1:2" x14ac:dyDescent="0.2">
      <c r="A24" s="2" t="s">
        <v>39</v>
      </c>
      <c r="B24" s="1" t="s">
        <v>11</v>
      </c>
    </row>
    <row r="25" spans="1:2" x14ac:dyDescent="0.2">
      <c r="A25" s="2" t="s">
        <v>40</v>
      </c>
      <c r="B25" s="1" t="s">
        <v>13</v>
      </c>
    </row>
    <row r="26" spans="1:2" x14ac:dyDescent="0.2">
      <c r="A26" s="2" t="s">
        <v>41</v>
      </c>
      <c r="B26" s="103" t="s">
        <v>11</v>
      </c>
    </row>
    <row r="27" spans="1:2" x14ac:dyDescent="0.2">
      <c r="A27" s="2" t="s">
        <v>42</v>
      </c>
      <c r="B27" s="103"/>
    </row>
    <row r="28" spans="1:2" x14ac:dyDescent="0.2">
      <c r="A28" s="2" t="s">
        <v>43</v>
      </c>
      <c r="B28" s="1" t="s">
        <v>13</v>
      </c>
    </row>
    <row r="29" spans="1:2" x14ac:dyDescent="0.2">
      <c r="A29" s="2" t="s">
        <v>44</v>
      </c>
      <c r="B29" s="1" t="s">
        <v>13</v>
      </c>
    </row>
    <row r="30" spans="1:2" x14ac:dyDescent="0.2">
      <c r="A30" s="2" t="s">
        <v>45</v>
      </c>
      <c r="B30" s="1" t="s">
        <v>13</v>
      </c>
    </row>
    <row r="31" spans="1:2" x14ac:dyDescent="0.2">
      <c r="A31" s="2" t="s">
        <v>46</v>
      </c>
      <c r="B31" s="1" t="s">
        <v>11</v>
      </c>
    </row>
    <row r="32" spans="1:2" x14ac:dyDescent="0.2">
      <c r="A32" s="2" t="s">
        <v>47</v>
      </c>
      <c r="B32" s="103" t="s">
        <v>11</v>
      </c>
    </row>
    <row r="33" spans="1:2" x14ac:dyDescent="0.2">
      <c r="A33" s="2" t="s">
        <v>48</v>
      </c>
      <c r="B33" s="103"/>
    </row>
    <row r="34" spans="1:2" x14ac:dyDescent="0.2">
      <c r="A34" s="2" t="s">
        <v>49</v>
      </c>
      <c r="B34" s="1" t="s">
        <v>5</v>
      </c>
    </row>
    <row r="35" spans="1:2" x14ac:dyDescent="0.2">
      <c r="A35" s="2" t="s">
        <v>50</v>
      </c>
      <c r="B35" s="1" t="s">
        <v>11</v>
      </c>
    </row>
    <row r="36" spans="1:2" x14ac:dyDescent="0.2">
      <c r="A36" s="2" t="s">
        <v>51</v>
      </c>
      <c r="B36" s="1" t="s">
        <v>13</v>
      </c>
    </row>
    <row r="37" spans="1:2" x14ac:dyDescent="0.2">
      <c r="A37" s="2" t="s">
        <v>52</v>
      </c>
      <c r="B37" s="1" t="s">
        <v>11</v>
      </c>
    </row>
    <row r="38" spans="1:2" x14ac:dyDescent="0.2">
      <c r="A38" s="2" t="s">
        <v>53</v>
      </c>
      <c r="B38" s="1" t="s">
        <v>13</v>
      </c>
    </row>
    <row r="39" spans="1:2" x14ac:dyDescent="0.2">
      <c r="A39" s="2" t="s">
        <v>54</v>
      </c>
      <c r="B39" s="1" t="s">
        <v>13</v>
      </c>
    </row>
    <row r="40" spans="1:2" x14ac:dyDescent="0.2">
      <c r="A40" s="2" t="s">
        <v>55</v>
      </c>
      <c r="B40" s="1" t="s">
        <v>13</v>
      </c>
    </row>
    <row r="41" spans="1:2" x14ac:dyDescent="0.2">
      <c r="A41" s="2" t="s">
        <v>56</v>
      </c>
      <c r="B41" s="1" t="s">
        <v>13</v>
      </c>
    </row>
    <row r="42" spans="1:2" x14ac:dyDescent="0.2">
      <c r="A42" s="2" t="s">
        <v>57</v>
      </c>
      <c r="B42" s="1" t="s">
        <v>13</v>
      </c>
    </row>
    <row r="43" spans="1:2" x14ac:dyDescent="0.2">
      <c r="A43" s="2" t="s">
        <v>58</v>
      </c>
      <c r="B43" s="1" t="s">
        <v>13</v>
      </c>
    </row>
    <row r="44" spans="1:2" x14ac:dyDescent="0.2">
      <c r="A44" s="2" t="s">
        <v>59</v>
      </c>
      <c r="B44" s="1" t="s">
        <v>13</v>
      </c>
    </row>
    <row r="45" spans="1:2" x14ac:dyDescent="0.2">
      <c r="A45" s="2" t="s">
        <v>60</v>
      </c>
      <c r="B45" s="1" t="s">
        <v>13</v>
      </c>
    </row>
    <row r="46" spans="1:2" x14ac:dyDescent="0.2">
      <c r="A46" s="2" t="s">
        <v>61</v>
      </c>
      <c r="B46" s="1" t="s">
        <v>13</v>
      </c>
    </row>
    <row r="47" spans="1:2" x14ac:dyDescent="0.2">
      <c r="A47" s="2" t="s">
        <v>62</v>
      </c>
      <c r="B47" s="1" t="s">
        <v>16</v>
      </c>
    </row>
    <row r="48" spans="1:2" x14ac:dyDescent="0.2">
      <c r="A48" s="2" t="s">
        <v>63</v>
      </c>
      <c r="B48" s="1" t="s">
        <v>13</v>
      </c>
    </row>
    <row r="49" spans="1:2" x14ac:dyDescent="0.2">
      <c r="A49" s="2" t="s">
        <v>64</v>
      </c>
      <c r="B49" s="1" t="s">
        <v>13</v>
      </c>
    </row>
    <row r="50" spans="1:2" x14ac:dyDescent="0.2">
      <c r="A50" s="2" t="s">
        <v>65</v>
      </c>
      <c r="B50" s="1" t="s">
        <v>13</v>
      </c>
    </row>
    <row r="51" spans="1:2" x14ac:dyDescent="0.2">
      <c r="A51" s="2" t="s">
        <v>66</v>
      </c>
      <c r="B51" s="1" t="s">
        <v>13</v>
      </c>
    </row>
    <row r="52" spans="1:2" x14ac:dyDescent="0.2">
      <c r="A52" s="2" t="s">
        <v>67</v>
      </c>
      <c r="B52" s="1" t="s">
        <v>13</v>
      </c>
    </row>
    <row r="53" spans="1:2" x14ac:dyDescent="0.2">
      <c r="A53" s="2" t="s">
        <v>68</v>
      </c>
      <c r="B53" s="1" t="s">
        <v>16</v>
      </c>
    </row>
    <row r="54" spans="1:2" x14ac:dyDescent="0.2">
      <c r="A54" s="2" t="s">
        <v>69</v>
      </c>
      <c r="B54" s="1" t="s">
        <v>13</v>
      </c>
    </row>
    <row r="55" spans="1:2" x14ac:dyDescent="0.2">
      <c r="A55" s="2" t="s">
        <v>70</v>
      </c>
      <c r="B55" s="1" t="s">
        <v>13</v>
      </c>
    </row>
    <row r="56" spans="1:2" x14ac:dyDescent="0.2">
      <c r="A56" s="2" t="s">
        <v>71</v>
      </c>
      <c r="B56" s="1" t="s">
        <v>13</v>
      </c>
    </row>
    <row r="57" spans="1:2" x14ac:dyDescent="0.2">
      <c r="A57" s="2" t="s">
        <v>72</v>
      </c>
      <c r="B57" s="1" t="s">
        <v>13</v>
      </c>
    </row>
    <row r="58" spans="1:2" x14ac:dyDescent="0.2">
      <c r="A58" s="2" t="s">
        <v>73</v>
      </c>
      <c r="B58" s="1" t="s">
        <v>13</v>
      </c>
    </row>
    <row r="59" spans="1:2" x14ac:dyDescent="0.2">
      <c r="A59" s="2" t="s">
        <v>74</v>
      </c>
      <c r="B59" s="1" t="s">
        <v>13</v>
      </c>
    </row>
    <row r="60" spans="1:2" x14ac:dyDescent="0.2">
      <c r="A60" s="2" t="s">
        <v>75</v>
      </c>
      <c r="B60" s="1" t="s">
        <v>13</v>
      </c>
    </row>
    <row r="61" spans="1:2" x14ac:dyDescent="0.2">
      <c r="A61" s="2" t="s">
        <v>76</v>
      </c>
      <c r="B61" s="1" t="s">
        <v>11</v>
      </c>
    </row>
    <row r="62" spans="1:2" x14ac:dyDescent="0.2">
      <c r="A62" s="2" t="s">
        <v>77</v>
      </c>
      <c r="B62" s="1" t="s">
        <v>13</v>
      </c>
    </row>
    <row r="63" spans="1:2" x14ac:dyDescent="0.2">
      <c r="A63" s="2" t="s">
        <v>22</v>
      </c>
      <c r="B63" s="1" t="s">
        <v>11</v>
      </c>
    </row>
    <row r="64" spans="1:2" x14ac:dyDescent="0.2">
      <c r="A64" s="2" t="s">
        <v>78</v>
      </c>
      <c r="B64" s="1" t="s">
        <v>11</v>
      </c>
    </row>
    <row r="65" spans="1:2" x14ac:dyDescent="0.2">
      <c r="A65" s="2" t="s">
        <v>79</v>
      </c>
      <c r="B65" s="1" t="s">
        <v>13</v>
      </c>
    </row>
    <row r="66" spans="1:2" x14ac:dyDescent="0.2">
      <c r="A66" s="2" t="s">
        <v>80</v>
      </c>
      <c r="B66" s="1" t="s">
        <v>5</v>
      </c>
    </row>
    <row r="67" spans="1:2" x14ac:dyDescent="0.2">
      <c r="A67" s="2" t="s">
        <v>81</v>
      </c>
      <c r="B67" s="1" t="s">
        <v>13</v>
      </c>
    </row>
    <row r="68" spans="1:2" x14ac:dyDescent="0.2">
      <c r="A68" s="2" t="s">
        <v>82</v>
      </c>
      <c r="B68" s="1" t="s">
        <v>13</v>
      </c>
    </row>
    <row r="69" spans="1:2" x14ac:dyDescent="0.2">
      <c r="A69" s="2" t="s">
        <v>83</v>
      </c>
      <c r="B69" s="1" t="s">
        <v>13</v>
      </c>
    </row>
    <row r="70" spans="1:2" x14ac:dyDescent="0.2">
      <c r="A70" s="2" t="s">
        <v>84</v>
      </c>
      <c r="B70" s="1" t="s">
        <v>13</v>
      </c>
    </row>
    <row r="71" spans="1:2" x14ac:dyDescent="0.2">
      <c r="A71" s="2" t="s">
        <v>85</v>
      </c>
      <c r="B71" s="1" t="s">
        <v>13</v>
      </c>
    </row>
    <row r="72" spans="1:2" x14ac:dyDescent="0.2">
      <c r="A72" s="2" t="s">
        <v>86</v>
      </c>
      <c r="B72" s="1" t="s">
        <v>13</v>
      </c>
    </row>
    <row r="73" spans="1:2" x14ac:dyDescent="0.2">
      <c r="A73" s="2" t="s">
        <v>87</v>
      </c>
      <c r="B73" s="1" t="s">
        <v>13</v>
      </c>
    </row>
    <row r="74" spans="1:2" x14ac:dyDescent="0.2">
      <c r="A74" s="2" t="s">
        <v>88</v>
      </c>
      <c r="B74" s="1" t="s">
        <v>13</v>
      </c>
    </row>
    <row r="75" spans="1:2" x14ac:dyDescent="0.2">
      <c r="A75" s="2" t="s">
        <v>89</v>
      </c>
      <c r="B75" s="1" t="s">
        <v>11</v>
      </c>
    </row>
    <row r="76" spans="1:2" x14ac:dyDescent="0.2">
      <c r="A76" s="2" t="s">
        <v>90</v>
      </c>
      <c r="B76" s="1" t="s">
        <v>13</v>
      </c>
    </row>
    <row r="77" spans="1:2" x14ac:dyDescent="0.2">
      <c r="A77" s="2" t="s">
        <v>91</v>
      </c>
      <c r="B77" s="1" t="s">
        <v>13</v>
      </c>
    </row>
    <row r="78" spans="1:2" x14ac:dyDescent="0.2">
      <c r="A78" s="2" t="s">
        <v>92</v>
      </c>
      <c r="B78" s="1" t="s">
        <v>13</v>
      </c>
    </row>
    <row r="79" spans="1:2" x14ac:dyDescent="0.2">
      <c r="A79" s="2" t="s">
        <v>93</v>
      </c>
      <c r="B79" s="1" t="s">
        <v>13</v>
      </c>
    </row>
    <row r="80" spans="1:2" x14ac:dyDescent="0.2">
      <c r="A80" s="2" t="s">
        <v>94</v>
      </c>
      <c r="B80" s="1" t="s">
        <v>13</v>
      </c>
    </row>
    <row r="81" spans="1:2" x14ac:dyDescent="0.2">
      <c r="A81" s="2" t="s">
        <v>284</v>
      </c>
      <c r="B81" s="1" t="s">
        <v>5</v>
      </c>
    </row>
  </sheetData>
  <mergeCells count="3">
    <mergeCell ref="B1:B3"/>
    <mergeCell ref="B26:B27"/>
    <mergeCell ref="B32:B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AF65B-3F93-6E4C-8E51-704B1F00F89C}">
  <dimension ref="A1:EA143"/>
  <sheetViews>
    <sheetView zoomScale="75" zoomScaleNormal="90" workbookViewId="0">
      <selection activeCell="AO23" sqref="AO23"/>
    </sheetView>
  </sheetViews>
  <sheetFormatPr baseColWidth="10" defaultRowHeight="16" x14ac:dyDescent="0.2"/>
  <cols>
    <col min="1" max="1" width="17" customWidth="1"/>
    <col min="2" max="2" width="10.1640625" bestFit="1" customWidth="1"/>
    <col min="3" max="3" width="15" bestFit="1" customWidth="1"/>
    <col min="4" max="4" width="12.5" customWidth="1"/>
    <col min="5" max="5" width="9" bestFit="1" customWidth="1"/>
    <col min="6" max="6" width="8.6640625" bestFit="1" customWidth="1"/>
    <col min="9" max="9" width="12.1640625" customWidth="1"/>
    <col min="10" max="10" width="10" customWidth="1"/>
    <col min="11" max="11" width="9.5" customWidth="1"/>
    <col min="12" max="13" width="10.83203125" customWidth="1"/>
    <col min="14" max="14" width="11" customWidth="1"/>
    <col min="15" max="15" width="11.83203125" customWidth="1"/>
    <col min="16" max="16" width="8.1640625" customWidth="1"/>
    <col min="20" max="20" width="12.83203125" customWidth="1"/>
    <col min="21" max="21" width="8" customWidth="1"/>
    <col min="22" max="24" width="10.83203125" customWidth="1"/>
    <col min="25" max="26" width="9.1640625" customWidth="1"/>
    <col min="27" max="27" width="15.1640625" bestFit="1" customWidth="1"/>
    <col min="28" max="28" width="11" customWidth="1"/>
    <col min="29" max="29" width="12.5" customWidth="1"/>
    <col min="30" max="30" width="8.83203125" customWidth="1"/>
    <col min="31" max="31" width="7.83203125" customWidth="1"/>
    <col min="32" max="34" width="10.83203125" customWidth="1"/>
    <col min="35" max="35" width="8" customWidth="1"/>
    <col min="36" max="36" width="7.6640625" customWidth="1"/>
    <col min="37" max="37" width="11" customWidth="1"/>
    <col min="38" max="42" width="10.83203125" customWidth="1"/>
    <col min="43" max="43" width="13.1640625" bestFit="1" customWidth="1"/>
    <col min="44" max="44" width="15.83203125" customWidth="1"/>
    <col min="45" max="55" width="10.83203125" customWidth="1"/>
    <col min="56" max="56" width="11.83203125" customWidth="1"/>
    <col min="57" max="57" width="10.83203125" customWidth="1"/>
    <col min="58" max="58" width="14" customWidth="1"/>
    <col min="59" max="69" width="10.83203125" customWidth="1"/>
    <col min="70" max="70" width="4.1640625" customWidth="1"/>
    <col min="71" max="75" width="10.83203125" customWidth="1"/>
    <col min="76" max="76" width="4.33203125" customWidth="1"/>
    <col min="82" max="82" width="5" customWidth="1"/>
    <col min="88" max="88" width="4.6640625" customWidth="1"/>
    <col min="94" max="94" width="4.5" customWidth="1"/>
    <col min="100" max="100" width="4.83203125" customWidth="1"/>
    <col min="106" max="106" width="4.6640625" customWidth="1"/>
    <col min="112" max="112" width="4.83203125" customWidth="1"/>
    <col min="118" max="118" width="4.5" customWidth="1"/>
    <col min="124" max="124" width="4.83203125" customWidth="1"/>
  </cols>
  <sheetData>
    <row r="1" spans="1:58" ht="16" customHeight="1" x14ac:dyDescent="0.2">
      <c r="A1" s="108"/>
      <c r="B1" s="106" t="s">
        <v>95</v>
      </c>
      <c r="C1" s="106"/>
      <c r="D1" s="106"/>
      <c r="E1" s="106"/>
      <c r="F1" s="106"/>
      <c r="G1" s="106"/>
      <c r="H1" s="106"/>
      <c r="I1" s="107" t="s">
        <v>96</v>
      </c>
      <c r="J1" s="107"/>
      <c r="K1" s="106" t="s">
        <v>97</v>
      </c>
      <c r="L1" s="106"/>
      <c r="M1" s="106"/>
      <c r="N1" s="106"/>
      <c r="O1" s="105" t="s">
        <v>98</v>
      </c>
      <c r="P1" s="106" t="s">
        <v>99</v>
      </c>
      <c r="Q1" s="106"/>
      <c r="R1" s="106"/>
      <c r="S1" s="106"/>
      <c r="T1" s="105" t="s">
        <v>211</v>
      </c>
      <c r="U1" s="105"/>
      <c r="V1" s="106" t="s">
        <v>100</v>
      </c>
      <c r="W1" s="106"/>
      <c r="X1" s="106"/>
      <c r="Y1" s="106"/>
      <c r="Z1" s="109" t="s">
        <v>210</v>
      </c>
      <c r="AA1" s="109"/>
      <c r="AB1" s="109"/>
      <c r="AC1" s="109"/>
      <c r="AD1" s="109"/>
      <c r="AE1" s="106" t="s">
        <v>101</v>
      </c>
      <c r="AF1" s="106"/>
      <c r="AG1" s="106"/>
      <c r="AH1" s="106"/>
      <c r="AS1" s="104" t="s">
        <v>102</v>
      </c>
      <c r="AT1" s="104"/>
      <c r="AU1" s="104"/>
      <c r="AV1" s="104"/>
      <c r="AW1" s="104"/>
      <c r="AX1" s="104"/>
      <c r="AY1" s="104"/>
      <c r="AZ1" s="104"/>
      <c r="BA1" s="104"/>
      <c r="BB1" s="104"/>
      <c r="BC1" s="104"/>
    </row>
    <row r="2" spans="1:58" ht="16" customHeight="1" x14ac:dyDescent="0.2">
      <c r="A2" s="108"/>
      <c r="B2" s="106"/>
      <c r="C2" s="106"/>
      <c r="D2" s="106"/>
      <c r="E2" s="106"/>
      <c r="F2" s="106"/>
      <c r="G2" s="106"/>
      <c r="H2" s="106"/>
      <c r="I2" s="107"/>
      <c r="J2" s="107"/>
      <c r="K2" s="106"/>
      <c r="L2" s="106"/>
      <c r="M2" s="106"/>
      <c r="N2" s="106"/>
      <c r="O2" s="105"/>
      <c r="P2" s="106"/>
      <c r="Q2" s="106"/>
      <c r="R2" s="106"/>
      <c r="S2" s="106"/>
      <c r="T2" s="105"/>
      <c r="U2" s="105"/>
      <c r="V2" s="106"/>
      <c r="W2" s="106"/>
      <c r="X2" s="106"/>
      <c r="Y2" s="106"/>
      <c r="Z2" s="109"/>
      <c r="AA2" s="109"/>
      <c r="AB2" s="109"/>
      <c r="AC2" s="109"/>
      <c r="AD2" s="109"/>
      <c r="AE2" s="106"/>
      <c r="AF2" s="106"/>
      <c r="AG2" s="106"/>
      <c r="AH2" s="106"/>
      <c r="AS2" s="104"/>
      <c r="AT2" s="104"/>
      <c r="AU2" s="104"/>
      <c r="AV2" s="104"/>
      <c r="AW2" s="104"/>
      <c r="AX2" s="104"/>
      <c r="AY2" s="104"/>
      <c r="AZ2" s="104"/>
      <c r="BA2" s="104"/>
      <c r="BB2" s="104"/>
      <c r="BC2" s="104"/>
      <c r="BD2" s="4"/>
      <c r="BE2" s="4"/>
    </row>
    <row r="3" spans="1:58" ht="16" customHeight="1" x14ac:dyDescent="0.2">
      <c r="A3" s="108"/>
      <c r="B3" s="106"/>
      <c r="C3" s="106"/>
      <c r="D3" s="106"/>
      <c r="E3" s="106"/>
      <c r="F3" s="106"/>
      <c r="G3" s="106"/>
      <c r="H3" s="106"/>
      <c r="I3" s="107"/>
      <c r="J3" s="107"/>
      <c r="K3" s="106"/>
      <c r="L3" s="106"/>
      <c r="M3" s="106"/>
      <c r="N3" s="106"/>
      <c r="O3" s="105"/>
      <c r="P3" s="106"/>
      <c r="Q3" s="106"/>
      <c r="R3" s="106"/>
      <c r="S3" s="106"/>
      <c r="T3" s="105"/>
      <c r="U3" s="105"/>
      <c r="V3" s="106"/>
      <c r="W3" s="106"/>
      <c r="X3" s="106"/>
      <c r="Y3" s="106"/>
      <c r="Z3" s="109"/>
      <c r="AA3" s="109"/>
      <c r="AB3" s="109"/>
      <c r="AC3" s="109"/>
      <c r="AD3" s="109"/>
      <c r="AE3" s="106"/>
      <c r="AF3" s="106"/>
      <c r="AG3" s="106"/>
      <c r="AH3" s="106"/>
      <c r="AS3" s="5">
        <v>14</v>
      </c>
      <c r="AT3" s="5">
        <v>15</v>
      </c>
      <c r="AU3" s="5">
        <v>16</v>
      </c>
      <c r="AV3" s="5">
        <v>17</v>
      </c>
      <c r="AW3" s="5">
        <v>18</v>
      </c>
      <c r="AX3" s="5">
        <v>19</v>
      </c>
      <c r="AY3" s="5">
        <v>20</v>
      </c>
      <c r="AZ3" s="5">
        <v>21</v>
      </c>
      <c r="BA3" s="5">
        <v>22</v>
      </c>
      <c r="BB3" s="5">
        <v>23</v>
      </c>
      <c r="BC3" s="5">
        <v>24</v>
      </c>
      <c r="BD3" s="5"/>
      <c r="BE3" s="5"/>
      <c r="BF3" s="5"/>
    </row>
    <row r="4" spans="1:58" ht="68" x14ac:dyDescent="0.2">
      <c r="A4" s="6" t="s">
        <v>103</v>
      </c>
      <c r="B4" s="7" t="s">
        <v>104</v>
      </c>
      <c r="C4" s="7" t="s">
        <v>105</v>
      </c>
      <c r="D4" s="7" t="s">
        <v>106</v>
      </c>
      <c r="E4" s="7" t="s">
        <v>107</v>
      </c>
      <c r="F4" s="7" t="s">
        <v>108</v>
      </c>
      <c r="G4" s="7" t="s">
        <v>109</v>
      </c>
      <c r="H4" s="7" t="s">
        <v>331</v>
      </c>
      <c r="I4" s="4"/>
      <c r="J4" s="6" t="s">
        <v>110</v>
      </c>
      <c r="K4" s="6" t="s">
        <v>3</v>
      </c>
      <c r="L4" s="6" t="s">
        <v>2</v>
      </c>
      <c r="M4" s="6" t="s">
        <v>111</v>
      </c>
      <c r="N4" s="6" t="s">
        <v>112</v>
      </c>
      <c r="O4" s="4"/>
      <c r="P4" s="6" t="s">
        <v>3</v>
      </c>
      <c r="Q4" s="6" t="s">
        <v>2</v>
      </c>
      <c r="R4" s="6" t="s">
        <v>111</v>
      </c>
      <c r="S4" s="6" t="s">
        <v>112</v>
      </c>
      <c r="T4" s="8" t="s">
        <v>288</v>
      </c>
      <c r="U4" s="4"/>
      <c r="V4" s="6" t="s">
        <v>111</v>
      </c>
      <c r="W4" s="6" t="s">
        <v>112</v>
      </c>
      <c r="X4" s="6" t="s">
        <v>113</v>
      </c>
      <c r="Y4" s="6" t="s">
        <v>2</v>
      </c>
      <c r="Z4" s="6" t="s">
        <v>114</v>
      </c>
      <c r="AA4" s="6" t="s">
        <v>294</v>
      </c>
      <c r="AB4" s="7" t="s">
        <v>290</v>
      </c>
      <c r="AC4" s="79" t="s">
        <v>287</v>
      </c>
      <c r="AD4" s="100"/>
      <c r="AE4" s="6" t="s">
        <v>3</v>
      </c>
      <c r="AF4" s="6" t="s">
        <v>2</v>
      </c>
      <c r="AG4" s="6" t="s">
        <v>111</v>
      </c>
      <c r="AH4" s="6" t="s">
        <v>112</v>
      </c>
      <c r="AJ4" s="9" t="s">
        <v>208</v>
      </c>
      <c r="AM4" s="104" t="s">
        <v>115</v>
      </c>
      <c r="AN4" s="104"/>
      <c r="AO4" s="104"/>
      <c r="AQ4" s="10" t="s">
        <v>103</v>
      </c>
      <c r="AR4" s="7" t="s">
        <v>116</v>
      </c>
      <c r="AS4" s="104" t="s">
        <v>117</v>
      </c>
      <c r="AT4" s="104"/>
      <c r="AU4" s="104"/>
      <c r="AV4" s="104"/>
      <c r="AW4" s="104"/>
      <c r="AX4" s="104"/>
      <c r="AY4" s="104"/>
      <c r="AZ4" s="104"/>
      <c r="BA4" s="104"/>
      <c r="BB4" s="104"/>
      <c r="BC4" s="104"/>
    </row>
    <row r="5" spans="1:58" ht="17" customHeight="1" x14ac:dyDescent="0.2">
      <c r="A5" s="76" t="s">
        <v>118</v>
      </c>
      <c r="B5" s="11">
        <v>2426.2080000000001</v>
      </c>
      <c r="C5" s="12">
        <f t="shared" ref="C5:C67" si="0">((D5-11)*1000)/B5</f>
        <v>34.391115683403896</v>
      </c>
      <c r="D5" s="13">
        <v>94.44</v>
      </c>
      <c r="E5" s="13">
        <f t="shared" ref="E5:E67" si="1">B5/100</f>
        <v>24.262080000000001</v>
      </c>
      <c r="F5" s="12">
        <v>-112.51247865640001</v>
      </c>
      <c r="G5" s="12">
        <v>603.29175789759995</v>
      </c>
      <c r="H5" s="14">
        <v>-1.2115372042000001</v>
      </c>
      <c r="I5" s="4"/>
      <c r="J5" s="12">
        <f t="shared" ref="J5:J67" si="2">(B5*9.81)/1000</f>
        <v>23.801100480000002</v>
      </c>
      <c r="K5" s="12">
        <f t="shared" ref="K5:K67" si="3">(E5-((G5*J5)/1000))</f>
        <v>9.9030722515233887</v>
      </c>
      <c r="L5" s="12">
        <v>46.951047967800001</v>
      </c>
      <c r="M5" s="12">
        <v>430.99502616429999</v>
      </c>
      <c r="N5" s="12">
        <v>-139.71530775369999</v>
      </c>
      <c r="O5" s="4"/>
      <c r="P5" s="15">
        <v>7.5</v>
      </c>
      <c r="Q5" s="14">
        <v>32.0005479955</v>
      </c>
      <c r="R5" s="12">
        <v>371.82019916450002</v>
      </c>
      <c r="S5" s="12">
        <v>-145.68316004510001</v>
      </c>
      <c r="T5" s="12">
        <f>(100*0.8*(N5-S5))</f>
        <v>477.42818331200169</v>
      </c>
      <c r="U5" s="4"/>
      <c r="V5" s="1">
        <v>713.55</v>
      </c>
      <c r="W5" s="1">
        <v>-227.92</v>
      </c>
      <c r="X5" s="14">
        <v>-1.4818536</v>
      </c>
      <c r="Y5" s="1">
        <v>28</v>
      </c>
      <c r="Z5" s="1">
        <f>Y5-5</f>
        <v>23</v>
      </c>
      <c r="AA5" s="34">
        <f t="shared" ref="AA5:AA36" si="4">(S5-W5)*1000</f>
        <v>82236.839954899973</v>
      </c>
      <c r="AB5" s="12">
        <v>384.17751118687505</v>
      </c>
      <c r="AC5" s="12">
        <v>12.166174251697772</v>
      </c>
      <c r="AD5" s="12"/>
      <c r="AE5" s="12">
        <v>24.483275247504</v>
      </c>
      <c r="AF5" s="12">
        <v>53.1</v>
      </c>
      <c r="AG5" s="12">
        <v>814.99</v>
      </c>
      <c r="AH5" s="12">
        <v>-205.92</v>
      </c>
      <c r="AJ5" s="20">
        <f t="shared" ref="AJ5:AJ36" si="5">T5-AC5</f>
        <v>465.26200906030391</v>
      </c>
      <c r="AL5" s="6" t="s">
        <v>114</v>
      </c>
      <c r="AM5" s="6" t="s">
        <v>111</v>
      </c>
      <c r="AN5" s="6" t="s">
        <v>112</v>
      </c>
      <c r="AO5" s="6" t="s">
        <v>113</v>
      </c>
      <c r="AQ5" s="17" t="s">
        <v>118</v>
      </c>
      <c r="AR5" s="18">
        <v>24.262080000000001</v>
      </c>
      <c r="AS5" s="19">
        <f t="shared" ref="AS5:AS35" si="6">(($AM$6*J5)/1000)+P5</f>
        <v>27.212071417536006</v>
      </c>
      <c r="AT5" s="19">
        <f t="shared" ref="AT5:AT35" si="7">(($AM$7*J5)/1000)+P5</f>
        <v>26.9897691390528</v>
      </c>
      <c r="AU5" s="19">
        <f t="shared" ref="AU5:AU35" si="8">(($AM$8*J5)/1000)+P5</f>
        <v>26.755804321334402</v>
      </c>
      <c r="AV5" s="19">
        <f t="shared" ref="AV5:AV35" si="9">(($AM$9*J5)/1000)+P5</f>
        <v>26.508034865337603</v>
      </c>
      <c r="AW5" s="19">
        <f t="shared" ref="AW5:AW35" si="10">(($AM$10*J5)/1000)+P5</f>
        <v>26.243842650009604</v>
      </c>
      <c r="AX5" s="19">
        <f t="shared" ref="AX5:AX35" si="11">(($AM$11*J5)/1000)+P5</f>
        <v>25.959657510278404</v>
      </c>
      <c r="AY5" s="19">
        <f t="shared" ref="AY5:AY35" si="12">(($AM$12*J5)/1000)+P5</f>
        <v>25.650957237052801</v>
      </c>
      <c r="AZ5" s="19">
        <f t="shared" ref="AZ5:AZ35" si="13">(($AM$13*J5)/1000)+P5</f>
        <v>25.310363489184002</v>
      </c>
      <c r="BA5" s="19">
        <f t="shared" ref="BA5:BA35" si="14">(($AM$14*J5)/1000)+P5</f>
        <v>24.927403782460804</v>
      </c>
      <c r="BB5" s="20">
        <f t="shared" ref="BB5:BB35" si="15">(($AM$15*J5)/1000)+P5</f>
        <v>24.483275247504</v>
      </c>
      <c r="BC5" s="19">
        <f t="shared" ref="BC5:BC35" si="16">(($AM$16*J5)/1000)+P5</f>
        <v>23.9434662886176</v>
      </c>
      <c r="BE5" s="19"/>
    </row>
    <row r="6" spans="1:58" x14ac:dyDescent="0.2">
      <c r="A6" s="2" t="s">
        <v>119</v>
      </c>
      <c r="B6" s="11">
        <v>2225.04</v>
      </c>
      <c r="C6" s="12">
        <f t="shared" si="0"/>
        <v>34.516233416028477</v>
      </c>
      <c r="D6" s="22">
        <v>87.8</v>
      </c>
      <c r="E6" s="13">
        <f t="shared" si="1"/>
        <v>22.250399999999999</v>
      </c>
      <c r="F6" s="12">
        <v>-120.83</v>
      </c>
      <c r="G6" s="12">
        <v>599.20000000000005</v>
      </c>
      <c r="H6" s="14">
        <v>-1.2251946899999999</v>
      </c>
      <c r="I6" s="4"/>
      <c r="J6" s="12">
        <f t="shared" si="2"/>
        <v>21.827642400000002</v>
      </c>
      <c r="K6" s="12">
        <f t="shared" si="3"/>
        <v>9.1712766739199978</v>
      </c>
      <c r="L6" s="12">
        <v>42.4</v>
      </c>
      <c r="M6" s="12">
        <v>428.84</v>
      </c>
      <c r="N6" s="12">
        <v>-145.84</v>
      </c>
      <c r="O6" s="4"/>
      <c r="P6" s="15">
        <v>7.5</v>
      </c>
      <c r="Q6" s="16">
        <v>31.92</v>
      </c>
      <c r="R6" s="12">
        <v>385.69</v>
      </c>
      <c r="S6" s="12">
        <v>-149.85</v>
      </c>
      <c r="T6" s="12">
        <f t="shared" ref="T6:T54" si="17">(100*0.8*(N6-S6))</f>
        <v>320.79999999999927</v>
      </c>
      <c r="U6" s="4"/>
      <c r="V6" s="1">
        <v>690.87</v>
      </c>
      <c r="W6" s="1">
        <v>-222.19</v>
      </c>
      <c r="X6" s="14">
        <v>-1.4628285999999999</v>
      </c>
      <c r="Y6" s="1">
        <v>29</v>
      </c>
      <c r="Z6" s="1">
        <f t="shared" ref="Z6:Z54" si="18">Y6-5</f>
        <v>24</v>
      </c>
      <c r="AA6" s="34">
        <f t="shared" si="4"/>
        <v>72340</v>
      </c>
      <c r="AB6" s="12">
        <v>193.24721788312499</v>
      </c>
      <c r="AC6" s="12">
        <v>19.805625259402355</v>
      </c>
      <c r="AD6" s="12"/>
      <c r="AE6" s="12">
        <v>22.580063304888</v>
      </c>
      <c r="AF6" s="12">
        <v>53.747743438000001</v>
      </c>
      <c r="AG6" s="12">
        <v>793.1902292561</v>
      </c>
      <c r="AH6" s="12">
        <v>-202.07184770180001</v>
      </c>
      <c r="AJ6" s="19">
        <f t="shared" si="5"/>
        <v>300.99437474059692</v>
      </c>
      <c r="AL6">
        <v>14</v>
      </c>
      <c r="AM6" s="19">
        <v>828.2</v>
      </c>
      <c r="AN6" s="1">
        <v>-261.58</v>
      </c>
      <c r="AO6" s="1">
        <v>-1.59514529</v>
      </c>
      <c r="AQ6" s="23" t="s">
        <v>119</v>
      </c>
      <c r="AR6" s="18">
        <v>22.250399999999999</v>
      </c>
      <c r="AS6" s="19">
        <f t="shared" si="6"/>
        <v>25.577653435680006</v>
      </c>
      <c r="AT6" s="19">
        <f t="shared" si="7"/>
        <v>25.373783255664002</v>
      </c>
      <c r="AU6" s="19">
        <f t="shared" si="8"/>
        <v>25.159217530871999</v>
      </c>
      <c r="AV6" s="19">
        <f t="shared" si="9"/>
        <v>24.931991773488001</v>
      </c>
      <c r="AW6" s="19">
        <f t="shared" si="10"/>
        <v>24.689704942848003</v>
      </c>
      <c r="AX6" s="19">
        <f t="shared" si="11"/>
        <v>24.429082892592003</v>
      </c>
      <c r="AY6" s="19">
        <f t="shared" si="12"/>
        <v>24.145978370664</v>
      </c>
      <c r="AZ6" s="19">
        <f t="shared" si="13"/>
        <v>23.83362480792</v>
      </c>
      <c r="BA6" s="19">
        <f t="shared" si="14"/>
        <v>23.482418041704001</v>
      </c>
      <c r="BB6" s="19">
        <f t="shared" si="15"/>
        <v>23.075114234520001</v>
      </c>
      <c r="BC6" s="20">
        <f t="shared" si="16"/>
        <v>22.580063304888</v>
      </c>
      <c r="BE6" s="19"/>
    </row>
    <row r="7" spans="1:58" x14ac:dyDescent="0.2">
      <c r="A7" s="76" t="s">
        <v>120</v>
      </c>
      <c r="B7" s="11">
        <v>2523.7440000000001</v>
      </c>
      <c r="C7" s="12">
        <f t="shared" si="0"/>
        <v>33.061990439600848</v>
      </c>
      <c r="D7" s="13">
        <v>94.44</v>
      </c>
      <c r="E7" s="13">
        <f t="shared" si="1"/>
        <v>25.237440000000003</v>
      </c>
      <c r="F7" s="12">
        <v>-115.55</v>
      </c>
      <c r="G7" s="12">
        <v>620.16</v>
      </c>
      <c r="H7" s="14">
        <v>-1.2241561999999999</v>
      </c>
      <c r="I7" s="4"/>
      <c r="J7" s="12">
        <f t="shared" si="2"/>
        <v>24.757928640000003</v>
      </c>
      <c r="K7" s="12">
        <f t="shared" si="3"/>
        <v>9.8835629746176021</v>
      </c>
      <c r="L7" s="12">
        <v>46.33</v>
      </c>
      <c r="M7" s="12">
        <v>443.54</v>
      </c>
      <c r="N7" s="12">
        <v>-143.79</v>
      </c>
      <c r="O7" s="4"/>
      <c r="P7" s="15">
        <v>7.5</v>
      </c>
      <c r="Q7" s="16">
        <v>31.92</v>
      </c>
      <c r="R7" s="12">
        <v>384.62</v>
      </c>
      <c r="S7" s="12">
        <v>-149.53</v>
      </c>
      <c r="T7" s="12">
        <f t="shared" si="17"/>
        <v>459.20000000000073</v>
      </c>
      <c r="U7" s="4"/>
      <c r="V7" s="1">
        <v>732.21</v>
      </c>
      <c r="W7" s="1">
        <v>-232.86</v>
      </c>
      <c r="X7" s="14">
        <v>-1.4982538000000001</v>
      </c>
      <c r="Y7" s="1">
        <v>27</v>
      </c>
      <c r="Z7" s="1">
        <f t="shared" si="18"/>
        <v>22</v>
      </c>
      <c r="AA7" s="34">
        <f t="shared" si="4"/>
        <v>83330.000000000015</v>
      </c>
      <c r="AB7" s="12">
        <v>475.1658883125001</v>
      </c>
      <c r="AC7" s="12">
        <v>13.998794561857947</v>
      </c>
      <c r="AD7" s="12"/>
      <c r="AE7" s="12">
        <v>25.628002929494404</v>
      </c>
      <c r="AF7" s="12">
        <v>51.8004940844</v>
      </c>
      <c r="AG7" s="12">
        <v>830.9222195195</v>
      </c>
      <c r="AH7" s="12">
        <v>-209.8677543332</v>
      </c>
      <c r="AJ7" s="20">
        <f t="shared" si="5"/>
        <v>445.20120543814278</v>
      </c>
      <c r="AL7">
        <v>15</v>
      </c>
      <c r="AM7" s="19">
        <v>818.86</v>
      </c>
      <c r="AN7" s="1">
        <v>-258.52</v>
      </c>
      <c r="AO7" s="1">
        <v>-1.5847127577</v>
      </c>
      <c r="AQ7" s="17" t="s">
        <v>120</v>
      </c>
      <c r="AR7" s="18">
        <v>25.237440000000003</v>
      </c>
      <c r="AS7" s="19">
        <f t="shared" si="6"/>
        <v>28.004516499648005</v>
      </c>
      <c r="AT7" s="19">
        <f t="shared" si="7"/>
        <v>27.773277446150402</v>
      </c>
      <c r="AU7" s="19">
        <f t="shared" si="8"/>
        <v>27.529907007619201</v>
      </c>
      <c r="AV7" s="19">
        <f t="shared" si="9"/>
        <v>27.272176970476803</v>
      </c>
      <c r="AW7" s="19">
        <f t="shared" si="10"/>
        <v>26.997363962572802</v>
      </c>
      <c r="AX7" s="19">
        <f t="shared" si="11"/>
        <v>26.701754294611206</v>
      </c>
      <c r="AY7" s="19">
        <f t="shared" si="12"/>
        <v>26.380643960150401</v>
      </c>
      <c r="AZ7" s="19">
        <f t="shared" si="13"/>
        <v>26.026358001312001</v>
      </c>
      <c r="BA7" s="20">
        <f t="shared" si="14"/>
        <v>25.628002929494404</v>
      </c>
      <c r="BB7" s="19">
        <f t="shared" si="15"/>
        <v>25.166019981072001</v>
      </c>
      <c r="BC7" s="19">
        <f t="shared" si="16"/>
        <v>24.604510159516803</v>
      </c>
      <c r="BE7" s="19"/>
    </row>
    <row r="8" spans="1:58" x14ac:dyDescent="0.2">
      <c r="A8" s="76" t="s">
        <v>121</v>
      </c>
      <c r="B8" s="81">
        <v>2377.44</v>
      </c>
      <c r="C8" s="44">
        <f t="shared" si="0"/>
        <v>35.096574466653209</v>
      </c>
      <c r="D8" s="82">
        <v>94.44</v>
      </c>
      <c r="E8" s="82">
        <f t="shared" si="1"/>
        <v>23.7744</v>
      </c>
      <c r="F8" s="44">
        <v>-110.8548397845</v>
      </c>
      <c r="G8" s="44">
        <v>594.3017765948</v>
      </c>
      <c r="H8" s="83">
        <v>-1.2048016606</v>
      </c>
      <c r="I8" s="84"/>
      <c r="J8" s="44">
        <f t="shared" si="2"/>
        <v>23.322686400000002</v>
      </c>
      <c r="K8" s="44">
        <f t="shared" si="3"/>
        <v>9.9136860375166176</v>
      </c>
      <c r="L8" s="44">
        <v>47.2998132707</v>
      </c>
      <c r="M8" s="44">
        <v>424.47558448140001</v>
      </c>
      <c r="N8" s="44">
        <v>-137.5348894821</v>
      </c>
      <c r="O8" s="84"/>
      <c r="P8" s="85">
        <v>7.5</v>
      </c>
      <c r="Q8" s="86">
        <v>32.053084622199997</v>
      </c>
      <c r="R8" s="44">
        <v>365.1866932003</v>
      </c>
      <c r="S8" s="44">
        <v>-143.62774361679999</v>
      </c>
      <c r="T8" s="44">
        <f t="shared" si="17"/>
        <v>487.42833077599926</v>
      </c>
      <c r="U8" s="84"/>
      <c r="V8" s="54">
        <v>713.55</v>
      </c>
      <c r="W8" s="54">
        <v>-227.92</v>
      </c>
      <c r="X8" s="83">
        <v>-1.4818536</v>
      </c>
      <c r="Y8" s="54">
        <v>28</v>
      </c>
      <c r="Z8" s="54">
        <f t="shared" si="18"/>
        <v>23</v>
      </c>
      <c r="AA8" s="99">
        <f t="shared" si="4"/>
        <v>84292.256383200001</v>
      </c>
      <c r="AB8" s="44">
        <v>318.08625581249999</v>
      </c>
      <c r="AC8" s="44">
        <v>21.039036497658632</v>
      </c>
      <c r="AD8" s="44"/>
      <c r="AE8" s="44">
        <v>24.14190288072</v>
      </c>
      <c r="AF8" s="44">
        <v>52.724171904999999</v>
      </c>
      <c r="AG8" s="44">
        <v>813.67446158550001</v>
      </c>
      <c r="AH8" s="44">
        <v>-206.3402103441</v>
      </c>
      <c r="AI8" s="51"/>
      <c r="AJ8" s="20">
        <f t="shared" si="5"/>
        <v>466.38929427834063</v>
      </c>
      <c r="AL8">
        <v>16</v>
      </c>
      <c r="AM8" s="19">
        <v>809.03</v>
      </c>
      <c r="AN8" s="1">
        <v>-255.37</v>
      </c>
      <c r="AO8" s="1">
        <v>-1.573975578</v>
      </c>
      <c r="AQ8" s="17" t="s">
        <v>121</v>
      </c>
      <c r="AR8" s="18">
        <v>23.7744</v>
      </c>
      <c r="AS8" s="19">
        <f t="shared" si="6"/>
        <v>26.81584887648</v>
      </c>
      <c r="AT8" s="19">
        <f t="shared" si="7"/>
        <v>26.598014985504005</v>
      </c>
      <c r="AU8" s="19">
        <f t="shared" si="8"/>
        <v>26.368752978192003</v>
      </c>
      <c r="AV8" s="19">
        <f t="shared" si="9"/>
        <v>26.125963812767999</v>
      </c>
      <c r="AW8" s="19">
        <f t="shared" si="10"/>
        <v>25.867081993728004</v>
      </c>
      <c r="AX8" s="19">
        <f t="shared" si="11"/>
        <v>25.588609118112004</v>
      </c>
      <c r="AY8" s="19">
        <f t="shared" si="12"/>
        <v>25.286113875504</v>
      </c>
      <c r="AZ8" s="19">
        <f t="shared" si="13"/>
        <v>24.952366233119999</v>
      </c>
      <c r="BA8" s="19">
        <f t="shared" si="14"/>
        <v>24.577104208944</v>
      </c>
      <c r="BB8" s="20">
        <f t="shared" si="15"/>
        <v>24.14190288072</v>
      </c>
      <c r="BC8" s="19">
        <f t="shared" si="16"/>
        <v>23.612944353168</v>
      </c>
      <c r="BE8" s="19"/>
    </row>
    <row r="9" spans="1:58" x14ac:dyDescent="0.2">
      <c r="A9" s="2" t="s">
        <v>122</v>
      </c>
      <c r="B9" s="11">
        <v>2133.6</v>
      </c>
      <c r="C9" s="12">
        <f t="shared" si="0"/>
        <v>32.058492688413949</v>
      </c>
      <c r="D9" s="22">
        <v>79.400000000000006</v>
      </c>
      <c r="E9" s="13">
        <f t="shared" si="1"/>
        <v>21.335999999999999</v>
      </c>
      <c r="F9" s="12">
        <v>-137.93</v>
      </c>
      <c r="G9" s="12">
        <v>628.77</v>
      </c>
      <c r="H9" s="14">
        <v>-1.2689752700000001</v>
      </c>
      <c r="I9" s="4"/>
      <c r="J9" s="12">
        <f t="shared" si="2"/>
        <v>20.930616000000001</v>
      </c>
      <c r="K9" s="12">
        <f t="shared" si="3"/>
        <v>8.1754565776799986</v>
      </c>
      <c r="L9" s="12">
        <v>35.79</v>
      </c>
      <c r="M9" s="12">
        <v>452.59</v>
      </c>
      <c r="N9" s="12">
        <v>-161.68</v>
      </c>
      <c r="O9" s="4"/>
      <c r="P9" s="15">
        <v>7.5</v>
      </c>
      <c r="Q9" s="16">
        <v>31.78</v>
      </c>
      <c r="R9" s="12">
        <v>433.1</v>
      </c>
      <c r="S9" s="12">
        <v>-163.19999999999999</v>
      </c>
      <c r="T9" s="12">
        <f t="shared" si="17"/>
        <v>121.59999999999854</v>
      </c>
      <c r="U9" s="4"/>
      <c r="V9" s="1">
        <v>690.87</v>
      </c>
      <c r="W9" s="1">
        <v>-222.19</v>
      </c>
      <c r="X9" s="14">
        <v>-1.4628285999999999</v>
      </c>
      <c r="Y9" s="1">
        <v>29</v>
      </c>
      <c r="Z9" s="1">
        <f t="shared" si="18"/>
        <v>24</v>
      </c>
      <c r="AA9" s="34">
        <f t="shared" si="4"/>
        <v>58990.000000000007</v>
      </c>
      <c r="AB9" s="12">
        <v>163.06829348906251</v>
      </c>
      <c r="AC9" s="12">
        <v>14.733246652767507</v>
      </c>
      <c r="AD9" s="12"/>
      <c r="AE9" s="12">
        <v>21.960334675920002</v>
      </c>
      <c r="AF9" s="12">
        <v>52.996888056800003</v>
      </c>
      <c r="AG9" s="12">
        <v>790.48085289669996</v>
      </c>
      <c r="AH9" s="12">
        <v>-202.85482908079999</v>
      </c>
      <c r="AJ9" s="19">
        <f t="shared" si="5"/>
        <v>106.86675334723104</v>
      </c>
      <c r="AL9">
        <v>17</v>
      </c>
      <c r="AM9" s="19">
        <v>798.62</v>
      </c>
      <c r="AN9" s="1">
        <v>-252.1</v>
      </c>
      <c r="AO9" s="1">
        <v>-1.5628782999999999</v>
      </c>
      <c r="AQ9" s="23" t="s">
        <v>122</v>
      </c>
      <c r="AR9" s="18">
        <v>21.335999999999999</v>
      </c>
      <c r="AS9" s="19">
        <f t="shared" si="6"/>
        <v>24.834736171200003</v>
      </c>
      <c r="AT9" s="19">
        <f t="shared" si="7"/>
        <v>24.639244217760002</v>
      </c>
      <c r="AU9" s="19">
        <f t="shared" si="8"/>
        <v>24.433496262479999</v>
      </c>
      <c r="AV9" s="19">
        <f t="shared" si="9"/>
        <v>24.215608549920002</v>
      </c>
      <c r="AW9" s="19">
        <f t="shared" si="10"/>
        <v>23.983278712320001</v>
      </c>
      <c r="AX9" s="19">
        <f t="shared" si="11"/>
        <v>23.73336715728</v>
      </c>
      <c r="AY9" s="19">
        <f t="shared" si="12"/>
        <v>23.461897067759999</v>
      </c>
      <c r="AZ9" s="19">
        <f t="shared" si="13"/>
        <v>23.162379952800002</v>
      </c>
      <c r="BA9" s="19">
        <f t="shared" si="14"/>
        <v>22.82560634136</v>
      </c>
      <c r="BB9" s="19">
        <f t="shared" si="15"/>
        <v>22.435041046799999</v>
      </c>
      <c r="BC9" s="20">
        <f t="shared" si="16"/>
        <v>21.960334675920002</v>
      </c>
      <c r="BE9" s="19"/>
    </row>
    <row r="10" spans="1:58" x14ac:dyDescent="0.2">
      <c r="A10" s="2" t="s">
        <v>123</v>
      </c>
      <c r="B10" s="11">
        <v>3185.1600000000003</v>
      </c>
      <c r="C10" s="12">
        <f t="shared" si="0"/>
        <v>31.08164111065064</v>
      </c>
      <c r="D10" s="22">
        <v>110</v>
      </c>
      <c r="E10" s="13">
        <f t="shared" si="1"/>
        <v>31.851600000000005</v>
      </c>
      <c r="F10" s="12">
        <v>-98.47</v>
      </c>
      <c r="G10" s="12">
        <v>646.82000000000005</v>
      </c>
      <c r="H10" s="14">
        <v>-1.2064440999999999</v>
      </c>
      <c r="I10" s="4"/>
      <c r="J10" s="12">
        <f t="shared" si="2"/>
        <v>31.246419600000003</v>
      </c>
      <c r="K10" s="12">
        <f t="shared" si="3"/>
        <v>11.640790874328001</v>
      </c>
      <c r="L10" s="12">
        <v>55.95</v>
      </c>
      <c r="M10" s="12">
        <v>459.58</v>
      </c>
      <c r="N10" s="12">
        <v>-134.15</v>
      </c>
      <c r="O10" s="4"/>
      <c r="P10" s="15">
        <v>7.5</v>
      </c>
      <c r="Q10" s="16">
        <v>32.04</v>
      </c>
      <c r="R10" s="12">
        <v>366.79</v>
      </c>
      <c r="S10" s="12">
        <v>-144.13</v>
      </c>
      <c r="T10" s="12">
        <f t="shared" si="17"/>
        <v>798.39999999999918</v>
      </c>
      <c r="U10" s="4"/>
      <c r="V10" s="1">
        <v>787.52</v>
      </c>
      <c r="W10" s="1">
        <v>-248.69</v>
      </c>
      <c r="X10" s="14">
        <v>-1.5513488</v>
      </c>
      <c r="Y10" s="1">
        <v>23</v>
      </c>
      <c r="Z10" s="1">
        <f t="shared" si="18"/>
        <v>18</v>
      </c>
      <c r="AA10" s="34">
        <f t="shared" si="4"/>
        <v>104560</v>
      </c>
      <c r="AB10" s="61">
        <v>1779.7122362250004</v>
      </c>
      <c r="AC10" s="12">
        <v>8.1810576088975075</v>
      </c>
      <c r="AD10" s="12"/>
      <c r="AE10" s="12">
        <v>32.107180363392004</v>
      </c>
      <c r="AF10" s="12">
        <v>49.12</v>
      </c>
      <c r="AG10" s="12">
        <v>886.07</v>
      </c>
      <c r="AH10" s="12">
        <v>-219.51</v>
      </c>
      <c r="AJ10" s="60">
        <f t="shared" si="5"/>
        <v>790.21894239110168</v>
      </c>
      <c r="AL10">
        <v>18</v>
      </c>
      <c r="AM10" s="19">
        <v>787.52</v>
      </c>
      <c r="AN10" s="1">
        <v>-248.69</v>
      </c>
      <c r="AO10" s="1">
        <v>-1.5513488</v>
      </c>
      <c r="AQ10" s="23" t="s">
        <v>123</v>
      </c>
      <c r="AR10" s="18">
        <v>31.851600000000005</v>
      </c>
      <c r="AS10" s="19">
        <f t="shared" si="6"/>
        <v>33.378284712720003</v>
      </c>
      <c r="AT10" s="19">
        <f t="shared" si="7"/>
        <v>33.086443153656006</v>
      </c>
      <c r="AU10" s="19">
        <f t="shared" si="8"/>
        <v>32.779290848987998</v>
      </c>
      <c r="AV10" s="19">
        <f t="shared" si="9"/>
        <v>32.454015620952006</v>
      </c>
      <c r="AW10" s="20">
        <f t="shared" si="10"/>
        <v>32.107180363392004</v>
      </c>
      <c r="AX10" s="19">
        <f t="shared" si="11"/>
        <v>31.734098113368002</v>
      </c>
      <c r="AY10" s="19">
        <f t="shared" si="12"/>
        <v>31.328832051156002</v>
      </c>
      <c r="AZ10" s="19">
        <f t="shared" si="13"/>
        <v>30.881695786680002</v>
      </c>
      <c r="BA10" s="19">
        <f t="shared" si="14"/>
        <v>30.378940895316003</v>
      </c>
      <c r="BB10" s="19">
        <f t="shared" si="15"/>
        <v>29.795882705579999</v>
      </c>
      <c r="BC10" s="19">
        <f t="shared" si="16"/>
        <v>29.087213909052004</v>
      </c>
      <c r="BE10" s="19"/>
    </row>
    <row r="11" spans="1:58" x14ac:dyDescent="0.2">
      <c r="A11" s="25" t="s">
        <v>124</v>
      </c>
      <c r="B11" s="11">
        <v>2361.5904</v>
      </c>
      <c r="C11" s="12">
        <f t="shared" si="0"/>
        <v>31.080749650743837</v>
      </c>
      <c r="D11" s="26">
        <v>84.4</v>
      </c>
      <c r="E11" s="13">
        <f t="shared" si="1"/>
        <v>23.615904</v>
      </c>
      <c r="F11" s="12">
        <v>-133.54</v>
      </c>
      <c r="G11" s="12">
        <v>643.20000000000005</v>
      </c>
      <c r="H11" s="14">
        <v>-1.2667196999999999</v>
      </c>
      <c r="I11" s="4"/>
      <c r="J11" s="12">
        <f t="shared" si="2"/>
        <v>23.167201824000003</v>
      </c>
      <c r="K11" s="12">
        <f t="shared" si="3"/>
        <v>8.7147597868031976</v>
      </c>
      <c r="L11" s="12">
        <v>38.81</v>
      </c>
      <c r="M11" s="12">
        <v>463.52</v>
      </c>
      <c r="N11" s="12">
        <v>-159.80000000000001</v>
      </c>
      <c r="O11" s="4"/>
      <c r="P11" s="15">
        <v>7.5</v>
      </c>
      <c r="Q11" s="16">
        <v>31.79</v>
      </c>
      <c r="R11" s="12">
        <v>431.7</v>
      </c>
      <c r="S11" s="12">
        <v>-162.51</v>
      </c>
      <c r="T11" s="12">
        <f t="shared" si="17"/>
        <v>216.79999999999836</v>
      </c>
      <c r="U11" s="4"/>
      <c r="V11" s="1">
        <v>713.55</v>
      </c>
      <c r="W11" s="1">
        <v>-227.92</v>
      </c>
      <c r="X11" s="14">
        <v>-1.4818536</v>
      </c>
      <c r="Y11" s="1">
        <v>28</v>
      </c>
      <c r="Z11" s="1">
        <f t="shared" si="18"/>
        <v>23</v>
      </c>
      <c r="AA11" s="34">
        <f t="shared" si="4"/>
        <v>65410</v>
      </c>
      <c r="AB11" s="12">
        <v>244.16065376718757</v>
      </c>
      <c r="AC11" s="12">
        <v>16.130476166202325</v>
      </c>
      <c r="AD11" s="12"/>
      <c r="AE11" s="12">
        <v>24.0309568615152</v>
      </c>
      <c r="AF11" s="12">
        <v>52.604382517799998</v>
      </c>
      <c r="AG11" s="12">
        <v>813.25016121980002</v>
      </c>
      <c r="AH11" s="12">
        <v>-206.4742078724</v>
      </c>
      <c r="AJ11" s="19">
        <f t="shared" si="5"/>
        <v>200.66952383379603</v>
      </c>
      <c r="AL11">
        <v>19</v>
      </c>
      <c r="AM11" s="19">
        <v>775.58</v>
      </c>
      <c r="AN11" s="1">
        <v>-245.11</v>
      </c>
      <c r="AO11" s="1">
        <v>-1.53929</v>
      </c>
      <c r="AQ11" s="27" t="s">
        <v>124</v>
      </c>
      <c r="AR11" s="18">
        <v>23.615904</v>
      </c>
      <c r="AS11" s="19">
        <f t="shared" si="6"/>
        <v>26.687076550636803</v>
      </c>
      <c r="AT11" s="19">
        <f t="shared" si="7"/>
        <v>26.470694885600643</v>
      </c>
      <c r="AU11" s="19">
        <f t="shared" si="8"/>
        <v>26.242961291670724</v>
      </c>
      <c r="AV11" s="19">
        <f t="shared" si="9"/>
        <v>26.001790720682884</v>
      </c>
      <c r="AW11" s="19">
        <f t="shared" si="10"/>
        <v>25.744634780436481</v>
      </c>
      <c r="AX11" s="19">
        <f t="shared" si="11"/>
        <v>25.468018390657921</v>
      </c>
      <c r="AY11" s="19">
        <f t="shared" si="12"/>
        <v>25.167539783000645</v>
      </c>
      <c r="AZ11" s="19">
        <f t="shared" si="13"/>
        <v>24.8360171248992</v>
      </c>
      <c r="BA11" s="19">
        <f t="shared" si="14"/>
        <v>24.46325684755104</v>
      </c>
      <c r="BB11" s="20">
        <f t="shared" si="15"/>
        <v>24.0309568615152</v>
      </c>
      <c r="BC11" s="19">
        <f t="shared" si="16"/>
        <v>23.505524724146884</v>
      </c>
      <c r="BE11" s="19"/>
    </row>
    <row r="12" spans="1:58" x14ac:dyDescent="0.2">
      <c r="A12" s="21" t="s">
        <v>125</v>
      </c>
      <c r="B12" s="11">
        <v>2560.3200000000002</v>
      </c>
      <c r="C12" s="12">
        <f t="shared" si="0"/>
        <v>31.050806149231345</v>
      </c>
      <c r="D12" s="22">
        <v>90.5</v>
      </c>
      <c r="E12" s="13">
        <f t="shared" si="1"/>
        <v>25.603200000000001</v>
      </c>
      <c r="F12" s="12">
        <v>-125.28</v>
      </c>
      <c r="G12" s="98">
        <v>644.67999999999995</v>
      </c>
      <c r="H12" s="14">
        <v>-1.25233046</v>
      </c>
      <c r="I12" s="4"/>
      <c r="J12" s="12">
        <f t="shared" si="2"/>
        <v>25.116739200000005</v>
      </c>
      <c r="K12" s="12">
        <f t="shared" si="3"/>
        <v>9.4109405725439998</v>
      </c>
      <c r="L12" s="12">
        <v>42.84</v>
      </c>
      <c r="M12" s="12">
        <v>463.39</v>
      </c>
      <c r="N12" s="12">
        <v>-153.78</v>
      </c>
      <c r="O12" s="4"/>
      <c r="P12" s="15">
        <v>7.5</v>
      </c>
      <c r="Q12" s="16">
        <v>31.82</v>
      </c>
      <c r="R12" s="12">
        <v>414.94</v>
      </c>
      <c r="S12" s="12">
        <v>-158.13</v>
      </c>
      <c r="T12" s="12">
        <f t="shared" si="17"/>
        <v>347.99999999999955</v>
      </c>
      <c r="U12" s="4"/>
      <c r="V12" s="1">
        <v>732.21</v>
      </c>
      <c r="W12" s="1">
        <v>-232.86</v>
      </c>
      <c r="X12" s="14">
        <v>-1.4982538000000001</v>
      </c>
      <c r="Y12" s="1">
        <v>27</v>
      </c>
      <c r="Z12" s="1">
        <f t="shared" si="18"/>
        <v>22</v>
      </c>
      <c r="AA12" s="34">
        <f t="shared" si="4"/>
        <v>74730.000000000015</v>
      </c>
      <c r="AB12" s="12">
        <v>378.16921524375005</v>
      </c>
      <c r="AC12" s="12">
        <v>15.991397546003377</v>
      </c>
      <c r="AD12" s="12"/>
      <c r="AE12" s="12">
        <v>25.890727609632005</v>
      </c>
      <c r="AF12" s="12">
        <v>52.067439612699999</v>
      </c>
      <c r="AG12" s="12">
        <v>831.8536720395</v>
      </c>
      <c r="AH12" s="12">
        <v>-209.55141529459999</v>
      </c>
      <c r="AJ12" s="20">
        <f t="shared" si="5"/>
        <v>332.00860245399616</v>
      </c>
      <c r="AL12">
        <v>20</v>
      </c>
      <c r="AM12" s="19">
        <v>762.61</v>
      </c>
      <c r="AN12" s="1">
        <v>-241.33</v>
      </c>
      <c r="AO12" s="1">
        <v>-1.5265264000000001</v>
      </c>
      <c r="AQ12" s="23" t="s">
        <v>125</v>
      </c>
      <c r="AR12" s="18">
        <v>25.603200000000001</v>
      </c>
      <c r="AS12" s="19">
        <f t="shared" si="6"/>
        <v>28.301683405440006</v>
      </c>
      <c r="AT12" s="19">
        <f t="shared" si="7"/>
        <v>28.067093061312004</v>
      </c>
      <c r="AU12" s="19">
        <f t="shared" si="8"/>
        <v>27.820195514976003</v>
      </c>
      <c r="AV12" s="19">
        <f t="shared" si="9"/>
        <v>27.558730259904006</v>
      </c>
      <c r="AW12" s="19">
        <f t="shared" si="10"/>
        <v>27.279934454784005</v>
      </c>
      <c r="AX12" s="19">
        <f t="shared" si="11"/>
        <v>26.980040588736006</v>
      </c>
      <c r="AY12" s="19">
        <f t="shared" si="12"/>
        <v>26.654276481312003</v>
      </c>
      <c r="AZ12" s="19">
        <f t="shared" si="13"/>
        <v>26.294855943360002</v>
      </c>
      <c r="BA12" s="20">
        <f t="shared" si="14"/>
        <v>25.890727609632005</v>
      </c>
      <c r="BB12" s="19">
        <f t="shared" si="15"/>
        <v>25.422049256160005</v>
      </c>
      <c r="BC12" s="19">
        <f t="shared" si="16"/>
        <v>24.852401611104003</v>
      </c>
      <c r="BE12" s="19"/>
    </row>
    <row r="13" spans="1:58" x14ac:dyDescent="0.2">
      <c r="A13" s="2" t="s">
        <v>126</v>
      </c>
      <c r="B13" s="11">
        <v>2537.46</v>
      </c>
      <c r="C13" s="12">
        <f t="shared" si="0"/>
        <v>30.897038771054518</v>
      </c>
      <c r="D13" s="22">
        <v>89.4</v>
      </c>
      <c r="E13" s="13">
        <f t="shared" si="1"/>
        <v>25.374600000000001</v>
      </c>
      <c r="F13" s="12">
        <v>-127.11</v>
      </c>
      <c r="G13" s="12">
        <v>646.41999999999996</v>
      </c>
      <c r="H13" s="14">
        <v>-1.2563998999999999</v>
      </c>
      <c r="I13" s="4"/>
      <c r="J13" s="12">
        <f t="shared" si="2"/>
        <v>24.892482600000005</v>
      </c>
      <c r="K13" s="12">
        <f t="shared" si="3"/>
        <v>9.2836013977079972</v>
      </c>
      <c r="L13" s="12">
        <v>42.06</v>
      </c>
      <c r="M13" s="12">
        <v>465.08</v>
      </c>
      <c r="N13" s="12">
        <v>-155.34</v>
      </c>
      <c r="O13" s="4"/>
      <c r="P13" s="15">
        <v>7.5</v>
      </c>
      <c r="Q13" s="16">
        <v>31.81</v>
      </c>
      <c r="R13" s="12">
        <v>419.52</v>
      </c>
      <c r="S13" s="12">
        <v>-159.37</v>
      </c>
      <c r="T13" s="12">
        <f t="shared" si="17"/>
        <v>322.40000000000009</v>
      </c>
      <c r="U13" s="4"/>
      <c r="V13" s="1">
        <v>732.21</v>
      </c>
      <c r="W13" s="1">
        <v>-232.86</v>
      </c>
      <c r="X13" s="14">
        <v>-1.4982538000000001</v>
      </c>
      <c r="Y13" s="1">
        <v>27</v>
      </c>
      <c r="Z13" s="1">
        <f t="shared" si="18"/>
        <v>22</v>
      </c>
      <c r="AA13" s="34">
        <f t="shared" si="4"/>
        <v>73490.000000000015</v>
      </c>
      <c r="AB13" s="12">
        <v>349.10948323125007</v>
      </c>
      <c r="AC13" s="12">
        <v>18.161414658550306</v>
      </c>
      <c r="AD13" s="12"/>
      <c r="AE13" s="12">
        <v>25.726524684546007</v>
      </c>
      <c r="AF13" s="12">
        <v>51.901156086100002</v>
      </c>
      <c r="AG13" s="12">
        <v>831.27367740809996</v>
      </c>
      <c r="AH13" s="12">
        <v>-209.748633173</v>
      </c>
      <c r="AJ13" s="19">
        <f t="shared" si="5"/>
        <v>304.23858534144978</v>
      </c>
      <c r="AL13">
        <v>21</v>
      </c>
      <c r="AM13" s="19">
        <v>748.3</v>
      </c>
      <c r="AN13" s="1">
        <v>-237.27</v>
      </c>
      <c r="AO13" s="1">
        <v>-1.5129908000000001</v>
      </c>
      <c r="AQ13" s="23" t="s">
        <v>126</v>
      </c>
      <c r="AR13" s="18">
        <v>25.374600000000001</v>
      </c>
      <c r="AS13" s="19">
        <f t="shared" si="6"/>
        <v>28.115954089320006</v>
      </c>
      <c r="AT13" s="19">
        <f t="shared" si="7"/>
        <v>27.883458301836004</v>
      </c>
      <c r="AU13" s="19">
        <f t="shared" si="8"/>
        <v>27.638765197878001</v>
      </c>
      <c r="AV13" s="19">
        <f t="shared" si="9"/>
        <v>27.379634454012006</v>
      </c>
      <c r="AW13" s="19">
        <f t="shared" si="10"/>
        <v>27.103327897152006</v>
      </c>
      <c r="AX13" s="19">
        <f t="shared" si="11"/>
        <v>26.806111654908005</v>
      </c>
      <c r="AY13" s="19">
        <f t="shared" si="12"/>
        <v>26.483256155586005</v>
      </c>
      <c r="AZ13" s="19">
        <f t="shared" si="13"/>
        <v>26.127044729580003</v>
      </c>
      <c r="BA13" s="20">
        <f t="shared" si="14"/>
        <v>25.726524684546007</v>
      </c>
      <c r="BB13" s="19">
        <f t="shared" si="15"/>
        <v>25.262030959230003</v>
      </c>
      <c r="BC13" s="19">
        <f t="shared" si="16"/>
        <v>24.697469453862002</v>
      </c>
      <c r="BE13" s="19"/>
    </row>
    <row r="14" spans="1:58" x14ac:dyDescent="0.2">
      <c r="A14" s="76" t="s">
        <v>127</v>
      </c>
      <c r="B14" s="11">
        <v>2654.808</v>
      </c>
      <c r="C14" s="12">
        <f t="shared" si="0"/>
        <v>30.887356072454203</v>
      </c>
      <c r="D14" s="28">
        <v>93</v>
      </c>
      <c r="E14" s="13">
        <f t="shared" si="1"/>
        <v>26.548079999999999</v>
      </c>
      <c r="F14" s="12">
        <v>-122.22</v>
      </c>
      <c r="G14" s="12">
        <v>647.23</v>
      </c>
      <c r="H14" s="14">
        <v>-1.247982036</v>
      </c>
      <c r="I14" s="4"/>
      <c r="J14" s="12">
        <f t="shared" si="2"/>
        <v>26.043666479999999</v>
      </c>
      <c r="K14" s="12">
        <f t="shared" si="3"/>
        <v>9.6918377441495984</v>
      </c>
      <c r="L14" s="12">
        <v>44.42</v>
      </c>
      <c r="M14" s="12">
        <v>464.74</v>
      </c>
      <c r="N14" s="12">
        <v>-151.80000000000001</v>
      </c>
      <c r="O14" s="4"/>
      <c r="P14" s="15">
        <v>7.5</v>
      </c>
      <c r="Q14" s="16">
        <v>31.83</v>
      </c>
      <c r="R14" s="12">
        <v>410.1</v>
      </c>
      <c r="S14" s="12">
        <v>-156.80000000000001</v>
      </c>
      <c r="T14" s="12">
        <f t="shared" si="17"/>
        <v>400</v>
      </c>
      <c r="U14" s="4"/>
      <c r="V14" s="1">
        <v>732.21</v>
      </c>
      <c r="W14" s="1">
        <v>-232.86</v>
      </c>
      <c r="X14" s="14">
        <v>-1.4982538000000001</v>
      </c>
      <c r="Y14" s="1">
        <v>27</v>
      </c>
      <c r="Z14" s="1">
        <f t="shared" si="18"/>
        <v>22</v>
      </c>
      <c r="AA14" s="34">
        <f t="shared" si="4"/>
        <v>76060</v>
      </c>
      <c r="AB14" s="12">
        <v>410.37053990625003</v>
      </c>
      <c r="AC14" s="12">
        <v>14.066409708100366</v>
      </c>
      <c r="AD14" s="12"/>
      <c r="AE14" s="12">
        <v>26.569433033320802</v>
      </c>
      <c r="AF14" s="12">
        <v>52.748793330799998</v>
      </c>
      <c r="AG14" s="12">
        <v>834.22249466920005</v>
      </c>
      <c r="AH14" s="12">
        <v>-208.7375296937</v>
      </c>
      <c r="AJ14" s="20">
        <f t="shared" si="5"/>
        <v>385.93359029189963</v>
      </c>
      <c r="AL14">
        <v>22</v>
      </c>
      <c r="AM14" s="19">
        <v>732.21</v>
      </c>
      <c r="AN14" s="1">
        <v>-232.86</v>
      </c>
      <c r="AO14" s="1">
        <v>-1.4982538000000001</v>
      </c>
      <c r="AQ14" s="17" t="s">
        <v>127</v>
      </c>
      <c r="AR14" s="18">
        <v>26.548079999999999</v>
      </c>
      <c r="AS14" s="19">
        <f t="shared" si="6"/>
        <v>29.069364578736</v>
      </c>
      <c r="AT14" s="19">
        <f t="shared" si="7"/>
        <v>28.8261167338128</v>
      </c>
      <c r="AU14" s="19">
        <f t="shared" si="8"/>
        <v>28.570107492314396</v>
      </c>
      <c r="AV14" s="19">
        <f t="shared" si="9"/>
        <v>28.2989929242576</v>
      </c>
      <c r="AW14" s="19">
        <f t="shared" si="10"/>
        <v>28.009908226329596</v>
      </c>
      <c r="AX14" s="19">
        <f t="shared" si="11"/>
        <v>27.6989468485584</v>
      </c>
      <c r="AY14" s="19">
        <f t="shared" si="12"/>
        <v>27.361160494312802</v>
      </c>
      <c r="AZ14" s="19">
        <f t="shared" si="13"/>
        <v>26.988475626983995</v>
      </c>
      <c r="BA14" s="20">
        <f t="shared" si="14"/>
        <v>26.569433033320802</v>
      </c>
      <c r="BB14" s="19">
        <f t="shared" si="15"/>
        <v>26.083458216804001</v>
      </c>
      <c r="BC14" s="19">
        <f t="shared" si="16"/>
        <v>25.492787861037598</v>
      </c>
      <c r="BE14" s="19"/>
    </row>
    <row r="15" spans="1:58" x14ac:dyDescent="0.2">
      <c r="A15" s="21" t="s">
        <v>128</v>
      </c>
      <c r="B15" s="11">
        <v>2575.56</v>
      </c>
      <c r="C15" s="12">
        <f t="shared" si="0"/>
        <v>30.867073568466665</v>
      </c>
      <c r="D15" s="22">
        <v>90.5</v>
      </c>
      <c r="E15" s="13">
        <f t="shared" si="1"/>
        <v>25.755600000000001</v>
      </c>
      <c r="F15" s="12">
        <v>-125.7</v>
      </c>
      <c r="G15" s="12">
        <v>647.13</v>
      </c>
      <c r="H15" s="14">
        <v>-1.25415933</v>
      </c>
      <c r="I15" s="4"/>
      <c r="J15" s="12">
        <f t="shared" si="2"/>
        <v>25.266243600000003</v>
      </c>
      <c r="K15" s="12">
        <f t="shared" si="3"/>
        <v>9.4050557791319989</v>
      </c>
      <c r="L15" s="12">
        <v>42.75</v>
      </c>
      <c r="M15" s="12">
        <v>465.28</v>
      </c>
      <c r="N15" s="12">
        <v>-154.37</v>
      </c>
      <c r="O15" s="4"/>
      <c r="P15" s="15">
        <v>7.5</v>
      </c>
      <c r="Q15" s="16">
        <v>31.81</v>
      </c>
      <c r="R15" s="12">
        <v>416.99</v>
      </c>
      <c r="S15" s="12">
        <v>-158.68</v>
      </c>
      <c r="T15" s="12">
        <f t="shared" si="17"/>
        <v>344.80000000000018</v>
      </c>
      <c r="U15" s="4"/>
      <c r="V15" s="1">
        <v>732.21</v>
      </c>
      <c r="W15" s="1">
        <v>-232.86</v>
      </c>
      <c r="X15" s="14">
        <v>-1.4982538000000001</v>
      </c>
      <c r="Y15" s="1">
        <v>27</v>
      </c>
      <c r="Z15" s="1">
        <f t="shared" si="18"/>
        <v>22</v>
      </c>
      <c r="AA15" s="34">
        <f t="shared" si="4"/>
        <v>74180</v>
      </c>
      <c r="AB15" s="12">
        <v>364.03204831875001</v>
      </c>
      <c r="AC15" s="12">
        <v>16.987088217166377</v>
      </c>
      <c r="AD15" s="12"/>
      <c r="AE15" s="12">
        <v>26.000196226356003</v>
      </c>
      <c r="AF15" s="12">
        <v>52.177637480999998</v>
      </c>
      <c r="AG15" s="12">
        <v>832.23763017809995</v>
      </c>
      <c r="AH15" s="12">
        <v>-209.42041205039999</v>
      </c>
      <c r="AJ15" s="20">
        <f t="shared" si="5"/>
        <v>327.81291178283379</v>
      </c>
      <c r="AL15">
        <v>23</v>
      </c>
      <c r="AM15" s="19">
        <v>713.55</v>
      </c>
      <c r="AN15" s="1">
        <v>-227.92</v>
      </c>
      <c r="AO15" s="1">
        <v>-1.4818536</v>
      </c>
      <c r="AQ15" s="23" t="s">
        <v>128</v>
      </c>
      <c r="AR15" s="18">
        <v>25.755600000000001</v>
      </c>
      <c r="AS15" s="19">
        <f t="shared" si="6"/>
        <v>28.425502949520002</v>
      </c>
      <c r="AT15" s="19">
        <f t="shared" si="7"/>
        <v>28.189516234296004</v>
      </c>
      <c r="AU15" s="19">
        <f t="shared" si="8"/>
        <v>27.941149059708</v>
      </c>
      <c r="AV15" s="19">
        <f t="shared" si="9"/>
        <v>27.678127463832002</v>
      </c>
      <c r="AW15" s="19">
        <f t="shared" si="10"/>
        <v>27.397672159872002</v>
      </c>
      <c r="AX15" s="19">
        <f t="shared" si="11"/>
        <v>27.095993211288</v>
      </c>
      <c r="AY15" s="19">
        <f t="shared" si="12"/>
        <v>26.768290031796003</v>
      </c>
      <c r="AZ15" s="19">
        <f t="shared" si="13"/>
        <v>26.40673008588</v>
      </c>
      <c r="BA15" s="20">
        <f t="shared" si="14"/>
        <v>26.000196226356003</v>
      </c>
      <c r="BB15" s="19">
        <f t="shared" si="15"/>
        <v>25.528728120780002</v>
      </c>
      <c r="BC15" s="19">
        <f t="shared" si="16"/>
        <v>24.955689715932003</v>
      </c>
      <c r="BE15" s="19"/>
    </row>
    <row r="16" spans="1:58" x14ac:dyDescent="0.2">
      <c r="A16" s="2" t="s">
        <v>129</v>
      </c>
      <c r="B16" s="11">
        <v>2734.9704000000002</v>
      </c>
      <c r="C16" s="12">
        <f t="shared" si="0"/>
        <v>30.713312290326797</v>
      </c>
      <c r="D16" s="22">
        <v>95</v>
      </c>
      <c r="E16" s="13">
        <f t="shared" si="1"/>
        <v>27.349704000000003</v>
      </c>
      <c r="F16" s="12">
        <v>-119.84</v>
      </c>
      <c r="G16" s="12">
        <v>649.66999999999996</v>
      </c>
      <c r="H16" s="14">
        <v>-1.2448454710000001</v>
      </c>
      <c r="I16" s="4"/>
      <c r="J16" s="12">
        <f t="shared" si="2"/>
        <v>26.830059624</v>
      </c>
      <c r="K16" s="12">
        <f t="shared" si="3"/>
        <v>9.9190191640759231</v>
      </c>
      <c r="L16" s="12">
        <v>45.67</v>
      </c>
      <c r="M16" s="12">
        <v>466.13</v>
      </c>
      <c r="N16" s="12">
        <v>-150.31</v>
      </c>
      <c r="O16" s="4"/>
      <c r="P16" s="15">
        <v>7.5</v>
      </c>
      <c r="Q16" s="16">
        <v>31.84</v>
      </c>
      <c r="R16" s="12">
        <v>406.64499999999998</v>
      </c>
      <c r="S16" s="12">
        <v>-155.84</v>
      </c>
      <c r="T16" s="12">
        <f t="shared" si="17"/>
        <v>442.40000000000009</v>
      </c>
      <c r="U16" s="4"/>
      <c r="V16" s="1">
        <v>748.3</v>
      </c>
      <c r="W16" s="1">
        <v>-237.27</v>
      </c>
      <c r="X16" s="14">
        <v>-1.5129908000000001</v>
      </c>
      <c r="Y16" s="1">
        <v>26</v>
      </c>
      <c r="Z16" s="1">
        <f t="shared" si="18"/>
        <v>21</v>
      </c>
      <c r="AA16" s="34">
        <f t="shared" si="4"/>
        <v>81430</v>
      </c>
      <c r="AB16" s="61">
        <v>582.45127731000002</v>
      </c>
      <c r="AC16" s="12">
        <v>12.562080476286711</v>
      </c>
      <c r="AD16" s="12"/>
      <c r="AE16" s="12">
        <v>27.576933616639199</v>
      </c>
      <c r="AF16" s="12">
        <v>51.407314375699997</v>
      </c>
      <c r="AG16" s="12">
        <v>847.71347724789996</v>
      </c>
      <c r="AH16" s="12">
        <v>-212.3319297303</v>
      </c>
      <c r="AJ16" s="60">
        <f t="shared" si="5"/>
        <v>429.83791952371337</v>
      </c>
      <c r="AL16">
        <v>24</v>
      </c>
      <c r="AM16" s="19">
        <v>690.87</v>
      </c>
      <c r="AN16" s="1">
        <v>-222.19</v>
      </c>
      <c r="AO16" s="1">
        <v>-1.4628285999999999</v>
      </c>
      <c r="AQ16" s="23" t="s">
        <v>129</v>
      </c>
      <c r="AR16" s="18">
        <v>27.349704000000003</v>
      </c>
      <c r="AS16" s="19">
        <f t="shared" si="6"/>
        <v>29.720655380596803</v>
      </c>
      <c r="AT16" s="19">
        <f t="shared" si="7"/>
        <v>29.470062623708639</v>
      </c>
      <c r="AU16" s="19">
        <f t="shared" si="8"/>
        <v>29.20632313760472</v>
      </c>
      <c r="AV16" s="19">
        <f t="shared" si="9"/>
        <v>28.927022216918882</v>
      </c>
      <c r="AW16" s="19">
        <f t="shared" si="10"/>
        <v>28.629208555092479</v>
      </c>
      <c r="AX16" s="19">
        <f t="shared" si="11"/>
        <v>28.30885764318192</v>
      </c>
      <c r="AY16" s="19">
        <f t="shared" si="12"/>
        <v>27.960871769858642</v>
      </c>
      <c r="AZ16" s="20">
        <f t="shared" si="13"/>
        <v>27.576933616639199</v>
      </c>
      <c r="BA16" s="19">
        <f t="shared" si="14"/>
        <v>27.145237957289041</v>
      </c>
      <c r="BB16" s="19">
        <f t="shared" si="15"/>
        <v>26.644589044705199</v>
      </c>
      <c r="BC16" s="19">
        <f t="shared" si="16"/>
        <v>26.036083292432878</v>
      </c>
      <c r="BE16" s="19"/>
    </row>
    <row r="17" spans="1:57" x14ac:dyDescent="0.2">
      <c r="A17" s="2" t="s">
        <v>130</v>
      </c>
      <c r="B17" s="11">
        <v>3244.9008000000003</v>
      </c>
      <c r="C17" s="12">
        <f t="shared" si="0"/>
        <v>30.509407252141571</v>
      </c>
      <c r="D17" s="26">
        <v>110</v>
      </c>
      <c r="E17" s="13">
        <f t="shared" si="1"/>
        <v>32.449008000000006</v>
      </c>
      <c r="F17" s="12">
        <v>-99.54</v>
      </c>
      <c r="G17" s="12">
        <v>653.74</v>
      </c>
      <c r="H17" s="14">
        <v>-1.2116382000000001</v>
      </c>
      <c r="I17" s="4"/>
      <c r="J17" s="12">
        <f t="shared" si="2"/>
        <v>31.832476848000006</v>
      </c>
      <c r="K17" s="12">
        <f t="shared" si="3"/>
        <v>11.638844585388483</v>
      </c>
      <c r="L17" s="12">
        <v>55.6</v>
      </c>
      <c r="M17" s="12">
        <v>464.66</v>
      </c>
      <c r="N17" s="12">
        <v>-135.87</v>
      </c>
      <c r="O17" s="4"/>
      <c r="P17" s="15">
        <v>7.5</v>
      </c>
      <c r="Q17" s="16">
        <v>32</v>
      </c>
      <c r="R17" s="12">
        <v>371.92</v>
      </c>
      <c r="S17" s="12">
        <v>-145.71</v>
      </c>
      <c r="T17" s="12">
        <f t="shared" si="17"/>
        <v>787.20000000000027</v>
      </c>
      <c r="U17" s="4"/>
      <c r="V17" s="1">
        <v>787.52</v>
      </c>
      <c r="W17" s="1">
        <v>-248.69</v>
      </c>
      <c r="X17" s="14">
        <v>-1.5513488</v>
      </c>
      <c r="Y17" s="1">
        <v>23</v>
      </c>
      <c r="Z17" s="1">
        <f t="shared" si="18"/>
        <v>18</v>
      </c>
      <c r="AA17" s="34">
        <f t="shared" si="4"/>
        <v>102979.99999999999</v>
      </c>
      <c r="AB17" s="61">
        <v>1630.4865853499998</v>
      </c>
      <c r="AC17" s="12">
        <v>9.1031081051451554</v>
      </c>
      <c r="AD17" s="12"/>
      <c r="AE17" s="12">
        <v>32.568712167336969</v>
      </c>
      <c r="AF17" s="12">
        <v>49.49</v>
      </c>
      <c r="AG17" s="12">
        <v>887.29</v>
      </c>
      <c r="AH17" s="12">
        <v>-218.99</v>
      </c>
      <c r="AJ17" s="60">
        <f t="shared" si="5"/>
        <v>778.09689189485516</v>
      </c>
      <c r="AM17" s="19"/>
      <c r="AN17" s="19"/>
      <c r="AO17" s="19"/>
      <c r="AQ17" s="23" t="s">
        <v>130</v>
      </c>
      <c r="AR17" s="18">
        <v>32.449008000000006</v>
      </c>
      <c r="AS17" s="19">
        <f t="shared" si="6"/>
        <v>33.863657325513607</v>
      </c>
      <c r="AT17" s="19">
        <f t="shared" si="7"/>
        <v>33.566341991753283</v>
      </c>
      <c r="AU17" s="19">
        <f t="shared" si="8"/>
        <v>33.253428744337441</v>
      </c>
      <c r="AV17" s="19">
        <f t="shared" si="9"/>
        <v>32.922052660349763</v>
      </c>
      <c r="AW17" s="20">
        <f t="shared" si="10"/>
        <v>32.568712167336969</v>
      </c>
      <c r="AX17" s="19">
        <f t="shared" si="11"/>
        <v>32.18863239377184</v>
      </c>
      <c r="AY17" s="19">
        <f t="shared" si="12"/>
        <v>31.775765169053283</v>
      </c>
      <c r="AZ17" s="19">
        <f t="shared" si="13"/>
        <v>31.320242425358405</v>
      </c>
      <c r="BA17" s="19">
        <f t="shared" si="14"/>
        <v>30.808057872874084</v>
      </c>
      <c r="BB17" s="19">
        <f t="shared" si="15"/>
        <v>30.214063854890401</v>
      </c>
      <c r="BC17" s="19">
        <f t="shared" si="16"/>
        <v>29.492103279977766</v>
      </c>
      <c r="BE17" s="19"/>
    </row>
    <row r="18" spans="1:57" x14ac:dyDescent="0.2">
      <c r="A18" s="2" t="s">
        <v>131</v>
      </c>
      <c r="B18" s="11">
        <v>3276.6000000000004</v>
      </c>
      <c r="C18" s="12">
        <f t="shared" si="0"/>
        <v>30.214246475004575</v>
      </c>
      <c r="D18" s="26">
        <v>110</v>
      </c>
      <c r="E18" s="13">
        <f t="shared" si="1"/>
        <v>32.766000000000005</v>
      </c>
      <c r="F18" s="12">
        <v>-100.09</v>
      </c>
      <c r="G18" s="12">
        <v>657.34</v>
      </c>
      <c r="H18" s="14">
        <v>-1.2143386</v>
      </c>
      <c r="I18" s="4"/>
      <c r="J18" s="12">
        <f t="shared" si="2"/>
        <v>32.143446000000004</v>
      </c>
      <c r="K18" s="12">
        <f t="shared" si="3"/>
        <v>11.63682720636</v>
      </c>
      <c r="L18" s="12">
        <v>55.42</v>
      </c>
      <c r="M18" s="12">
        <v>467.3</v>
      </c>
      <c r="N18" s="12">
        <v>-136.76</v>
      </c>
      <c r="O18" s="4"/>
      <c r="P18" s="15">
        <v>7.5</v>
      </c>
      <c r="Q18" s="16">
        <v>31.98</v>
      </c>
      <c r="R18" s="12">
        <v>374.62</v>
      </c>
      <c r="S18" s="12">
        <v>-146.54</v>
      </c>
      <c r="T18" s="12">
        <f t="shared" si="17"/>
        <v>782.40000000000009</v>
      </c>
      <c r="U18" s="4"/>
      <c r="V18" s="1">
        <v>787.52</v>
      </c>
      <c r="W18" s="1">
        <v>-248.69</v>
      </c>
      <c r="X18" s="14">
        <v>-1.5513488</v>
      </c>
      <c r="Y18" s="1">
        <v>23</v>
      </c>
      <c r="Z18" s="1">
        <f t="shared" si="18"/>
        <v>18</v>
      </c>
      <c r="AA18" s="34">
        <f t="shared" si="4"/>
        <v>102150</v>
      </c>
      <c r="AB18" s="61">
        <v>1555.0883617500003</v>
      </c>
      <c r="AC18" s="12">
        <v>9.672539118474182</v>
      </c>
      <c r="AD18" s="12"/>
      <c r="AE18" s="12">
        <v>32.813606593919999</v>
      </c>
      <c r="AF18" s="12">
        <v>49.68</v>
      </c>
      <c r="AG18" s="12">
        <v>887.92</v>
      </c>
      <c r="AH18" s="12">
        <v>-218.72</v>
      </c>
      <c r="AJ18" s="60">
        <f t="shared" si="5"/>
        <v>772.72746088152587</v>
      </c>
      <c r="AQ18" s="23" t="s">
        <v>131</v>
      </c>
      <c r="AR18" s="18">
        <v>32.766000000000005</v>
      </c>
      <c r="AS18" s="19">
        <f t="shared" si="6"/>
        <v>34.121201977200002</v>
      </c>
      <c r="AT18" s="19">
        <f t="shared" si="7"/>
        <v>33.820982191560006</v>
      </c>
      <c r="AU18" s="19">
        <f t="shared" si="8"/>
        <v>33.505012117380005</v>
      </c>
      <c r="AV18" s="19">
        <f t="shared" si="9"/>
        <v>33.170398844520008</v>
      </c>
      <c r="AW18" s="20">
        <f t="shared" si="10"/>
        <v>32.813606593919999</v>
      </c>
      <c r="AX18" s="19">
        <f t="shared" si="11"/>
        <v>32.429813848680006</v>
      </c>
      <c r="AY18" s="19">
        <f t="shared" si="12"/>
        <v>32.012913354060004</v>
      </c>
      <c r="AZ18" s="19">
        <f t="shared" si="13"/>
        <v>31.552940641800003</v>
      </c>
      <c r="BA18" s="19">
        <f t="shared" si="14"/>
        <v>31.035752595660004</v>
      </c>
      <c r="BB18" s="19">
        <f t="shared" si="15"/>
        <v>30.435955893300001</v>
      </c>
      <c r="BC18" s="19">
        <f t="shared" si="16"/>
        <v>29.706942538020005</v>
      </c>
      <c r="BE18" s="19"/>
    </row>
    <row r="19" spans="1:57" x14ac:dyDescent="0.2">
      <c r="A19" s="2" t="s">
        <v>132</v>
      </c>
      <c r="B19" s="29">
        <v>2286</v>
      </c>
      <c r="C19" s="30">
        <f t="shared" si="0"/>
        <v>29.921259842519685</v>
      </c>
      <c r="D19" s="31">
        <v>79.400000000000006</v>
      </c>
      <c r="E19" s="13">
        <f t="shared" si="1"/>
        <v>22.86</v>
      </c>
      <c r="F19" s="12">
        <v>-143.02000000000001</v>
      </c>
      <c r="G19" s="12">
        <v>657.19</v>
      </c>
      <c r="H19" s="14">
        <v>-1.29010224</v>
      </c>
      <c r="I19" s="4"/>
      <c r="J19" s="12">
        <f t="shared" si="2"/>
        <v>22.425660000000001</v>
      </c>
      <c r="K19" s="12">
        <f t="shared" si="3"/>
        <v>8.1220805045999978</v>
      </c>
      <c r="L19" s="12">
        <v>35.229999999999997</v>
      </c>
      <c r="M19" s="12">
        <v>476.39</v>
      </c>
      <c r="N19" s="12">
        <v>-168.32</v>
      </c>
      <c r="O19" s="4"/>
      <c r="P19" s="15">
        <v>7.5</v>
      </c>
      <c r="Q19" s="16">
        <v>31.75</v>
      </c>
      <c r="R19" s="12">
        <v>459.42</v>
      </c>
      <c r="S19" s="12">
        <v>-169.64</v>
      </c>
      <c r="T19" s="12">
        <f t="shared" si="17"/>
        <v>105.59999999999945</v>
      </c>
      <c r="U19" s="4"/>
      <c r="V19" s="1">
        <v>690.87</v>
      </c>
      <c r="W19" s="1">
        <v>-222.19</v>
      </c>
      <c r="X19" s="14">
        <v>-1.4628285999999999</v>
      </c>
      <c r="Y19" s="1">
        <v>29</v>
      </c>
      <c r="Z19" s="1">
        <f t="shared" si="18"/>
        <v>24</v>
      </c>
      <c r="AA19" s="34">
        <f t="shared" si="4"/>
        <v>52550.000000000015</v>
      </c>
      <c r="AB19" s="12">
        <v>132.143240840625</v>
      </c>
      <c r="AC19" s="12">
        <v>16.422735932177972</v>
      </c>
      <c r="AD19" s="12"/>
      <c r="AE19" s="12">
        <v>22.993215724199999</v>
      </c>
      <c r="AF19" s="12">
        <v>54.240996210500001</v>
      </c>
      <c r="AG19" s="12">
        <v>794.96094596210003</v>
      </c>
      <c r="AH19" s="12">
        <v>-201.55174727790001</v>
      </c>
      <c r="AJ19" s="19">
        <f t="shared" si="5"/>
        <v>89.177264067821483</v>
      </c>
      <c r="AQ19" s="23" t="s">
        <v>132</v>
      </c>
      <c r="AR19" s="18">
        <v>22.86</v>
      </c>
      <c r="AS19" s="19">
        <f t="shared" si="6"/>
        <v>26.072931612000001</v>
      </c>
      <c r="AT19" s="19">
        <f t="shared" si="7"/>
        <v>25.863475947600001</v>
      </c>
      <c r="AU19" s="19">
        <f t="shared" si="8"/>
        <v>25.643031709800002</v>
      </c>
      <c r="AV19" s="19">
        <f t="shared" si="9"/>
        <v>25.409580589199997</v>
      </c>
      <c r="AW19" s="19">
        <f t="shared" si="10"/>
        <v>25.160655763200001</v>
      </c>
      <c r="AX19" s="19">
        <f t="shared" si="11"/>
        <v>24.892893382800001</v>
      </c>
      <c r="AY19" s="19">
        <f t="shared" si="12"/>
        <v>24.602032572600002</v>
      </c>
      <c r="AZ19" s="19">
        <f t="shared" si="13"/>
        <v>24.281121377999998</v>
      </c>
      <c r="BA19" s="19">
        <f t="shared" si="14"/>
        <v>23.920292508599999</v>
      </c>
      <c r="BB19" s="19">
        <f t="shared" si="15"/>
        <v>23.501829693000001</v>
      </c>
      <c r="BC19" s="20">
        <f t="shared" si="16"/>
        <v>22.993215724199999</v>
      </c>
      <c r="BE19" s="19"/>
    </row>
    <row r="20" spans="1:57" x14ac:dyDescent="0.2">
      <c r="A20" s="2" t="s">
        <v>133</v>
      </c>
      <c r="B20" s="11">
        <v>3505.2000000000003</v>
      </c>
      <c r="C20" s="12">
        <f t="shared" si="0"/>
        <v>28.81433299098482</v>
      </c>
      <c r="D20" s="31">
        <v>112</v>
      </c>
      <c r="E20" s="13">
        <f t="shared" si="1"/>
        <v>35.052</v>
      </c>
      <c r="F20" s="12">
        <v>-99.77</v>
      </c>
      <c r="G20" s="12">
        <v>674.37</v>
      </c>
      <c r="H20" s="14">
        <v>-1.222424</v>
      </c>
      <c r="I20" s="4"/>
      <c r="J20" s="12">
        <f t="shared" si="2"/>
        <v>34.386012000000001</v>
      </c>
      <c r="K20" s="12">
        <f t="shared" si="3"/>
        <v>11.863105087559997</v>
      </c>
      <c r="L20" s="12">
        <v>55.89</v>
      </c>
      <c r="M20" s="12">
        <v>479.23</v>
      </c>
      <c r="N20" s="12">
        <v>-138.94999999999999</v>
      </c>
      <c r="O20" s="4"/>
      <c r="P20" s="15">
        <v>7.5</v>
      </c>
      <c r="Q20" s="16">
        <v>31.93</v>
      </c>
      <c r="R20" s="12">
        <v>382.83</v>
      </c>
      <c r="S20" s="12">
        <v>-149.01</v>
      </c>
      <c r="T20" s="12">
        <f t="shared" si="17"/>
        <v>804.80000000000018</v>
      </c>
      <c r="U20" s="4"/>
      <c r="V20" s="1">
        <v>809.03</v>
      </c>
      <c r="W20" s="1">
        <v>-255.37</v>
      </c>
      <c r="X20" s="14">
        <v>-1.573975578</v>
      </c>
      <c r="Y20" s="1">
        <v>21</v>
      </c>
      <c r="Z20" s="1">
        <f t="shared" si="18"/>
        <v>16</v>
      </c>
      <c r="AA20" s="34">
        <f t="shared" si="4"/>
        <v>106360.00000000001</v>
      </c>
      <c r="AB20" s="61">
        <v>2404.260855045</v>
      </c>
      <c r="AC20" s="12">
        <v>8.3383567049185476</v>
      </c>
      <c r="AD20" s="12"/>
      <c r="AE20" s="12">
        <v>35.319315288360002</v>
      </c>
      <c r="AF20" s="12">
        <v>47.776448549500003</v>
      </c>
      <c r="AG20" s="12">
        <v>908.06855413079995</v>
      </c>
      <c r="AH20" s="12">
        <v>-223.21326145910001</v>
      </c>
      <c r="AJ20" s="60">
        <f t="shared" si="5"/>
        <v>796.46164329508167</v>
      </c>
      <c r="AQ20" s="23" t="s">
        <v>133</v>
      </c>
      <c r="AR20" s="18">
        <v>35.052</v>
      </c>
      <c r="AS20" s="19">
        <f t="shared" si="6"/>
        <v>35.978495138400007</v>
      </c>
      <c r="AT20" s="19">
        <f t="shared" si="7"/>
        <v>35.657329786320005</v>
      </c>
      <c r="AU20" s="20">
        <f t="shared" si="8"/>
        <v>35.319315288360002</v>
      </c>
      <c r="AV20" s="19">
        <f t="shared" si="9"/>
        <v>34.961356903440006</v>
      </c>
      <c r="AW20" s="19">
        <f t="shared" si="10"/>
        <v>34.579672170240002</v>
      </c>
      <c r="AX20" s="19">
        <f t="shared" si="11"/>
        <v>34.169103186960001</v>
      </c>
      <c r="AY20" s="19">
        <f t="shared" si="12"/>
        <v>33.723116611320002</v>
      </c>
      <c r="AZ20" s="19">
        <f t="shared" si="13"/>
        <v>33.231052779599999</v>
      </c>
      <c r="BA20" s="19">
        <f t="shared" si="14"/>
        <v>32.677781846520006</v>
      </c>
      <c r="BB20" s="19">
        <f t="shared" si="15"/>
        <v>32.036138862599998</v>
      </c>
      <c r="BC20" s="19">
        <f t="shared" si="16"/>
        <v>31.25626411044</v>
      </c>
      <c r="BE20" s="19"/>
    </row>
    <row r="21" spans="1:57" x14ac:dyDescent="0.2">
      <c r="A21" s="24" t="s">
        <v>134</v>
      </c>
      <c r="B21" s="11">
        <v>3331.7688000000003</v>
      </c>
      <c r="C21" s="12">
        <f t="shared" si="0"/>
        <v>28.813523915585016</v>
      </c>
      <c r="D21" s="28">
        <v>107</v>
      </c>
      <c r="E21" s="13">
        <f t="shared" si="1"/>
        <v>33.317688000000004</v>
      </c>
      <c r="F21" s="12">
        <v>-106.81</v>
      </c>
      <c r="G21" s="12">
        <v>674.17</v>
      </c>
      <c r="H21" s="14">
        <v>-1.2341095</v>
      </c>
      <c r="I21" s="4"/>
      <c r="J21" s="12">
        <f t="shared" si="2"/>
        <v>32.684651928000001</v>
      </c>
      <c r="K21" s="12">
        <f t="shared" si="3"/>
        <v>11.282676209700245</v>
      </c>
      <c r="L21" s="12">
        <v>52.61</v>
      </c>
      <c r="M21" s="12">
        <v>481.07</v>
      </c>
      <c r="N21" s="12">
        <v>-143.97</v>
      </c>
      <c r="O21" s="4"/>
      <c r="P21" s="15">
        <v>7.5</v>
      </c>
      <c r="Q21" s="16">
        <v>31.88</v>
      </c>
      <c r="R21" s="12">
        <v>395.05</v>
      </c>
      <c r="S21" s="12">
        <v>-152.57</v>
      </c>
      <c r="T21" s="12">
        <f t="shared" si="17"/>
        <v>687.99999999999955</v>
      </c>
      <c r="U21" s="4"/>
      <c r="V21" s="1">
        <v>798.62</v>
      </c>
      <c r="W21" s="1">
        <v>-252.1</v>
      </c>
      <c r="X21" s="14">
        <v>-1.5628782999999999</v>
      </c>
      <c r="Y21" s="1">
        <v>22</v>
      </c>
      <c r="Z21" s="1">
        <f t="shared" si="18"/>
        <v>17</v>
      </c>
      <c r="AA21" s="34">
        <f t="shared" si="4"/>
        <v>99530</v>
      </c>
      <c r="AB21" s="61">
        <v>1693.0435489931256</v>
      </c>
      <c r="AC21" s="12">
        <v>9.620506119586933</v>
      </c>
      <c r="AD21" s="12"/>
      <c r="AE21" s="12">
        <v>33.602616722739356</v>
      </c>
      <c r="AF21" s="12">
        <v>48.365759287700001</v>
      </c>
      <c r="AG21" s="12">
        <v>897.10770987219996</v>
      </c>
      <c r="AH21" s="12">
        <v>-221.54945187870001</v>
      </c>
      <c r="AJ21" s="60">
        <f t="shared" si="5"/>
        <v>678.37949388041261</v>
      </c>
      <c r="AQ21" s="17" t="s">
        <v>134</v>
      </c>
      <c r="AR21" s="18">
        <v>33.317688000000004</v>
      </c>
      <c r="AS21" s="19">
        <f t="shared" si="6"/>
        <v>34.569428726769601</v>
      </c>
      <c r="AT21" s="19">
        <f t="shared" si="7"/>
        <v>34.264154077762086</v>
      </c>
      <c r="AU21" s="19">
        <f t="shared" si="8"/>
        <v>33.942863949309839</v>
      </c>
      <c r="AV21" s="20">
        <f t="shared" si="9"/>
        <v>33.602616722739356</v>
      </c>
      <c r="AW21" s="19">
        <f t="shared" si="10"/>
        <v>33.239817086338562</v>
      </c>
      <c r="AX21" s="19">
        <f t="shared" si="11"/>
        <v>32.849562342318237</v>
      </c>
      <c r="AY21" s="19">
        <f t="shared" si="12"/>
        <v>32.425642406812081</v>
      </c>
      <c r="AZ21" s="19">
        <f t="shared" si="13"/>
        <v>31.957925037722397</v>
      </c>
      <c r="BA21" s="19">
        <f t="shared" si="14"/>
        <v>31.43202898820088</v>
      </c>
      <c r="BB21" s="19">
        <f t="shared" si="15"/>
        <v>30.822133383224397</v>
      </c>
      <c r="BC21" s="19">
        <f t="shared" si="16"/>
        <v>30.080845477497363</v>
      </c>
      <c r="BE21" s="19"/>
    </row>
    <row r="22" spans="1:57" x14ac:dyDescent="0.2">
      <c r="A22" s="2" t="s">
        <v>135</v>
      </c>
      <c r="B22" s="11">
        <v>3640</v>
      </c>
      <c r="C22" s="12">
        <f t="shared" si="0"/>
        <v>27.747252747252748</v>
      </c>
      <c r="D22" s="22">
        <v>112</v>
      </c>
      <c r="E22" s="13">
        <f t="shared" si="1"/>
        <v>36.4</v>
      </c>
      <c r="F22" s="12">
        <v>-101.58</v>
      </c>
      <c r="G22" s="12">
        <v>687.43</v>
      </c>
      <c r="H22" s="14">
        <v>-1.2322706000000001</v>
      </c>
      <c r="I22" s="4"/>
      <c r="J22" s="12">
        <f t="shared" si="2"/>
        <v>35.708400000000005</v>
      </c>
      <c r="K22" s="12">
        <f t="shared" si="3"/>
        <v>11.852974587999995</v>
      </c>
      <c r="L22" s="12">
        <v>55.2</v>
      </c>
      <c r="M22" s="12">
        <v>489.06</v>
      </c>
      <c r="N22" s="12">
        <v>-142.19999999999999</v>
      </c>
      <c r="O22" s="4"/>
      <c r="P22" s="15">
        <v>7.5</v>
      </c>
      <c r="Q22" s="16">
        <v>31.88</v>
      </c>
      <c r="R22" s="12">
        <v>393.1</v>
      </c>
      <c r="S22" s="12">
        <v>-152</v>
      </c>
      <c r="T22" s="12">
        <f t="shared" si="17"/>
        <v>784.00000000000091</v>
      </c>
      <c r="U22" s="4"/>
      <c r="V22" s="1">
        <v>818.86</v>
      </c>
      <c r="W22" s="1">
        <v>-258.52</v>
      </c>
      <c r="X22" s="14">
        <v>-1.5847127577</v>
      </c>
      <c r="Y22" s="1">
        <v>20</v>
      </c>
      <c r="Z22" s="1">
        <f t="shared" si="18"/>
        <v>15</v>
      </c>
      <c r="AA22" s="34">
        <f t="shared" si="4"/>
        <v>106519.99999999999</v>
      </c>
      <c r="AB22" s="61">
        <v>2696.5075113112498</v>
      </c>
      <c r="AC22" s="12">
        <v>8.6086431667682852</v>
      </c>
      <c r="AD22" s="12"/>
      <c r="AE22" s="12">
        <v>36.740180424000002</v>
      </c>
      <c r="AF22" s="12">
        <v>46.965307879000001</v>
      </c>
      <c r="AG22" s="12">
        <v>917.77561730670004</v>
      </c>
      <c r="AH22" s="12">
        <v>-225.09821175179999</v>
      </c>
      <c r="AJ22" s="60">
        <f t="shared" si="5"/>
        <v>775.39135683323263</v>
      </c>
      <c r="AQ22" s="23" t="s">
        <v>135</v>
      </c>
      <c r="AR22" s="18">
        <v>36.4</v>
      </c>
      <c r="AS22" s="19">
        <f t="shared" si="6"/>
        <v>37.073696880000007</v>
      </c>
      <c r="AT22" s="20">
        <f t="shared" si="7"/>
        <v>36.740180424000002</v>
      </c>
      <c r="AU22" s="19">
        <f t="shared" si="8"/>
        <v>36.389166852000002</v>
      </c>
      <c r="AV22" s="19">
        <f t="shared" si="9"/>
        <v>36.017442408000001</v>
      </c>
      <c r="AW22" s="19">
        <f t="shared" si="10"/>
        <v>35.621079168000009</v>
      </c>
      <c r="AX22" s="19">
        <f t="shared" si="11"/>
        <v>35.194720872000005</v>
      </c>
      <c r="AY22" s="19">
        <f t="shared" si="12"/>
        <v>34.731582924000008</v>
      </c>
      <c r="AZ22" s="19">
        <f t="shared" si="13"/>
        <v>34.220595720000006</v>
      </c>
      <c r="BA22" s="19">
        <f t="shared" si="14"/>
        <v>33.646047564</v>
      </c>
      <c r="BB22" s="19">
        <f t="shared" si="15"/>
        <v>32.979728820000005</v>
      </c>
      <c r="BC22" s="19">
        <f t="shared" si="16"/>
        <v>32.169862308000006</v>
      </c>
      <c r="BE22" s="19"/>
    </row>
    <row r="23" spans="1:57" x14ac:dyDescent="0.2">
      <c r="A23" s="2" t="s">
        <v>136</v>
      </c>
      <c r="B23" s="11">
        <v>3596.6400000000003</v>
      </c>
      <c r="C23" s="12">
        <f t="shared" si="0"/>
        <v>27.525690644601625</v>
      </c>
      <c r="D23" s="32">
        <v>110</v>
      </c>
      <c r="E23" s="13">
        <f t="shared" si="1"/>
        <v>35.9664</v>
      </c>
      <c r="F23" s="12">
        <v>-104.8</v>
      </c>
      <c r="G23" s="12">
        <v>690.12</v>
      </c>
      <c r="H23" s="14">
        <v>-1.2390170700000001</v>
      </c>
      <c r="I23" s="4"/>
      <c r="J23" s="12">
        <f t="shared" si="2"/>
        <v>35.283038400000002</v>
      </c>
      <c r="K23" s="12">
        <f t="shared" si="3"/>
        <v>11.616869539391999</v>
      </c>
      <c r="L23" s="12">
        <v>53.77</v>
      </c>
      <c r="M23" s="12">
        <v>491.98</v>
      </c>
      <c r="N23" s="12">
        <v>-144.88999999999999</v>
      </c>
      <c r="O23" s="4"/>
      <c r="P23" s="15">
        <v>7.5</v>
      </c>
      <c r="Q23" s="16">
        <v>31.85</v>
      </c>
      <c r="R23" s="12">
        <v>400.31</v>
      </c>
      <c r="S23" s="12">
        <v>-154.07</v>
      </c>
      <c r="T23" s="12">
        <f t="shared" si="17"/>
        <v>734.40000000000055</v>
      </c>
      <c r="U23" s="4"/>
      <c r="V23" s="1">
        <v>809.03</v>
      </c>
      <c r="W23" s="1">
        <v>-255.37</v>
      </c>
      <c r="X23" s="14">
        <v>-1.573975578</v>
      </c>
      <c r="Y23" s="1">
        <v>21</v>
      </c>
      <c r="Z23" s="1">
        <f t="shared" si="18"/>
        <v>16</v>
      </c>
      <c r="AA23" s="34">
        <f t="shared" si="4"/>
        <v>101300.00000000001</v>
      </c>
      <c r="AB23" s="61">
        <v>2380.1491314562504</v>
      </c>
      <c r="AC23" s="12">
        <v>7.1881649819750395</v>
      </c>
      <c r="AD23" s="12"/>
      <c r="AE23" s="12">
        <v>36.045036556752002</v>
      </c>
      <c r="AF23" s="12">
        <v>48.302949583</v>
      </c>
      <c r="AG23" s="12">
        <v>909.79216062600005</v>
      </c>
      <c r="AH23" s="12">
        <v>-222.4145242065</v>
      </c>
      <c r="AJ23" s="60">
        <f t="shared" si="5"/>
        <v>727.21183501802545</v>
      </c>
      <c r="AQ23" s="23" t="s">
        <v>136</v>
      </c>
      <c r="AR23" s="18">
        <v>35.9664</v>
      </c>
      <c r="AS23" s="19">
        <f t="shared" si="6"/>
        <v>36.721412402880006</v>
      </c>
      <c r="AT23" s="19">
        <f t="shared" si="7"/>
        <v>36.391868824224005</v>
      </c>
      <c r="AU23" s="20">
        <f t="shared" si="8"/>
        <v>36.045036556752002</v>
      </c>
      <c r="AV23" s="19">
        <f t="shared" si="9"/>
        <v>35.677740127008001</v>
      </c>
      <c r="AW23" s="19">
        <f t="shared" si="10"/>
        <v>35.286098400767997</v>
      </c>
      <c r="AX23" s="19">
        <f t="shared" si="11"/>
        <v>34.864818922272008</v>
      </c>
      <c r="AY23" s="19">
        <f t="shared" si="12"/>
        <v>34.407197914224</v>
      </c>
      <c r="AZ23" s="19">
        <f t="shared" si="13"/>
        <v>33.90229763472</v>
      </c>
      <c r="BA23" s="19">
        <f t="shared" si="14"/>
        <v>33.334593546863999</v>
      </c>
      <c r="BB23" s="19">
        <f t="shared" si="15"/>
        <v>32.676212050320004</v>
      </c>
      <c r="BC23" s="19">
        <f t="shared" si="16"/>
        <v>31.875992739408002</v>
      </c>
      <c r="BE23" s="19"/>
    </row>
    <row r="24" spans="1:57" x14ac:dyDescent="0.2">
      <c r="A24" s="24" t="s">
        <v>137</v>
      </c>
      <c r="B24" s="11">
        <v>2575.56</v>
      </c>
      <c r="C24" s="12">
        <f t="shared" si="0"/>
        <v>26.790290266971066</v>
      </c>
      <c r="D24" s="28">
        <v>80</v>
      </c>
      <c r="E24" s="13">
        <f t="shared" si="1"/>
        <v>25.755600000000001</v>
      </c>
      <c r="F24" s="12">
        <v>-148.91999999999999</v>
      </c>
      <c r="G24" s="12">
        <v>697.81</v>
      </c>
      <c r="H24" s="14">
        <v>-1.31894515</v>
      </c>
      <c r="I24" s="4"/>
      <c r="J24" s="12">
        <f t="shared" si="2"/>
        <v>25.266243600000003</v>
      </c>
      <c r="K24" s="12">
        <f t="shared" si="3"/>
        <v>8.1245625534839974</v>
      </c>
      <c r="L24" s="12">
        <v>34.880000000000003</v>
      </c>
      <c r="M24" s="12">
        <v>512.65</v>
      </c>
      <c r="N24" s="12">
        <v>-177.2</v>
      </c>
      <c r="O24" s="4"/>
      <c r="P24" s="15">
        <v>7.5</v>
      </c>
      <c r="Q24" s="16">
        <v>31.68</v>
      </c>
      <c r="R24" s="12">
        <v>496.28</v>
      </c>
      <c r="S24" s="12">
        <v>-178.44</v>
      </c>
      <c r="T24" s="12">
        <f t="shared" si="17"/>
        <v>99.200000000000728</v>
      </c>
      <c r="U24" s="4"/>
      <c r="V24" s="1">
        <v>732.21</v>
      </c>
      <c r="W24" s="1">
        <v>-232.86</v>
      </c>
      <c r="X24" s="14">
        <v>-1.4982538000000001</v>
      </c>
      <c r="Y24" s="1">
        <v>27</v>
      </c>
      <c r="Z24" s="1">
        <f t="shared" si="18"/>
        <v>22</v>
      </c>
      <c r="AA24" s="34">
        <f t="shared" si="4"/>
        <v>54420.000000000015</v>
      </c>
      <c r="AB24" s="12">
        <v>246.02597440312505</v>
      </c>
      <c r="AC24" s="12">
        <v>13.609461218498881</v>
      </c>
      <c r="AD24" s="12"/>
      <c r="AE24" s="12">
        <v>26.000196226356003</v>
      </c>
      <c r="AF24" s="12">
        <v>52.177637480999998</v>
      </c>
      <c r="AG24" s="12">
        <v>832.23763017809995</v>
      </c>
      <c r="AH24" s="12">
        <v>-209.42041205039999</v>
      </c>
      <c r="AJ24" s="19">
        <f t="shared" si="5"/>
        <v>85.590538781501849</v>
      </c>
      <c r="AQ24" s="17" t="s">
        <v>137</v>
      </c>
      <c r="AR24" s="18">
        <v>25.755600000000001</v>
      </c>
      <c r="AS24" s="19">
        <f t="shared" si="6"/>
        <v>28.425502949520002</v>
      </c>
      <c r="AT24" s="19">
        <f t="shared" si="7"/>
        <v>28.189516234296004</v>
      </c>
      <c r="AU24" s="19">
        <f t="shared" si="8"/>
        <v>27.941149059708</v>
      </c>
      <c r="AV24" s="19">
        <f t="shared" si="9"/>
        <v>27.678127463832002</v>
      </c>
      <c r="AW24" s="19">
        <f t="shared" si="10"/>
        <v>27.397672159872002</v>
      </c>
      <c r="AX24" s="19">
        <f t="shared" si="11"/>
        <v>27.095993211288</v>
      </c>
      <c r="AY24" s="19">
        <f t="shared" si="12"/>
        <v>26.768290031796003</v>
      </c>
      <c r="AZ24" s="19">
        <f t="shared" si="13"/>
        <v>26.40673008588</v>
      </c>
      <c r="BA24" s="20">
        <f t="shared" si="14"/>
        <v>26.000196226356003</v>
      </c>
      <c r="BB24" s="19">
        <f t="shared" si="15"/>
        <v>25.528728120780002</v>
      </c>
      <c r="BC24" s="19">
        <f t="shared" si="16"/>
        <v>24.955689715932003</v>
      </c>
      <c r="BE24" s="19"/>
    </row>
    <row r="25" spans="1:57" x14ac:dyDescent="0.2">
      <c r="A25" s="2" t="s">
        <v>138</v>
      </c>
      <c r="B25" s="11">
        <v>2770</v>
      </c>
      <c r="C25" s="12">
        <f t="shared" si="0"/>
        <v>24.707581227436823</v>
      </c>
      <c r="D25" s="33">
        <v>79.44</v>
      </c>
      <c r="E25" s="13">
        <f t="shared" si="1"/>
        <v>27.7</v>
      </c>
      <c r="F25" s="12">
        <v>-153.76</v>
      </c>
      <c r="G25" s="12">
        <v>724.24</v>
      </c>
      <c r="H25" s="14">
        <v>-1.3403938</v>
      </c>
      <c r="I25" s="4"/>
      <c r="J25" s="12">
        <f t="shared" si="2"/>
        <v>27.1737</v>
      </c>
      <c r="K25" s="12">
        <f t="shared" si="3"/>
        <v>8.0197195119999982</v>
      </c>
      <c r="L25" s="12">
        <v>34.090000000000003</v>
      </c>
      <c r="M25" s="12">
        <v>538.17999999999995</v>
      </c>
      <c r="N25" s="12">
        <v>-184</v>
      </c>
      <c r="O25" s="4"/>
      <c r="P25" s="15">
        <v>7.5</v>
      </c>
      <c r="Q25" s="16">
        <v>31.61</v>
      </c>
      <c r="R25" s="12">
        <v>525.12</v>
      </c>
      <c r="S25" s="12">
        <v>-184.98</v>
      </c>
      <c r="T25" s="12">
        <f t="shared" si="17"/>
        <v>78.399999999999181</v>
      </c>
      <c r="U25" s="4"/>
      <c r="V25" s="1">
        <v>748.3</v>
      </c>
      <c r="W25" s="1">
        <v>-237.27</v>
      </c>
      <c r="X25" s="14">
        <v>-1.5129908000000001</v>
      </c>
      <c r="Y25" s="1">
        <v>26</v>
      </c>
      <c r="Z25" s="1">
        <f t="shared" si="18"/>
        <v>21</v>
      </c>
      <c r="AA25" s="34">
        <f t="shared" si="4"/>
        <v>52290.000000000022</v>
      </c>
      <c r="AB25" s="12">
        <v>237.19024507500004</v>
      </c>
      <c r="AC25" s="12">
        <v>19.776450450320329</v>
      </c>
      <c r="AD25" s="12"/>
      <c r="AE25" s="12">
        <v>27.834079709999997</v>
      </c>
      <c r="AF25" s="12">
        <v>51.6492656856</v>
      </c>
      <c r="AG25" s="12">
        <v>848.54486470320001</v>
      </c>
      <c r="AH25" s="12">
        <v>-212.02890765800001</v>
      </c>
      <c r="AJ25" s="19">
        <f t="shared" si="5"/>
        <v>58.623549549678856</v>
      </c>
      <c r="AQ25" s="23" t="s">
        <v>138</v>
      </c>
      <c r="AR25" s="18">
        <v>27.7</v>
      </c>
      <c r="AS25" s="19">
        <f t="shared" si="6"/>
        <v>30.005258340000001</v>
      </c>
      <c r="AT25" s="19">
        <f t="shared" si="7"/>
        <v>29.751455982</v>
      </c>
      <c r="AU25" s="19">
        <f t="shared" si="8"/>
        <v>29.484338510999997</v>
      </c>
      <c r="AV25" s="19">
        <f t="shared" si="9"/>
        <v>29.201460294</v>
      </c>
      <c r="AW25" s="19">
        <f t="shared" si="10"/>
        <v>28.899832223999997</v>
      </c>
      <c r="AX25" s="19">
        <f t="shared" si="11"/>
        <v>28.575378246</v>
      </c>
      <c r="AY25" s="19">
        <f t="shared" si="12"/>
        <v>28.222935357000001</v>
      </c>
      <c r="AZ25" s="20">
        <f t="shared" si="13"/>
        <v>27.834079709999997</v>
      </c>
      <c r="BA25" s="19">
        <f t="shared" si="14"/>
        <v>27.396854877000003</v>
      </c>
      <c r="BB25" s="19">
        <f t="shared" si="15"/>
        <v>26.889793634999997</v>
      </c>
      <c r="BC25" s="19">
        <f t="shared" si="16"/>
        <v>26.273494118999999</v>
      </c>
      <c r="BE25" s="19"/>
    </row>
    <row r="26" spans="1:57" x14ac:dyDescent="0.2">
      <c r="A26" s="21" t="s">
        <v>139</v>
      </c>
      <c r="B26" s="11">
        <v>2749</v>
      </c>
      <c r="C26" s="12">
        <f t="shared" si="0"/>
        <v>29.949072389959987</v>
      </c>
      <c r="D26" s="33">
        <v>93.33</v>
      </c>
      <c r="E26" s="13">
        <f t="shared" si="1"/>
        <v>27.49</v>
      </c>
      <c r="F26" s="12">
        <v>-123.72</v>
      </c>
      <c r="G26" s="12">
        <v>659.03</v>
      </c>
      <c r="H26" s="14">
        <v>-1.2559901318</v>
      </c>
      <c r="I26" s="4"/>
      <c r="J26" s="12">
        <f t="shared" si="2"/>
        <v>26.967690000000001</v>
      </c>
      <c r="K26" s="12">
        <f t="shared" si="3"/>
        <v>9.7174832592999962</v>
      </c>
      <c r="L26" s="12">
        <v>44.26</v>
      </c>
      <c r="M26" s="12">
        <v>474.11</v>
      </c>
      <c r="N26" s="12">
        <v>-154.28</v>
      </c>
      <c r="O26" s="4"/>
      <c r="P26" s="15">
        <v>7.5</v>
      </c>
      <c r="Q26" s="16">
        <v>31.81</v>
      </c>
      <c r="R26" s="12">
        <v>419.06</v>
      </c>
      <c r="S26" s="12">
        <v>-159.24</v>
      </c>
      <c r="T26" s="12">
        <f t="shared" si="17"/>
        <v>396.80000000000064</v>
      </c>
      <c r="U26" s="4"/>
      <c r="V26" s="1">
        <v>748.3</v>
      </c>
      <c r="W26" s="1">
        <v>-237.27</v>
      </c>
      <c r="X26" s="14">
        <v>-1.5129908000000001</v>
      </c>
      <c r="Y26" s="1">
        <v>26</v>
      </c>
      <c r="Z26" s="1">
        <f t="shared" si="18"/>
        <v>21</v>
      </c>
      <c r="AA26" s="34">
        <f t="shared" si="4"/>
        <v>78030</v>
      </c>
      <c r="AB26" s="12">
        <v>467.46898632</v>
      </c>
      <c r="AC26" s="12">
        <v>17.709706318637803</v>
      </c>
      <c r="AD26" s="12"/>
      <c r="AE26" s="12">
        <v>27.679922427000001</v>
      </c>
      <c r="AF26" s="12">
        <v>51.504427266900002</v>
      </c>
      <c r="AG26" s="12">
        <v>848.04734472760003</v>
      </c>
      <c r="AH26" s="12">
        <v>-212.2104478759</v>
      </c>
      <c r="AJ26" s="20">
        <f t="shared" si="5"/>
        <v>379.09029368136282</v>
      </c>
      <c r="AQ26" s="23" t="s">
        <v>139</v>
      </c>
      <c r="AR26" s="18">
        <v>27.49</v>
      </c>
      <c r="AS26" s="19">
        <f t="shared" si="6"/>
        <v>29.834640858000004</v>
      </c>
      <c r="AT26" s="19">
        <f t="shared" si="7"/>
        <v>29.582762633400002</v>
      </c>
      <c r="AU26" s="19">
        <f t="shared" si="8"/>
        <v>29.3176702407</v>
      </c>
      <c r="AV26" s="19">
        <f t="shared" si="9"/>
        <v>29.036936587800003</v>
      </c>
      <c r="AW26" s="19">
        <f t="shared" si="10"/>
        <v>28.7375952288</v>
      </c>
      <c r="AX26" s="19">
        <f t="shared" si="11"/>
        <v>28.415601010200003</v>
      </c>
      <c r="AY26" s="19">
        <f t="shared" si="12"/>
        <v>28.065830070899999</v>
      </c>
      <c r="AZ26" s="20">
        <f t="shared" si="13"/>
        <v>27.679922427000001</v>
      </c>
      <c r="BA26" s="19">
        <f t="shared" si="14"/>
        <v>27.246012294900002</v>
      </c>
      <c r="BB26" s="19">
        <f t="shared" si="15"/>
        <v>26.742795199500002</v>
      </c>
      <c r="BC26" s="19">
        <f t="shared" si="16"/>
        <v>26.1311679903</v>
      </c>
      <c r="BE26" s="19"/>
    </row>
    <row r="27" spans="1:57" x14ac:dyDescent="0.2">
      <c r="A27" s="2" t="s">
        <v>140</v>
      </c>
      <c r="B27" s="11">
        <v>2700</v>
      </c>
      <c r="C27" s="12">
        <f t="shared" si="0"/>
        <v>27.407407407407408</v>
      </c>
      <c r="D27" s="33">
        <v>85</v>
      </c>
      <c r="E27" s="13">
        <f t="shared" si="1"/>
        <v>27</v>
      </c>
      <c r="F27" s="12">
        <v>-140.55000000000001</v>
      </c>
      <c r="G27" s="12">
        <v>690.31</v>
      </c>
      <c r="H27" s="14">
        <v>-1.300449</v>
      </c>
      <c r="I27" s="4"/>
      <c r="J27" s="12">
        <f t="shared" si="2"/>
        <v>26.486999999999998</v>
      </c>
      <c r="K27" s="12">
        <f t="shared" si="3"/>
        <v>8.715759030000001</v>
      </c>
      <c r="L27" s="12">
        <v>38.1</v>
      </c>
      <c r="M27" s="12">
        <v>503.65</v>
      </c>
      <c r="N27" s="12">
        <v>-170.3</v>
      </c>
      <c r="O27" s="4"/>
      <c r="P27" s="15">
        <v>7.5</v>
      </c>
      <c r="Q27" s="16">
        <v>31.73</v>
      </c>
      <c r="R27" s="12">
        <v>472.36</v>
      </c>
      <c r="S27" s="12">
        <v>-172.8</v>
      </c>
      <c r="T27" s="12">
        <f t="shared" si="17"/>
        <v>200</v>
      </c>
      <c r="U27" s="4"/>
      <c r="V27" s="1">
        <v>748.3</v>
      </c>
      <c r="W27" s="1">
        <v>-237.27</v>
      </c>
      <c r="X27" s="14">
        <v>-1.5129908000000001</v>
      </c>
      <c r="Y27" s="1">
        <v>26</v>
      </c>
      <c r="Z27" s="1">
        <f t="shared" si="18"/>
        <v>21</v>
      </c>
      <c r="AA27" s="34">
        <f t="shared" si="4"/>
        <v>64470</v>
      </c>
      <c r="AB27" s="12">
        <v>318.08625581250004</v>
      </c>
      <c r="AC27" s="12">
        <v>21.147224012553451</v>
      </c>
      <c r="AD27" s="12"/>
      <c r="AE27" s="12">
        <v>27.320222099999999</v>
      </c>
      <c r="AF27" s="12">
        <v>51.164160491700002</v>
      </c>
      <c r="AG27" s="12">
        <v>846.87641896640002</v>
      </c>
      <c r="AH27" s="12">
        <v>-212.63524584609999</v>
      </c>
      <c r="AJ27" s="19">
        <f t="shared" si="5"/>
        <v>178.85277598744653</v>
      </c>
      <c r="AQ27" s="23" t="s">
        <v>140</v>
      </c>
      <c r="AR27" s="18">
        <v>27</v>
      </c>
      <c r="AS27" s="19">
        <f t="shared" si="6"/>
        <v>29.436533400000002</v>
      </c>
      <c r="AT27" s="19">
        <f t="shared" si="7"/>
        <v>29.189144819999999</v>
      </c>
      <c r="AU27" s="19">
        <f t="shared" si="8"/>
        <v>28.928777609999997</v>
      </c>
      <c r="AV27" s="19">
        <f t="shared" si="9"/>
        <v>28.65304794</v>
      </c>
      <c r="AW27" s="19">
        <f t="shared" si="10"/>
        <v>28.359042239999997</v>
      </c>
      <c r="AX27" s="19">
        <f t="shared" si="11"/>
        <v>28.04278746</v>
      </c>
      <c r="AY27" s="19">
        <f t="shared" si="12"/>
        <v>27.699251069999999</v>
      </c>
      <c r="AZ27" s="20">
        <f t="shared" si="13"/>
        <v>27.320222099999999</v>
      </c>
      <c r="BA27" s="19">
        <f t="shared" si="14"/>
        <v>26.89404627</v>
      </c>
      <c r="BB27" s="19">
        <f t="shared" si="15"/>
        <v>26.39979885</v>
      </c>
      <c r="BC27" s="19">
        <f t="shared" si="16"/>
        <v>25.799073689999997</v>
      </c>
      <c r="BE27" s="19"/>
    </row>
    <row r="28" spans="1:57" x14ac:dyDescent="0.2">
      <c r="A28" s="21" t="s">
        <v>141</v>
      </c>
      <c r="B28" s="11">
        <v>2286</v>
      </c>
      <c r="C28" s="12">
        <f t="shared" si="0"/>
        <v>34.803149606299215</v>
      </c>
      <c r="D28" s="33">
        <v>90.56</v>
      </c>
      <c r="E28" s="13">
        <f t="shared" si="1"/>
        <v>22.86</v>
      </c>
      <c r="F28" s="12">
        <v>-116.57</v>
      </c>
      <c r="G28" s="12">
        <v>596.63</v>
      </c>
      <c r="H28" s="14">
        <v>-1.2162656649000001</v>
      </c>
      <c r="I28" s="4"/>
      <c r="J28" s="12">
        <f t="shared" si="2"/>
        <v>22.425660000000001</v>
      </c>
      <c r="K28" s="12">
        <f t="shared" si="3"/>
        <v>9.4801784741999988</v>
      </c>
      <c r="L28" s="12">
        <v>44.45</v>
      </c>
      <c r="M28" s="12">
        <v>426.65</v>
      </c>
      <c r="N28" s="12">
        <v>-142.19999999999999</v>
      </c>
      <c r="O28" s="4"/>
      <c r="P28" s="15">
        <v>7.5</v>
      </c>
      <c r="Q28" s="16">
        <v>31.97</v>
      </c>
      <c r="R28" s="12">
        <v>376.56</v>
      </c>
      <c r="S28" s="12">
        <v>-147.13</v>
      </c>
      <c r="T28" s="12">
        <f t="shared" si="17"/>
        <v>394.40000000000055</v>
      </c>
      <c r="U28" s="4"/>
      <c r="V28" s="1">
        <v>690.87</v>
      </c>
      <c r="W28" s="1">
        <v>-222.19</v>
      </c>
      <c r="X28" s="14">
        <v>-1.4628285999999999</v>
      </c>
      <c r="Y28" s="1">
        <v>29</v>
      </c>
      <c r="Z28" s="1">
        <f t="shared" si="18"/>
        <v>24</v>
      </c>
      <c r="AA28" s="34">
        <f t="shared" si="4"/>
        <v>75060</v>
      </c>
      <c r="AB28" s="12">
        <v>216.06303450375003</v>
      </c>
      <c r="AC28" s="12">
        <v>16.575268955335943</v>
      </c>
      <c r="AD28" s="12"/>
      <c r="AE28" s="12">
        <v>22.993215724199999</v>
      </c>
      <c r="AF28" s="12">
        <v>54.24</v>
      </c>
      <c r="AG28" s="12">
        <v>794.95</v>
      </c>
      <c r="AH28" s="12">
        <v>-201.56</v>
      </c>
      <c r="AJ28" s="20">
        <f t="shared" si="5"/>
        <v>377.82473104466459</v>
      </c>
      <c r="AQ28" s="23" t="s">
        <v>141</v>
      </c>
      <c r="AR28" s="18">
        <v>22.86</v>
      </c>
      <c r="AS28" s="19">
        <f t="shared" si="6"/>
        <v>26.072931612000001</v>
      </c>
      <c r="AT28" s="19">
        <f t="shared" si="7"/>
        <v>25.863475947600001</v>
      </c>
      <c r="AU28" s="19">
        <f t="shared" si="8"/>
        <v>25.643031709800002</v>
      </c>
      <c r="AV28" s="19">
        <f t="shared" si="9"/>
        <v>25.409580589199997</v>
      </c>
      <c r="AW28" s="19">
        <f t="shared" si="10"/>
        <v>25.160655763200001</v>
      </c>
      <c r="AX28" s="19">
        <f t="shared" si="11"/>
        <v>24.892893382800001</v>
      </c>
      <c r="AY28" s="19">
        <f t="shared" si="12"/>
        <v>24.602032572600002</v>
      </c>
      <c r="AZ28" s="19">
        <f t="shared" si="13"/>
        <v>24.281121377999998</v>
      </c>
      <c r="BA28" s="19">
        <f t="shared" si="14"/>
        <v>23.920292508599999</v>
      </c>
      <c r="BB28" s="19">
        <f t="shared" si="15"/>
        <v>23.501829693000001</v>
      </c>
      <c r="BC28" s="20">
        <f t="shared" si="16"/>
        <v>22.993215724199999</v>
      </c>
      <c r="BE28" s="19"/>
    </row>
    <row r="29" spans="1:57" x14ac:dyDescent="0.2">
      <c r="A29" s="21" t="s">
        <v>142</v>
      </c>
      <c r="B29" s="11">
        <v>2743.2</v>
      </c>
      <c r="C29" s="12">
        <f t="shared" si="0"/>
        <v>29.407261592300966</v>
      </c>
      <c r="D29" s="33">
        <v>91.67</v>
      </c>
      <c r="E29" s="13">
        <f t="shared" si="1"/>
        <v>27.431999999999999</v>
      </c>
      <c r="F29" s="12">
        <v>-127.13</v>
      </c>
      <c r="G29" s="12">
        <v>665.62</v>
      </c>
      <c r="H29" s="14">
        <v>-1.2650678</v>
      </c>
      <c r="I29" s="4"/>
      <c r="J29" s="12">
        <f t="shared" si="2"/>
        <v>26.910792000000001</v>
      </c>
      <c r="K29" s="12">
        <f t="shared" si="3"/>
        <v>9.5196386289599957</v>
      </c>
      <c r="L29" s="12">
        <v>42.97</v>
      </c>
      <c r="M29" s="12">
        <v>479.96</v>
      </c>
      <c r="N29" s="12">
        <v>-157.58000000000001</v>
      </c>
      <c r="O29" s="4"/>
      <c r="P29" s="15">
        <v>7.5</v>
      </c>
      <c r="Q29" s="16">
        <v>31.79</v>
      </c>
      <c r="R29" s="12">
        <v>429.45</v>
      </c>
      <c r="S29" s="12">
        <v>-162.01</v>
      </c>
      <c r="T29" s="12">
        <f t="shared" si="17"/>
        <v>354.39999999999827</v>
      </c>
      <c r="U29" s="4"/>
      <c r="V29" s="1">
        <v>748.3</v>
      </c>
      <c r="W29" s="1">
        <v>-237.27</v>
      </c>
      <c r="X29" s="14">
        <v>-1.5129908000000001</v>
      </c>
      <c r="Y29" s="1">
        <v>26</v>
      </c>
      <c r="Z29" s="1">
        <f t="shared" si="18"/>
        <v>21</v>
      </c>
      <c r="AA29" s="34">
        <f t="shared" si="4"/>
        <v>75260.000000000015</v>
      </c>
      <c r="AB29" s="12">
        <v>480.28668433200005</v>
      </c>
      <c r="AC29" s="12">
        <v>14.395162024691109</v>
      </c>
      <c r="AD29" s="12"/>
      <c r="AE29" s="12">
        <v>27.637345653599997</v>
      </c>
      <c r="AF29" s="12">
        <v>51.463908609800001</v>
      </c>
      <c r="AG29" s="12">
        <v>847.90807162190004</v>
      </c>
      <c r="AH29" s="12">
        <v>-212.26115734960001</v>
      </c>
      <c r="AJ29" s="20">
        <f t="shared" si="5"/>
        <v>340.00483797530717</v>
      </c>
      <c r="AQ29" s="23" t="s">
        <v>142</v>
      </c>
      <c r="AR29" s="18">
        <v>27.431999999999999</v>
      </c>
      <c r="AS29" s="19">
        <f t="shared" si="6"/>
        <v>29.787517934400004</v>
      </c>
      <c r="AT29" s="19">
        <f t="shared" si="7"/>
        <v>29.53617113712</v>
      </c>
      <c r="AU29" s="19">
        <f t="shared" si="8"/>
        <v>29.27163805176</v>
      </c>
      <c r="AV29" s="19">
        <f t="shared" si="9"/>
        <v>28.991496707040003</v>
      </c>
      <c r="AW29" s="19">
        <f t="shared" si="10"/>
        <v>28.692786915839999</v>
      </c>
      <c r="AX29" s="19">
        <f t="shared" si="11"/>
        <v>28.371472059360002</v>
      </c>
      <c r="AY29" s="19">
        <f t="shared" si="12"/>
        <v>28.022439087120002</v>
      </c>
      <c r="AZ29" s="20">
        <f t="shared" si="13"/>
        <v>27.637345653599997</v>
      </c>
      <c r="BA29" s="19">
        <f t="shared" si="14"/>
        <v>27.204351010320003</v>
      </c>
      <c r="BB29" s="19">
        <f t="shared" si="15"/>
        <v>26.702195631599999</v>
      </c>
      <c r="BC29" s="19">
        <f t="shared" si="16"/>
        <v>26.091858869039999</v>
      </c>
    </row>
    <row r="30" spans="1:57" x14ac:dyDescent="0.2">
      <c r="A30" s="2" t="s">
        <v>143</v>
      </c>
      <c r="B30" s="11">
        <v>2529.84</v>
      </c>
      <c r="C30" s="12">
        <f t="shared" si="0"/>
        <v>30.78850836416532</v>
      </c>
      <c r="D30" s="33">
        <v>88.89</v>
      </c>
      <c r="E30" s="13">
        <f t="shared" si="1"/>
        <v>25.298400000000001</v>
      </c>
      <c r="F30" s="12">
        <v>-128.07</v>
      </c>
      <c r="G30" s="12">
        <v>647.80999999999995</v>
      </c>
      <c r="H30" s="14">
        <v>-1.2587256789000001</v>
      </c>
      <c r="I30" s="4"/>
      <c r="J30" s="12">
        <f t="shared" si="2"/>
        <v>24.817730400000006</v>
      </c>
      <c r="K30" s="12">
        <f t="shared" si="3"/>
        <v>9.221226069575998</v>
      </c>
      <c r="L30" s="12">
        <v>41.66</v>
      </c>
      <c r="M30" s="12">
        <v>466.23</v>
      </c>
      <c r="N30" s="12">
        <v>-156.21</v>
      </c>
      <c r="O30" s="4"/>
      <c r="P30" s="15">
        <v>7.5</v>
      </c>
      <c r="Q30" s="16">
        <v>31.8</v>
      </c>
      <c r="R30" s="12">
        <v>422.16</v>
      </c>
      <c r="S30" s="12">
        <v>-160.08000000000001</v>
      </c>
      <c r="T30" s="12">
        <f t="shared" si="17"/>
        <v>309.60000000000036</v>
      </c>
      <c r="U30" s="4"/>
      <c r="V30" s="1">
        <v>732.21</v>
      </c>
      <c r="W30" s="1">
        <v>-232.86</v>
      </c>
      <c r="X30" s="14">
        <v>-1.4982538000000001</v>
      </c>
      <c r="Y30" s="1">
        <v>27</v>
      </c>
      <c r="Z30" s="1">
        <f t="shared" si="18"/>
        <v>22</v>
      </c>
      <c r="AA30" s="34">
        <f t="shared" si="4"/>
        <v>72780</v>
      </c>
      <c r="AB30" s="12">
        <v>453.09619994625001</v>
      </c>
      <c r="AC30" s="12">
        <v>9.5308910148960759</v>
      </c>
      <c r="AD30" s="12"/>
      <c r="AE30" s="12">
        <v>25.671790376184006</v>
      </c>
      <c r="AF30" s="12">
        <v>51.845259148300002</v>
      </c>
      <c r="AG30" s="12">
        <v>831.07854162110004</v>
      </c>
      <c r="AH30" s="12">
        <v>-209.8148045376</v>
      </c>
      <c r="AJ30" s="19">
        <f t="shared" si="5"/>
        <v>300.06910898510426</v>
      </c>
      <c r="AQ30" s="23" t="s">
        <v>143</v>
      </c>
      <c r="AR30" s="18">
        <v>25.298400000000001</v>
      </c>
      <c r="AS30" s="19">
        <f t="shared" si="6"/>
        <v>28.054044317280002</v>
      </c>
      <c r="AT30" s="19">
        <f t="shared" si="7"/>
        <v>27.822246715344004</v>
      </c>
      <c r="AU30" s="19">
        <f t="shared" si="8"/>
        <v>27.578288425512003</v>
      </c>
      <c r="AV30" s="19">
        <f t="shared" si="9"/>
        <v>27.319935852048005</v>
      </c>
      <c r="AW30" s="19">
        <f t="shared" si="10"/>
        <v>27.044459044608004</v>
      </c>
      <c r="AX30" s="19">
        <f t="shared" si="11"/>
        <v>26.748135343632008</v>
      </c>
      <c r="AY30" s="19">
        <f t="shared" si="12"/>
        <v>26.426249380344004</v>
      </c>
      <c r="AZ30" s="19">
        <f t="shared" si="13"/>
        <v>26.071107658320006</v>
      </c>
      <c r="BA30" s="20">
        <f t="shared" si="14"/>
        <v>25.671790376184006</v>
      </c>
      <c r="BB30" s="19">
        <f t="shared" si="15"/>
        <v>25.208691526920003</v>
      </c>
      <c r="BC30" s="19">
        <f t="shared" si="16"/>
        <v>24.645825401448004</v>
      </c>
    </row>
    <row r="31" spans="1:57" x14ac:dyDescent="0.2">
      <c r="A31" s="2" t="s">
        <v>144</v>
      </c>
      <c r="B31" s="34">
        <v>2451.9963425784822</v>
      </c>
      <c r="C31" s="12">
        <f t="shared" si="0"/>
        <v>29.499772115185419</v>
      </c>
      <c r="D31" s="33">
        <v>83.333333333333343</v>
      </c>
      <c r="E31" s="13">
        <f t="shared" si="1"/>
        <v>24.519963425784823</v>
      </c>
      <c r="F31" s="12">
        <v>-138.53</v>
      </c>
      <c r="G31" s="12">
        <v>663.41</v>
      </c>
      <c r="H31" s="14">
        <v>-1.2845560809000001</v>
      </c>
      <c r="I31" s="4"/>
      <c r="J31" s="12">
        <f t="shared" si="2"/>
        <v>24.054084120694913</v>
      </c>
      <c r="K31" s="12">
        <f t="shared" si="3"/>
        <v>8.5622434792746116</v>
      </c>
      <c r="L31" s="12">
        <v>37.630000000000003</v>
      </c>
      <c r="M31" s="12">
        <v>480.66</v>
      </c>
      <c r="N31" s="12">
        <v>-165.68</v>
      </c>
      <c r="O31" s="4"/>
      <c r="P31" s="15">
        <v>7.5</v>
      </c>
      <c r="Q31" s="16">
        <v>31.76</v>
      </c>
      <c r="R31" s="12">
        <v>452.62</v>
      </c>
      <c r="S31" s="12">
        <v>-167.95</v>
      </c>
      <c r="T31" s="12">
        <f t="shared" si="17"/>
        <v>181.59999999999854</v>
      </c>
      <c r="U31" s="4"/>
      <c r="V31" s="1">
        <v>748.3</v>
      </c>
      <c r="W31" s="1">
        <v>-237.27</v>
      </c>
      <c r="X31" s="14">
        <v>-1.5129908000000001</v>
      </c>
      <c r="Y31" s="1">
        <v>26</v>
      </c>
      <c r="Z31" s="1">
        <f t="shared" si="18"/>
        <v>21</v>
      </c>
      <c r="AA31" s="34">
        <f t="shared" si="4"/>
        <v>69320.000000000015</v>
      </c>
      <c r="AB31" s="12">
        <v>449.24774895000007</v>
      </c>
      <c r="AC31" s="12">
        <v>12.259789588955545</v>
      </c>
      <c r="AD31" s="12"/>
      <c r="AE31" s="12">
        <v>25.499671147516001</v>
      </c>
      <c r="AF31" s="12">
        <v>41.533809230499998</v>
      </c>
      <c r="AG31" s="12">
        <v>812.34146964930005</v>
      </c>
      <c r="AH31" s="12">
        <v>-223.6667478606</v>
      </c>
      <c r="AJ31" s="19">
        <f t="shared" si="5"/>
        <v>169.34021041104299</v>
      </c>
      <c r="AQ31" s="23" t="s">
        <v>144</v>
      </c>
      <c r="AR31" s="18">
        <v>24.519963425784823</v>
      </c>
      <c r="AS31" s="19">
        <f t="shared" si="6"/>
        <v>27.421592468759528</v>
      </c>
      <c r="AT31" s="19">
        <f t="shared" si="7"/>
        <v>27.196927323072234</v>
      </c>
      <c r="AU31" s="19">
        <f t="shared" si="8"/>
        <v>26.960475676165807</v>
      </c>
      <c r="AV31" s="19">
        <f t="shared" si="9"/>
        <v>26.710072660469368</v>
      </c>
      <c r="AW31" s="19">
        <f t="shared" si="10"/>
        <v>26.443072326729656</v>
      </c>
      <c r="AX31" s="19">
        <f t="shared" si="11"/>
        <v>26.155866562328562</v>
      </c>
      <c r="AY31" s="19">
        <f t="shared" si="12"/>
        <v>25.843885091283148</v>
      </c>
      <c r="AZ31" s="20">
        <f t="shared" si="13"/>
        <v>25.499671147516001</v>
      </c>
      <c r="BA31" s="19">
        <f t="shared" si="14"/>
        <v>25.112640934014024</v>
      </c>
      <c r="BB31" s="19">
        <f t="shared" si="15"/>
        <v>24.663791724321854</v>
      </c>
      <c r="BC31" s="19">
        <f t="shared" si="16"/>
        <v>24.118245096464495</v>
      </c>
    </row>
    <row r="32" spans="1:57" x14ac:dyDescent="0.2">
      <c r="A32" s="2" t="s">
        <v>145</v>
      </c>
      <c r="B32" s="34">
        <v>2411.1551356293812</v>
      </c>
      <c r="C32" s="12">
        <f t="shared" si="0"/>
        <v>29.077810081602269</v>
      </c>
      <c r="D32" s="33">
        <v>81.111111111111114</v>
      </c>
      <c r="E32" s="13">
        <f t="shared" si="1"/>
        <v>24.111551356293813</v>
      </c>
      <c r="F32" s="12">
        <v>-142.88999999999999</v>
      </c>
      <c r="G32" s="12">
        <v>668.48</v>
      </c>
      <c r="H32" s="14">
        <v>-1.294074344597</v>
      </c>
      <c r="I32" s="4"/>
      <c r="J32" s="12">
        <f t="shared" si="2"/>
        <v>23.653431880524231</v>
      </c>
      <c r="K32" s="12">
        <f t="shared" si="3"/>
        <v>8.2997052128009745</v>
      </c>
      <c r="L32" s="12">
        <v>36.119999999999997</v>
      </c>
      <c r="M32" s="12">
        <v>485.77</v>
      </c>
      <c r="N32" s="12">
        <v>-169.17</v>
      </c>
      <c r="O32" s="4"/>
      <c r="P32" s="15">
        <v>7.5</v>
      </c>
      <c r="Q32" s="16">
        <v>31.74</v>
      </c>
      <c r="R32" s="12">
        <v>464.36</v>
      </c>
      <c r="S32" s="12">
        <v>-170.86</v>
      </c>
      <c r="T32" s="12">
        <f t="shared" si="17"/>
        <v>135.20000000000209</v>
      </c>
      <c r="U32" s="4"/>
      <c r="V32" s="1">
        <v>713.55</v>
      </c>
      <c r="W32" s="1">
        <v>-227.92</v>
      </c>
      <c r="X32" s="14">
        <v>-1.4818536</v>
      </c>
      <c r="Y32" s="1">
        <v>28</v>
      </c>
      <c r="Z32" s="1">
        <f t="shared" si="18"/>
        <v>23</v>
      </c>
      <c r="AA32" s="34">
        <f t="shared" si="4"/>
        <v>57059.999999999971</v>
      </c>
      <c r="AB32" s="12">
        <v>202.16148702750004</v>
      </c>
      <c r="AC32" s="12">
        <v>15.534683970575836</v>
      </c>
      <c r="AD32" s="12"/>
      <c r="AE32" s="12">
        <v>24.377906318348064</v>
      </c>
      <c r="AF32" s="12">
        <v>48.288942770200002</v>
      </c>
      <c r="AG32" s="12">
        <v>836.85996463419997</v>
      </c>
      <c r="AH32" s="12">
        <v>-216.12989673409999</v>
      </c>
      <c r="AJ32" s="19">
        <f t="shared" si="5"/>
        <v>119.66531602942625</v>
      </c>
      <c r="AQ32" s="23" t="s">
        <v>145</v>
      </c>
      <c r="AR32" s="18">
        <v>24.111551356293813</v>
      </c>
      <c r="AS32" s="19">
        <f t="shared" si="6"/>
        <v>27.08977228345017</v>
      </c>
      <c r="AT32" s="19">
        <f t="shared" si="7"/>
        <v>26.86884922968607</v>
      </c>
      <c r="AU32" s="19">
        <f t="shared" si="8"/>
        <v>26.636335994300516</v>
      </c>
      <c r="AV32" s="19">
        <f t="shared" si="9"/>
        <v>26.390103768424261</v>
      </c>
      <c r="AW32" s="19">
        <f t="shared" si="10"/>
        <v>26.127550674550442</v>
      </c>
      <c r="AX32" s="19">
        <f t="shared" si="11"/>
        <v>25.845128697896985</v>
      </c>
      <c r="AY32" s="19">
        <f t="shared" si="12"/>
        <v>25.538343686406584</v>
      </c>
      <c r="AZ32" s="19">
        <f t="shared" si="13"/>
        <v>25.19986307619628</v>
      </c>
      <c r="BA32" s="19">
        <f t="shared" si="14"/>
        <v>24.819279357238646</v>
      </c>
      <c r="BB32" s="20">
        <f t="shared" si="15"/>
        <v>24.377906318348064</v>
      </c>
      <c r="BC32" s="19">
        <f t="shared" si="16"/>
        <v>23.841446483297776</v>
      </c>
    </row>
    <row r="33" spans="1:57" x14ac:dyDescent="0.2">
      <c r="A33" s="2" t="s">
        <v>146</v>
      </c>
      <c r="B33" s="34">
        <v>2453.5202682109111</v>
      </c>
      <c r="C33" s="12">
        <f t="shared" si="0"/>
        <v>28.349289164941343</v>
      </c>
      <c r="D33" s="33">
        <v>80.555555555555557</v>
      </c>
      <c r="E33" s="13">
        <f t="shared" si="1"/>
        <v>24.535202682109112</v>
      </c>
      <c r="F33" s="12">
        <v>-144.88999999999999</v>
      </c>
      <c r="G33" s="12">
        <v>677.87</v>
      </c>
      <c r="H33" s="14">
        <v>-1.3025251900000001</v>
      </c>
      <c r="I33" s="4"/>
      <c r="J33" s="12">
        <f t="shared" si="2"/>
        <v>24.069033831149039</v>
      </c>
      <c r="K33" s="12">
        <f t="shared" si="3"/>
        <v>8.2195267189881136</v>
      </c>
      <c r="L33" s="12">
        <v>35.58</v>
      </c>
      <c r="M33" s="12">
        <v>494.21</v>
      </c>
      <c r="N33" s="12">
        <v>-171.95</v>
      </c>
      <c r="O33" s="4"/>
      <c r="P33" s="15">
        <v>7.5</v>
      </c>
      <c r="Q33" s="16">
        <v>31.72</v>
      </c>
      <c r="R33" s="12">
        <v>475</v>
      </c>
      <c r="S33" s="12">
        <v>-173.43</v>
      </c>
      <c r="T33" s="12">
        <f t="shared" si="17"/>
        <v>118.40000000000146</v>
      </c>
      <c r="U33" s="4"/>
      <c r="V33" s="1">
        <v>713.55</v>
      </c>
      <c r="W33" s="1">
        <v>-227.92</v>
      </c>
      <c r="X33" s="14">
        <v>-1.4818536</v>
      </c>
      <c r="Y33" s="1">
        <v>28</v>
      </c>
      <c r="Z33" s="1">
        <f t="shared" si="18"/>
        <v>23</v>
      </c>
      <c r="AA33" s="34">
        <f t="shared" si="4"/>
        <v>54489.999999999978</v>
      </c>
      <c r="AB33" s="12">
        <v>168.21265145343753</v>
      </c>
      <c r="AC33" s="12">
        <v>20.800944944450631</v>
      </c>
      <c r="AD33" s="12"/>
      <c r="AE33" s="12">
        <v>24.674459090216395</v>
      </c>
      <c r="AF33" s="12">
        <v>53.306583248800003</v>
      </c>
      <c r="AG33" s="12">
        <v>815.73172175130003</v>
      </c>
      <c r="AH33" s="12">
        <v>-205.68475846379999</v>
      </c>
      <c r="AJ33" s="19">
        <f t="shared" si="5"/>
        <v>97.599055055550821</v>
      </c>
      <c r="AQ33" s="23" t="s">
        <v>146</v>
      </c>
      <c r="AR33" s="18">
        <v>24.535202682109112</v>
      </c>
      <c r="AS33" s="19">
        <f t="shared" si="6"/>
        <v>27.433973818957636</v>
      </c>
      <c r="AT33" s="19">
        <f t="shared" si="7"/>
        <v>27.209169042974704</v>
      </c>
      <c r="AU33" s="19">
        <f t="shared" si="8"/>
        <v>26.972570440414508</v>
      </c>
      <c r="AV33" s="19">
        <f t="shared" si="9"/>
        <v>26.722011798232245</v>
      </c>
      <c r="AW33" s="19">
        <f t="shared" si="10"/>
        <v>26.454845522706492</v>
      </c>
      <c r="AX33" s="19">
        <f t="shared" si="11"/>
        <v>26.167461258762572</v>
      </c>
      <c r="AY33" s="19">
        <f t="shared" si="12"/>
        <v>25.855285889972571</v>
      </c>
      <c r="AZ33" s="19">
        <f t="shared" si="13"/>
        <v>25.510858015848825</v>
      </c>
      <c r="BA33" s="19">
        <f t="shared" si="14"/>
        <v>25.123587261505641</v>
      </c>
      <c r="BB33" s="20">
        <f t="shared" si="15"/>
        <v>24.674459090216395</v>
      </c>
      <c r="BC33" s="19">
        <f t="shared" si="16"/>
        <v>24.128573402925937</v>
      </c>
    </row>
    <row r="34" spans="1:57" x14ac:dyDescent="0.2">
      <c r="A34" s="21" t="s">
        <v>147</v>
      </c>
      <c r="B34" s="34">
        <v>2759.8293203291678</v>
      </c>
      <c r="C34" s="12">
        <f t="shared" si="0"/>
        <v>29.832762746180752</v>
      </c>
      <c r="D34" s="33">
        <v>93.333333333333343</v>
      </c>
      <c r="E34" s="13">
        <f t="shared" si="1"/>
        <v>27.598293203291679</v>
      </c>
      <c r="F34" s="12">
        <v>-123.96</v>
      </c>
      <c r="G34" s="12">
        <v>660.52</v>
      </c>
      <c r="H34" s="14">
        <v>-1.2571110932</v>
      </c>
      <c r="I34" s="4"/>
      <c r="J34" s="12">
        <f t="shared" si="2"/>
        <v>27.073925632429138</v>
      </c>
      <c r="K34" s="12">
        <f t="shared" si="3"/>
        <v>9.715423844559588</v>
      </c>
      <c r="L34" s="12">
        <v>44.22</v>
      </c>
      <c r="M34" s="12">
        <v>475.34</v>
      </c>
      <c r="N34" s="12">
        <v>-154.63999999999999</v>
      </c>
      <c r="O34" s="4"/>
      <c r="P34" s="15">
        <v>7.5</v>
      </c>
      <c r="Q34" s="16">
        <v>31.81</v>
      </c>
      <c r="R34" s="12">
        <v>420.33</v>
      </c>
      <c r="S34" s="12">
        <v>-159.59</v>
      </c>
      <c r="T34" s="12">
        <f t="shared" si="17"/>
        <v>396.00000000000136</v>
      </c>
      <c r="U34" s="4"/>
      <c r="V34" s="1">
        <v>748.3</v>
      </c>
      <c r="W34" s="1">
        <v>-237.27</v>
      </c>
      <c r="X34" s="14">
        <v>-1.5129908000000001</v>
      </c>
      <c r="Y34" s="1">
        <v>26</v>
      </c>
      <c r="Z34" s="1">
        <f t="shared" si="18"/>
        <v>21</v>
      </c>
      <c r="AA34" s="34">
        <f t="shared" si="4"/>
        <v>77680</v>
      </c>
      <c r="AB34" s="12">
        <v>457.10173057500003</v>
      </c>
      <c r="AC34" s="12">
        <v>18.357793633738126</v>
      </c>
      <c r="AD34" s="12"/>
      <c r="AE34" s="12">
        <v>27.759418550746723</v>
      </c>
      <c r="AF34" s="12">
        <v>51.578780136900001</v>
      </c>
      <c r="AG34" s="12">
        <v>848.30282700240002</v>
      </c>
      <c r="AH34" s="12">
        <v>-212.1173092146</v>
      </c>
      <c r="AJ34" s="20">
        <f t="shared" si="5"/>
        <v>377.64220636626322</v>
      </c>
      <c r="AQ34" s="23" t="s">
        <v>147</v>
      </c>
      <c r="AR34" s="18">
        <v>27.598293203291679</v>
      </c>
      <c r="AS34" s="19">
        <f t="shared" si="6"/>
        <v>29.922625208777813</v>
      </c>
      <c r="AT34" s="19">
        <f t="shared" si="7"/>
        <v>29.669754743370923</v>
      </c>
      <c r="AU34" s="19">
        <f t="shared" si="8"/>
        <v>29.403618054404145</v>
      </c>
      <c r="AV34" s="19">
        <f t="shared" si="9"/>
        <v>29.121778488570559</v>
      </c>
      <c r="AW34" s="19">
        <f t="shared" si="10"/>
        <v>28.821257914050594</v>
      </c>
      <c r="AX34" s="19">
        <f t="shared" si="11"/>
        <v>28.497995241999394</v>
      </c>
      <c r="AY34" s="19">
        <f t="shared" si="12"/>
        <v>28.146846426546784</v>
      </c>
      <c r="AZ34" s="20">
        <f t="shared" si="13"/>
        <v>27.759418550746723</v>
      </c>
      <c r="BA34" s="19">
        <f t="shared" si="14"/>
        <v>27.323799087320939</v>
      </c>
      <c r="BB34" s="19">
        <f t="shared" si="15"/>
        <v>26.818599635019812</v>
      </c>
      <c r="BC34" s="19">
        <f t="shared" si="16"/>
        <v>26.204563001676316</v>
      </c>
    </row>
    <row r="35" spans="1:57" x14ac:dyDescent="0.2">
      <c r="A35" s="2" t="s">
        <v>148</v>
      </c>
      <c r="B35" s="34">
        <v>2682.109113075282</v>
      </c>
      <c r="C35" s="12">
        <f t="shared" si="0"/>
        <v>28.625896464646466</v>
      </c>
      <c r="D35" s="33">
        <v>87.777777777777786</v>
      </c>
      <c r="E35" s="13">
        <f t="shared" si="1"/>
        <v>26.821091130752819</v>
      </c>
      <c r="F35" s="12">
        <v>-134.16</v>
      </c>
      <c r="G35" s="12">
        <v>675.08</v>
      </c>
      <c r="H35" s="14">
        <v>-1.2819466758</v>
      </c>
      <c r="I35" s="4"/>
      <c r="J35" s="12">
        <f t="shared" si="2"/>
        <v>26.311490399268518</v>
      </c>
      <c r="K35" s="12">
        <f t="shared" si="3"/>
        <v>9.0587301920146288</v>
      </c>
      <c r="L35" s="12">
        <v>40.200000000000003</v>
      </c>
      <c r="M35" s="12">
        <v>489.24</v>
      </c>
      <c r="N35" s="12">
        <v>-163.84</v>
      </c>
      <c r="O35" s="4"/>
      <c r="P35" s="15">
        <v>7.5</v>
      </c>
      <c r="Q35" s="16">
        <v>31.76</v>
      </c>
      <c r="R35" s="12">
        <v>449.44</v>
      </c>
      <c r="S35" s="12">
        <v>-167.16</v>
      </c>
      <c r="T35" s="12">
        <f t="shared" si="17"/>
        <v>265.59999999999945</v>
      </c>
      <c r="U35" s="4"/>
      <c r="V35" s="1">
        <v>748.3</v>
      </c>
      <c r="W35" s="1">
        <v>-237.27</v>
      </c>
      <c r="X35" s="14">
        <v>-1.5129908000000001</v>
      </c>
      <c r="Y35" s="1">
        <v>26</v>
      </c>
      <c r="Z35" s="1">
        <f t="shared" si="18"/>
        <v>21</v>
      </c>
      <c r="AA35" s="34">
        <f t="shared" si="4"/>
        <v>70110.000000000015</v>
      </c>
      <c r="AB35" s="12">
        <v>475.16588831250004</v>
      </c>
      <c r="AC35" s="12">
        <v>11.261488651447179</v>
      </c>
      <c r="AD35" s="12"/>
      <c r="AE35" s="12">
        <v>27.188888265772633</v>
      </c>
      <c r="AF35" s="12">
        <v>51.039749623799999</v>
      </c>
      <c r="AG35" s="12">
        <v>846.4475514316</v>
      </c>
      <c r="AH35" s="12">
        <v>-212.78997084599999</v>
      </c>
      <c r="AJ35" s="19">
        <f t="shared" si="5"/>
        <v>254.33851134855229</v>
      </c>
      <c r="AQ35" s="23" t="s">
        <v>148</v>
      </c>
      <c r="AR35" s="18">
        <v>26.821091130752819</v>
      </c>
      <c r="AS35" s="19">
        <f t="shared" si="6"/>
        <v>29.291176348674188</v>
      </c>
      <c r="AT35" s="19">
        <f t="shared" si="7"/>
        <v>29.045427028345021</v>
      </c>
      <c r="AU35" s="19">
        <f t="shared" si="8"/>
        <v>28.786785077720207</v>
      </c>
      <c r="AV35" s="19">
        <f t="shared" si="9"/>
        <v>28.512882462663825</v>
      </c>
      <c r="AW35" s="19">
        <f t="shared" si="10"/>
        <v>28.220824919231941</v>
      </c>
      <c r="AX35" s="19">
        <f t="shared" si="11"/>
        <v>27.906665723864677</v>
      </c>
      <c r="AY35" s="19">
        <f t="shared" si="12"/>
        <v>27.565405693386165</v>
      </c>
      <c r="AZ35" s="20">
        <f t="shared" si="13"/>
        <v>27.188888265772633</v>
      </c>
      <c r="BA35" s="19">
        <f t="shared" si="14"/>
        <v>26.765536385248399</v>
      </c>
      <c r="BB35" s="19">
        <f t="shared" si="15"/>
        <v>26.274563974398049</v>
      </c>
      <c r="BC35" s="19">
        <f t="shared" si="16"/>
        <v>25.67781937214264</v>
      </c>
    </row>
    <row r="36" spans="1:57" x14ac:dyDescent="0.2">
      <c r="A36" s="2" t="s">
        <v>149</v>
      </c>
      <c r="B36" s="34">
        <v>2712.5876257238647</v>
      </c>
      <c r="C36" s="12">
        <f t="shared" si="0"/>
        <v>31.171548064918852</v>
      </c>
      <c r="D36" s="33">
        <v>95.555555555555557</v>
      </c>
      <c r="E36" s="13">
        <f t="shared" si="1"/>
        <v>27.125876257238648</v>
      </c>
      <c r="F36" s="12">
        <v>-118.12</v>
      </c>
      <c r="G36" s="12">
        <v>644.07000000000005</v>
      </c>
      <c r="H36" s="14">
        <v>-1.2392636101000001</v>
      </c>
      <c r="I36" s="4"/>
      <c r="J36" s="12">
        <f t="shared" si="2"/>
        <v>26.610484608351115</v>
      </c>
      <c r="K36" s="12">
        <f t="shared" si="3"/>
        <v>9.9868614355379428</v>
      </c>
      <c r="L36" s="12">
        <v>46.25</v>
      </c>
      <c r="M36" s="12">
        <v>461.62</v>
      </c>
      <c r="N36" s="12">
        <v>-148.38</v>
      </c>
      <c r="O36" s="4"/>
      <c r="P36" s="15">
        <v>7.5</v>
      </c>
      <c r="Q36" s="16">
        <v>31.86</v>
      </c>
      <c r="R36" s="12">
        <v>400.57</v>
      </c>
      <c r="S36" s="12">
        <v>-154.13999999999999</v>
      </c>
      <c r="T36" s="12">
        <f t="shared" si="17"/>
        <v>460.79999999999927</v>
      </c>
      <c r="U36" s="4"/>
      <c r="V36" s="1">
        <v>748.3</v>
      </c>
      <c r="W36" s="1">
        <v>-237.27</v>
      </c>
      <c r="X36" s="14">
        <v>-1.5129908000000001</v>
      </c>
      <c r="Y36" s="1">
        <v>26</v>
      </c>
      <c r="Z36" s="1">
        <f t="shared" si="18"/>
        <v>21</v>
      </c>
      <c r="AA36" s="34">
        <f t="shared" si="4"/>
        <v>83130.000000000029</v>
      </c>
      <c r="AB36" s="61">
        <v>644.18357288250002</v>
      </c>
      <c r="AC36" s="12">
        <v>10.798751186366889</v>
      </c>
      <c r="AD36" s="12"/>
      <c r="AE36" s="12">
        <v>27.41262563242914</v>
      </c>
      <c r="AF36" s="12">
        <v>51.252290123100003</v>
      </c>
      <c r="AG36" s="12">
        <v>847.17998702299997</v>
      </c>
      <c r="AH36" s="12">
        <v>-212.525451455</v>
      </c>
      <c r="AJ36" s="60">
        <f t="shared" si="5"/>
        <v>450.0012488136324</v>
      </c>
      <c r="AQ36" s="23" t="s">
        <v>149</v>
      </c>
      <c r="AR36" s="18">
        <v>27.125876257238648</v>
      </c>
      <c r="AS36" s="19">
        <f t="shared" ref="AS36:AS54" si="19">(($AM$6*J36)/1000)+P36</f>
        <v>29.538803352636393</v>
      </c>
      <c r="AT36" s="19">
        <f t="shared" ref="AT36:AT54" si="20">(($AM$7*J36)/1000)+P36</f>
        <v>29.290261426394395</v>
      </c>
      <c r="AU36" s="19">
        <f t="shared" ref="AU36:AU54" si="21">(($AM$8*J36)/1000)+P36</f>
        <v>29.028680362694299</v>
      </c>
      <c r="AV36" s="19">
        <f t="shared" ref="AV36:AV54" si="22">(($AM$9*J36)/1000)+P36</f>
        <v>28.751665217921367</v>
      </c>
      <c r="AW36" s="19">
        <f t="shared" ref="AW36:AW54" si="23">(($AM$10*J36)/1000)+P36</f>
        <v>28.456288838768668</v>
      </c>
      <c r="AX36" s="19">
        <f t="shared" ref="AX36:AX54" si="24">(($AM$11*J36)/1000)+P36</f>
        <v>28.138559652544959</v>
      </c>
      <c r="AY36" s="19">
        <f t="shared" ref="AY36:AY54" si="25">(($AM$12*J36)/1000)+P36</f>
        <v>27.793421667174645</v>
      </c>
      <c r="AZ36" s="20">
        <f t="shared" ref="AZ36:AZ54" si="26">(($AM$13*J36)/1000)+P36</f>
        <v>27.41262563242914</v>
      </c>
      <c r="BA36" s="19">
        <f t="shared" ref="BA36:BA54" si="27">(($AM$14*J36)/1000)+P36</f>
        <v>26.984462935080771</v>
      </c>
      <c r="BB36" s="19">
        <f t="shared" ref="BB36:BB54" si="28">(($AM$15*J36)/1000)+P36</f>
        <v>26.487911292288935</v>
      </c>
      <c r="BC36" s="19">
        <f t="shared" ref="BC36:BC54" si="29">(($AM$16*J36)/1000)+P36</f>
        <v>25.884385501371536</v>
      </c>
    </row>
    <row r="37" spans="1:57" x14ac:dyDescent="0.2">
      <c r="A37" s="2" t="s">
        <v>150</v>
      </c>
      <c r="B37" s="34">
        <v>2483.9987808594938</v>
      </c>
      <c r="C37" s="12">
        <f t="shared" si="0"/>
        <v>31.171512883435586</v>
      </c>
      <c r="D37" s="35">
        <v>88.43</v>
      </c>
      <c r="E37" s="13">
        <f t="shared" si="1"/>
        <v>24.839987808594937</v>
      </c>
      <c r="F37" s="12">
        <v>-127.85</v>
      </c>
      <c r="G37" s="12">
        <v>642.80999999999995</v>
      </c>
      <c r="H37" s="14">
        <v>-1.2561527792</v>
      </c>
      <c r="I37" s="4"/>
      <c r="J37" s="12">
        <f t="shared" si="2"/>
        <v>24.368028040231636</v>
      </c>
      <c r="K37" s="12">
        <f t="shared" si="3"/>
        <v>9.1759757040536414</v>
      </c>
      <c r="L37" s="12">
        <v>41.53</v>
      </c>
      <c r="M37" s="12">
        <v>462.45</v>
      </c>
      <c r="N37" s="12">
        <v>-155.49</v>
      </c>
      <c r="O37" s="4"/>
      <c r="P37" s="15">
        <v>7.5</v>
      </c>
      <c r="Q37" s="16">
        <v>31.81</v>
      </c>
      <c r="R37" s="12">
        <v>419.24</v>
      </c>
      <c r="S37" s="12">
        <v>-159.29</v>
      </c>
      <c r="T37" s="12">
        <f t="shared" si="17"/>
        <v>303.99999999999864</v>
      </c>
      <c r="U37" s="4"/>
      <c r="V37" s="1">
        <v>713.55</v>
      </c>
      <c r="W37" s="1">
        <v>-227.92</v>
      </c>
      <c r="X37" s="14">
        <v>-1.4818536</v>
      </c>
      <c r="Y37" s="1">
        <v>28</v>
      </c>
      <c r="Z37" s="1">
        <f t="shared" si="18"/>
        <v>23</v>
      </c>
      <c r="AA37" s="34">
        <f t="shared" ref="AA37:AA54" si="30">(S37-W37)*1000</f>
        <v>68630</v>
      </c>
      <c r="AB37" s="12">
        <v>253.21236759000004</v>
      </c>
      <c r="AC37" s="12">
        <v>17.739142635114771</v>
      </c>
      <c r="AD37" s="12"/>
      <c r="AE37" s="12">
        <v>24.887806408107281</v>
      </c>
      <c r="AF37" s="12">
        <v>53.537950315700002</v>
      </c>
      <c r="AG37" s="12">
        <v>816.54636297859997</v>
      </c>
      <c r="AH37" s="12">
        <v>-205.42254790729999</v>
      </c>
      <c r="AJ37" s="19">
        <f t="shared" ref="AJ37:AJ54" si="31">T37-AC37</f>
        <v>286.26085736488386</v>
      </c>
      <c r="AQ37" s="23" t="s">
        <v>150</v>
      </c>
      <c r="AR37" s="18">
        <v>24.839987808594937</v>
      </c>
      <c r="AS37" s="19">
        <f t="shared" si="19"/>
        <v>27.68160082291984</v>
      </c>
      <c r="AT37" s="19">
        <f t="shared" si="20"/>
        <v>27.454003441024078</v>
      </c>
      <c r="AU37" s="19">
        <f t="shared" si="21"/>
        <v>27.2144657253886</v>
      </c>
      <c r="AV37" s="19">
        <f t="shared" si="22"/>
        <v>26.960794553489787</v>
      </c>
      <c r="AW37" s="19">
        <f t="shared" si="23"/>
        <v>26.690309442243219</v>
      </c>
      <c r="AX37" s="19">
        <f t="shared" si="24"/>
        <v>26.39935518744285</v>
      </c>
      <c r="AY37" s="19">
        <f t="shared" si="25"/>
        <v>26.083301863761047</v>
      </c>
      <c r="AZ37" s="19">
        <f t="shared" si="26"/>
        <v>25.734595382505333</v>
      </c>
      <c r="BA37" s="19">
        <f t="shared" si="27"/>
        <v>25.342513811338005</v>
      </c>
      <c r="BB37" s="20">
        <f t="shared" si="28"/>
        <v>24.887806408107281</v>
      </c>
      <c r="BC37" s="19">
        <f t="shared" si="29"/>
        <v>24.33513953215483</v>
      </c>
    </row>
    <row r="38" spans="1:57" x14ac:dyDescent="0.2">
      <c r="A38" s="2" t="s">
        <v>151</v>
      </c>
      <c r="B38" s="34">
        <v>3545</v>
      </c>
      <c r="C38" s="12">
        <f t="shared" si="0"/>
        <v>28.710233505720108</v>
      </c>
      <c r="D38" s="35">
        <v>112.77777777777779</v>
      </c>
      <c r="E38" s="13">
        <f t="shared" si="1"/>
        <v>35.450000000000003</v>
      </c>
      <c r="F38" s="12">
        <v>-98.85</v>
      </c>
      <c r="G38" s="12">
        <v>675.68</v>
      </c>
      <c r="H38" s="14">
        <v>-1.2215830000000001</v>
      </c>
      <c r="I38" s="4"/>
      <c r="J38" s="12">
        <f t="shared" si="2"/>
        <v>34.776450000000004</v>
      </c>
      <c r="K38" s="12">
        <f t="shared" si="3"/>
        <v>11.952248264000001</v>
      </c>
      <c r="L38" s="12">
        <v>56.33</v>
      </c>
      <c r="M38" s="12">
        <v>479.95</v>
      </c>
      <c r="N38" s="12">
        <v>-138.47999999999999</v>
      </c>
      <c r="O38" s="4"/>
      <c r="P38" s="15">
        <v>7.5</v>
      </c>
      <c r="Q38" s="16">
        <v>31.98</v>
      </c>
      <c r="R38" s="12">
        <v>375.04</v>
      </c>
      <c r="S38" s="12">
        <v>-146.66999999999999</v>
      </c>
      <c r="T38" s="12">
        <f t="shared" si="17"/>
        <v>655.19999999999982</v>
      </c>
      <c r="U38" s="4"/>
      <c r="V38" s="1">
        <v>809.03</v>
      </c>
      <c r="W38" s="1">
        <v>-255.37</v>
      </c>
      <c r="X38" s="14">
        <v>-1.573975578</v>
      </c>
      <c r="Y38" s="1">
        <v>21</v>
      </c>
      <c r="Z38" s="1">
        <f t="shared" si="18"/>
        <v>16</v>
      </c>
      <c r="AA38" s="34">
        <f t="shared" si="30"/>
        <v>108700.00000000001</v>
      </c>
      <c r="AB38" s="61">
        <v>2396.4461433281253</v>
      </c>
      <c r="AC38" s="12">
        <v>9.045847353255386</v>
      </c>
      <c r="AD38" s="12"/>
      <c r="AE38" s="12">
        <v>35.635191343499997</v>
      </c>
      <c r="AF38" s="12">
        <v>48.006242196000002</v>
      </c>
      <c r="AG38" s="12">
        <v>908.82157084489995</v>
      </c>
      <c r="AH38" s="12">
        <v>-222.86541693640001</v>
      </c>
      <c r="AJ38" s="60">
        <f t="shared" si="31"/>
        <v>646.15415264674448</v>
      </c>
      <c r="AQ38" s="23" t="s">
        <v>151</v>
      </c>
      <c r="AR38" s="18">
        <v>35.450000000000003</v>
      </c>
      <c r="AS38" s="19">
        <f t="shared" si="19"/>
        <v>36.301855890000006</v>
      </c>
      <c r="AT38" s="19">
        <f t="shared" si="20"/>
        <v>35.977043847000004</v>
      </c>
      <c r="AU38" s="20">
        <f t="shared" si="21"/>
        <v>35.635191343499997</v>
      </c>
      <c r="AV38" s="19">
        <f t="shared" si="22"/>
        <v>35.273168499000008</v>
      </c>
      <c r="AW38" s="19">
        <f t="shared" si="23"/>
        <v>34.887149903999997</v>
      </c>
      <c r="AX38" s="19">
        <f t="shared" si="24"/>
        <v>34.471919091000004</v>
      </c>
      <c r="AY38" s="19">
        <f t="shared" si="25"/>
        <v>34.020868534500003</v>
      </c>
      <c r="AZ38" s="19">
        <f t="shared" si="26"/>
        <v>33.523217535000001</v>
      </c>
      <c r="BA38" s="19">
        <f t="shared" si="27"/>
        <v>32.963664454500005</v>
      </c>
      <c r="BB38" s="19">
        <f t="shared" si="28"/>
        <v>32.3147358975</v>
      </c>
      <c r="BC38" s="19">
        <f t="shared" si="29"/>
        <v>31.526006011500002</v>
      </c>
    </row>
    <row r="39" spans="1:57" x14ac:dyDescent="0.2">
      <c r="A39" s="2" t="s">
        <v>152</v>
      </c>
      <c r="B39" s="34">
        <v>3565.9859798841817</v>
      </c>
      <c r="C39" s="12">
        <f t="shared" si="0"/>
        <v>28.541272554605889</v>
      </c>
      <c r="D39" s="35">
        <v>112.77777777777779</v>
      </c>
      <c r="E39" s="13">
        <f t="shared" si="1"/>
        <v>35.659859798841815</v>
      </c>
      <c r="F39" s="12">
        <v>-99.14</v>
      </c>
      <c r="G39" s="12">
        <v>677.74</v>
      </c>
      <c r="H39" s="14">
        <v>-1.2231330397</v>
      </c>
      <c r="I39" s="4"/>
      <c r="J39" s="12">
        <f t="shared" si="2"/>
        <v>34.982322462663824</v>
      </c>
      <c r="K39" s="12">
        <f t="shared" si="3"/>
        <v>11.950940572996036</v>
      </c>
      <c r="L39" s="12">
        <v>56.23</v>
      </c>
      <c r="M39" s="12">
        <v>481.46</v>
      </c>
      <c r="N39" s="12">
        <v>-138.99</v>
      </c>
      <c r="O39" s="4"/>
      <c r="P39" s="15">
        <v>7.5</v>
      </c>
      <c r="Q39" s="16">
        <v>31.93</v>
      </c>
      <c r="R39" s="12">
        <v>383.56</v>
      </c>
      <c r="S39" s="12">
        <v>-149.22</v>
      </c>
      <c r="T39" s="12">
        <f t="shared" si="17"/>
        <v>818.39999999999918</v>
      </c>
      <c r="U39" s="4"/>
      <c r="V39" s="1">
        <v>809.03</v>
      </c>
      <c r="W39" s="1">
        <v>-255.37</v>
      </c>
      <c r="X39" s="14">
        <v>-1.573975578</v>
      </c>
      <c r="Y39" s="1">
        <v>21</v>
      </c>
      <c r="Z39" s="1">
        <f t="shared" si="18"/>
        <v>16</v>
      </c>
      <c r="AA39" s="34">
        <f t="shared" si="30"/>
        <v>106150</v>
      </c>
      <c r="AB39" s="61">
        <v>2370.3316544250001</v>
      </c>
      <c r="AC39" s="12">
        <v>8.4653233367390275</v>
      </c>
      <c r="AD39" s="12"/>
      <c r="AE39" s="12">
        <v>35.801748341968917</v>
      </c>
      <c r="AF39" s="12">
        <v>48.127292787199998</v>
      </c>
      <c r="AG39" s="12">
        <v>909.21777965930005</v>
      </c>
      <c r="AH39" s="12">
        <v>-222.68170113599999</v>
      </c>
      <c r="AJ39" s="60">
        <f t="shared" si="31"/>
        <v>809.93467666326012</v>
      </c>
      <c r="AQ39" s="23" t="s">
        <v>152</v>
      </c>
      <c r="AR39" s="18">
        <v>35.659859798841815</v>
      </c>
      <c r="AS39" s="19">
        <f t="shared" si="19"/>
        <v>36.472359463578179</v>
      </c>
      <c r="AT39" s="19">
        <f t="shared" si="20"/>
        <v>36.145624571776899</v>
      </c>
      <c r="AU39" s="20">
        <f t="shared" si="21"/>
        <v>35.801748341968917</v>
      </c>
      <c r="AV39" s="19">
        <f t="shared" si="22"/>
        <v>35.437582365132585</v>
      </c>
      <c r="AW39" s="19">
        <f t="shared" si="23"/>
        <v>35.049278585797012</v>
      </c>
      <c r="AX39" s="19">
        <f t="shared" si="24"/>
        <v>34.631589655592805</v>
      </c>
      <c r="AY39" s="19">
        <f t="shared" si="25"/>
        <v>34.177868933252057</v>
      </c>
      <c r="AZ39" s="19">
        <f t="shared" si="26"/>
        <v>33.677271898811341</v>
      </c>
      <c r="BA39" s="19">
        <f t="shared" si="27"/>
        <v>33.114406330387084</v>
      </c>
      <c r="BB39" s="19">
        <f t="shared" si="28"/>
        <v>32.461636193233772</v>
      </c>
      <c r="BC39" s="19">
        <f t="shared" si="29"/>
        <v>31.668237119780557</v>
      </c>
    </row>
    <row r="40" spans="1:57" x14ac:dyDescent="0.2">
      <c r="A40" s="2" t="s">
        <v>153</v>
      </c>
      <c r="B40" s="34">
        <v>3123.7427613532459</v>
      </c>
      <c r="C40" s="12">
        <f t="shared" si="0"/>
        <v>29.996067909064301</v>
      </c>
      <c r="D40" s="35">
        <v>104.7</v>
      </c>
      <c r="E40" s="13">
        <f t="shared" si="1"/>
        <v>31.237427613532461</v>
      </c>
      <c r="F40" s="12">
        <v>-107.85</v>
      </c>
      <c r="G40" s="12">
        <v>659.57</v>
      </c>
      <c r="H40" s="14">
        <v>-1.22863229</v>
      </c>
      <c r="I40" s="4"/>
      <c r="J40" s="12">
        <f t="shared" si="2"/>
        <v>30.643916488875345</v>
      </c>
      <c r="K40" s="12">
        <f t="shared" si="3"/>
        <v>11.025619614964945</v>
      </c>
      <c r="L40" s="12">
        <v>51.77</v>
      </c>
      <c r="M40" s="12">
        <v>470.83</v>
      </c>
      <c r="N40" s="12">
        <v>-142.72</v>
      </c>
      <c r="O40" s="4"/>
      <c r="P40" s="15">
        <v>7.5</v>
      </c>
      <c r="Q40" s="16">
        <v>31.9</v>
      </c>
      <c r="R40" s="12">
        <v>389.27</v>
      </c>
      <c r="S40" s="12">
        <v>-150.9</v>
      </c>
      <c r="T40" s="12">
        <f t="shared" si="17"/>
        <v>654.40000000000055</v>
      </c>
      <c r="U40" s="4"/>
      <c r="V40" s="1">
        <v>775.58</v>
      </c>
      <c r="W40" s="1">
        <v>-245.11</v>
      </c>
      <c r="X40" s="14">
        <v>-1.53929</v>
      </c>
      <c r="Y40" s="1">
        <v>24</v>
      </c>
      <c r="Z40" s="1">
        <f t="shared" si="18"/>
        <v>19</v>
      </c>
      <c r="AA40" s="34">
        <f t="shared" si="30"/>
        <v>94210.000000000015</v>
      </c>
      <c r="AB40" s="61">
        <v>1088.1691541437501</v>
      </c>
      <c r="AC40" s="12">
        <v>11.050216919528401</v>
      </c>
      <c r="AD40" s="12"/>
      <c r="AE40" s="12">
        <v>31.266808750441943</v>
      </c>
      <c r="AF40" s="12">
        <v>50.43</v>
      </c>
      <c r="AG40" s="12">
        <v>876.13</v>
      </c>
      <c r="AH40" s="12">
        <v>-216.57</v>
      </c>
      <c r="AJ40" s="60">
        <f t="shared" si="31"/>
        <v>643.34978308047209</v>
      </c>
      <c r="AQ40" s="23" t="s">
        <v>153</v>
      </c>
      <c r="AR40" s="18">
        <v>31.237427613532461</v>
      </c>
      <c r="AS40" s="19">
        <f t="shared" si="19"/>
        <v>32.879291636086563</v>
      </c>
      <c r="AT40" s="19">
        <f t="shared" si="20"/>
        <v>32.593077456080465</v>
      </c>
      <c r="AU40" s="19">
        <f t="shared" si="21"/>
        <v>32.291847756994819</v>
      </c>
      <c r="AV40" s="19">
        <f t="shared" si="22"/>
        <v>31.97284458634563</v>
      </c>
      <c r="AW40" s="19">
        <f t="shared" si="23"/>
        <v>31.632697113319111</v>
      </c>
      <c r="AX40" s="20">
        <f t="shared" si="24"/>
        <v>31.266808750441943</v>
      </c>
      <c r="AY40" s="19">
        <f t="shared" si="25"/>
        <v>30.869357153581227</v>
      </c>
      <c r="AZ40" s="19">
        <f t="shared" si="26"/>
        <v>30.43084270862542</v>
      </c>
      <c r="BA40" s="19">
        <f t="shared" si="27"/>
        <v>29.937782092319416</v>
      </c>
      <c r="BB40" s="19">
        <f t="shared" si="28"/>
        <v>29.365966610637003</v>
      </c>
      <c r="BC40" s="19">
        <f t="shared" si="29"/>
        <v>28.670962584669308</v>
      </c>
      <c r="BE40" s="19"/>
    </row>
    <row r="41" spans="1:57" x14ac:dyDescent="0.2">
      <c r="A41" s="2" t="s">
        <v>154</v>
      </c>
      <c r="B41" s="34">
        <v>2697.3483693995731</v>
      </c>
      <c r="C41" s="12">
        <f t="shared" si="0"/>
        <v>25.580677966101696</v>
      </c>
      <c r="D41" s="35">
        <v>80</v>
      </c>
      <c r="E41" s="13">
        <f t="shared" si="1"/>
        <v>26.973483693995732</v>
      </c>
      <c r="F41" s="12">
        <v>-151.28</v>
      </c>
      <c r="G41" s="12">
        <v>713.12</v>
      </c>
      <c r="H41" s="14">
        <v>-1.3305091738999999</v>
      </c>
      <c r="I41" s="4"/>
      <c r="J41" s="12">
        <f t="shared" si="2"/>
        <v>26.460987503809815</v>
      </c>
      <c r="K41" s="12">
        <f t="shared" si="3"/>
        <v>8.103624285278876</v>
      </c>
      <c r="L41" s="12">
        <v>34.6</v>
      </c>
      <c r="M41" s="12">
        <v>527.04999999999995</v>
      </c>
      <c r="N41" s="12">
        <v>-180.81</v>
      </c>
      <c r="O41" s="4"/>
      <c r="P41" s="15">
        <v>7.5</v>
      </c>
      <c r="Q41" s="16">
        <v>31.65</v>
      </c>
      <c r="R41" s="12">
        <v>511.69</v>
      </c>
      <c r="S41" s="12">
        <v>-181.96</v>
      </c>
      <c r="T41" s="12">
        <f t="shared" si="17"/>
        <v>92.000000000000455</v>
      </c>
      <c r="U41" s="4"/>
      <c r="V41" s="1">
        <v>748.3</v>
      </c>
      <c r="W41" s="1">
        <v>-237.27</v>
      </c>
      <c r="X41" s="14">
        <v>-1.5129908000000001</v>
      </c>
      <c r="Y41" s="1">
        <v>26</v>
      </c>
      <c r="Z41" s="1">
        <f t="shared" si="18"/>
        <v>21</v>
      </c>
      <c r="AA41" s="34">
        <f t="shared" si="30"/>
        <v>55310</v>
      </c>
      <c r="AB41" s="12">
        <v>300.02209807499997</v>
      </c>
      <c r="AC41" s="12">
        <v>13.641083635288002</v>
      </c>
      <c r="AD41" s="12"/>
      <c r="AE41" s="12">
        <v>27.300756949100883</v>
      </c>
      <c r="AF41" s="12">
        <v>51.146137036799999</v>
      </c>
      <c r="AG41" s="12">
        <v>846.81430744349996</v>
      </c>
      <c r="AH41" s="12">
        <v>-212.65767994780001</v>
      </c>
      <c r="AJ41" s="19">
        <f t="shared" si="31"/>
        <v>78.358916364712456</v>
      </c>
      <c r="AQ41" s="23" t="s">
        <v>154</v>
      </c>
      <c r="AR41" s="18">
        <v>26.973483693995732</v>
      </c>
      <c r="AS41" s="19">
        <f t="shared" si="19"/>
        <v>29.414989850655289</v>
      </c>
      <c r="AT41" s="19">
        <f t="shared" si="20"/>
        <v>29.167844227369702</v>
      </c>
      <c r="AU41" s="19">
        <f t="shared" si="21"/>
        <v>28.907732720207253</v>
      </c>
      <c r="AV41" s="19">
        <f t="shared" si="22"/>
        <v>28.632273840292594</v>
      </c>
      <c r="AW41" s="19">
        <f t="shared" si="23"/>
        <v>28.338556879000304</v>
      </c>
      <c r="AX41" s="19">
        <f t="shared" si="24"/>
        <v>28.022612688204816</v>
      </c>
      <c r="AY41" s="19">
        <f t="shared" si="25"/>
        <v>27.679413680280401</v>
      </c>
      <c r="AZ41" s="20">
        <f t="shared" si="26"/>
        <v>27.300756949100883</v>
      </c>
      <c r="BA41" s="19">
        <f t="shared" si="27"/>
        <v>26.874999660164583</v>
      </c>
      <c r="BB41" s="19">
        <f t="shared" si="28"/>
        <v>26.381237633343492</v>
      </c>
      <c r="BC41" s="19">
        <f t="shared" si="29"/>
        <v>25.781102436757088</v>
      </c>
      <c r="BE41" s="19"/>
    </row>
    <row r="42" spans="1:57" x14ac:dyDescent="0.2">
      <c r="A42" s="5" t="s">
        <v>155</v>
      </c>
      <c r="B42" s="34">
        <v>3587.0161536117034</v>
      </c>
      <c r="C42" s="12">
        <f t="shared" si="0"/>
        <v>29.148336968117754</v>
      </c>
      <c r="D42" s="35">
        <v>115.55555555555556</v>
      </c>
      <c r="E42" s="13">
        <f t="shared" si="1"/>
        <v>35.870161536117031</v>
      </c>
      <c r="F42" s="12">
        <v>-94.2</v>
      </c>
      <c r="G42" s="12">
        <v>670.49</v>
      </c>
      <c r="H42" s="14">
        <v>-1.2111799999999999</v>
      </c>
      <c r="I42" s="4"/>
      <c r="J42" s="12">
        <f t="shared" si="2"/>
        <v>35.188628466930815</v>
      </c>
      <c r="K42" s="12">
        <f t="shared" si="3"/>
        <v>12.276538035324588</v>
      </c>
      <c r="L42" s="12">
        <v>58.48</v>
      </c>
      <c r="M42" s="12">
        <v>475.05</v>
      </c>
      <c r="N42" s="12">
        <v>-134.36000000000001</v>
      </c>
      <c r="O42" s="4"/>
      <c r="P42" s="1">
        <v>7.5</v>
      </c>
      <c r="Q42" s="12">
        <v>32</v>
      </c>
      <c r="R42" s="12">
        <v>371.47</v>
      </c>
      <c r="S42" s="12">
        <v>-145.57</v>
      </c>
      <c r="T42" s="12">
        <f t="shared" si="17"/>
        <v>896.79999999999836</v>
      </c>
      <c r="U42" s="4"/>
      <c r="V42" s="1">
        <v>809.03</v>
      </c>
      <c r="W42" s="1">
        <v>-255.37</v>
      </c>
      <c r="X42" s="14">
        <v>-1.573975578</v>
      </c>
      <c r="Y42" s="1">
        <v>21</v>
      </c>
      <c r="Z42" s="1">
        <f t="shared" si="18"/>
        <v>16</v>
      </c>
      <c r="AA42" s="34">
        <f t="shared" si="30"/>
        <v>109800.00000000001</v>
      </c>
      <c r="AB42" s="61">
        <v>2561.3797574531254</v>
      </c>
      <c r="AC42" s="12">
        <v>8.4261228265075978</v>
      </c>
      <c r="AD42" s="12"/>
      <c r="AE42" s="12">
        <v>35.968656088601037</v>
      </c>
      <c r="AF42" s="12">
        <v>48.25</v>
      </c>
      <c r="AG42" s="12">
        <v>909.62</v>
      </c>
      <c r="AH42" s="12">
        <v>-222.49799999999999</v>
      </c>
      <c r="AJ42" s="60">
        <f t="shared" si="31"/>
        <v>888.37387717349077</v>
      </c>
      <c r="AQ42" s="36" t="s">
        <v>155</v>
      </c>
      <c r="AR42" s="18">
        <v>35.870161536117031</v>
      </c>
      <c r="AS42" s="19">
        <f t="shared" si="19"/>
        <v>36.643222096312101</v>
      </c>
      <c r="AT42" s="19">
        <f t="shared" si="20"/>
        <v>36.31456030643097</v>
      </c>
      <c r="AU42" s="20">
        <f t="shared" si="21"/>
        <v>35.968656088601037</v>
      </c>
      <c r="AV42" s="19">
        <f t="shared" si="22"/>
        <v>35.602342466260289</v>
      </c>
      <c r="AW42" s="19">
        <f t="shared" si="23"/>
        <v>35.211748690277361</v>
      </c>
      <c r="AX42" s="19">
        <f t="shared" si="24"/>
        <v>34.791596466382202</v>
      </c>
      <c r="AY42" s="19">
        <f t="shared" si="25"/>
        <v>34.335199955166111</v>
      </c>
      <c r="AZ42" s="19">
        <f t="shared" si="26"/>
        <v>33.831650681804327</v>
      </c>
      <c r="BA42" s="19">
        <f t="shared" si="27"/>
        <v>33.265465649771414</v>
      </c>
      <c r="BB42" s="19">
        <f t="shared" si="28"/>
        <v>32.608845842578482</v>
      </c>
      <c r="BC42" s="19">
        <f t="shared" si="29"/>
        <v>31.810767748948493</v>
      </c>
    </row>
    <row r="43" spans="1:57" x14ac:dyDescent="0.2">
      <c r="A43" s="2" t="s">
        <v>156</v>
      </c>
      <c r="B43" s="34">
        <v>3687.5952453520267</v>
      </c>
      <c r="C43" s="12">
        <f t="shared" si="0"/>
        <v>28.654627104168391</v>
      </c>
      <c r="D43" s="35">
        <v>116.66666666666667</v>
      </c>
      <c r="E43" s="13">
        <f t="shared" si="1"/>
        <v>36.87595245352027</v>
      </c>
      <c r="F43" s="12">
        <v>-93.47</v>
      </c>
      <c r="G43" s="12">
        <v>676.56</v>
      </c>
      <c r="H43" s="14">
        <v>-1.2131670000000001</v>
      </c>
      <c r="I43" s="4"/>
      <c r="J43" s="12">
        <f t="shared" si="2"/>
        <v>36.175309356903384</v>
      </c>
      <c r="K43" s="12">
        <f t="shared" si="3"/>
        <v>12.401185155013717</v>
      </c>
      <c r="L43" s="12">
        <v>58.87</v>
      </c>
      <c r="M43" s="12">
        <v>479.02</v>
      </c>
      <c r="N43" s="12">
        <v>-134.76</v>
      </c>
      <c r="O43" s="4"/>
      <c r="P43" s="1">
        <v>7.5</v>
      </c>
      <c r="Q43" s="12">
        <v>31.99</v>
      </c>
      <c r="R43" s="12">
        <v>373.45</v>
      </c>
      <c r="S43" s="12">
        <v>-146.18</v>
      </c>
      <c r="T43" s="12">
        <f t="shared" si="17"/>
        <v>913.60000000000127</v>
      </c>
      <c r="U43" s="4"/>
      <c r="V43" s="1">
        <v>818.86</v>
      </c>
      <c r="W43" s="1">
        <v>-258.52</v>
      </c>
      <c r="X43" s="14">
        <v>-1.5847127577</v>
      </c>
      <c r="Y43" s="1">
        <v>20</v>
      </c>
      <c r="Z43" s="1">
        <f t="shared" si="18"/>
        <v>15</v>
      </c>
      <c r="AA43" s="34">
        <f t="shared" si="30"/>
        <v>112339.99999999997</v>
      </c>
      <c r="AB43" s="61">
        <v>2954.5108076925003</v>
      </c>
      <c r="AC43" s="12">
        <v>9.0048981820613658</v>
      </c>
      <c r="AD43" s="12"/>
      <c r="AE43" s="12">
        <v>37.122513819993905</v>
      </c>
      <c r="AF43" s="12">
        <v>47.2327416599</v>
      </c>
      <c r="AG43" s="12">
        <v>918.64581742730002</v>
      </c>
      <c r="AH43" s="12">
        <v>-224.6810958273</v>
      </c>
      <c r="AJ43" s="60">
        <f t="shared" si="31"/>
        <v>904.59510181793996</v>
      </c>
      <c r="AQ43" s="23" t="s">
        <v>156</v>
      </c>
      <c r="AR43" s="18">
        <v>36.87595245352027</v>
      </c>
      <c r="AS43" s="19">
        <f t="shared" si="19"/>
        <v>37.460391209387382</v>
      </c>
      <c r="AT43" s="20">
        <f t="shared" si="20"/>
        <v>37.122513819993905</v>
      </c>
      <c r="AU43" s="19">
        <f t="shared" si="21"/>
        <v>36.766910529015547</v>
      </c>
      <c r="AV43" s="19">
        <f t="shared" si="22"/>
        <v>36.390325558610179</v>
      </c>
      <c r="AW43" s="19">
        <f t="shared" si="23"/>
        <v>35.988779624748553</v>
      </c>
      <c r="AX43" s="19">
        <f t="shared" si="24"/>
        <v>35.556846431027125</v>
      </c>
      <c r="AY43" s="19">
        <f t="shared" si="25"/>
        <v>35.087652668668085</v>
      </c>
      <c r="AZ43" s="19">
        <f t="shared" si="26"/>
        <v>34.569983991770798</v>
      </c>
      <c r="BA43" s="19">
        <f t="shared" si="27"/>
        <v>33.987923264218225</v>
      </c>
      <c r="BB43" s="19">
        <f t="shared" si="28"/>
        <v>33.312891991618415</v>
      </c>
      <c r="BC43" s="19">
        <f t="shared" si="29"/>
        <v>32.492435975403836</v>
      </c>
      <c r="BE43" s="19"/>
    </row>
    <row r="44" spans="1:57" x14ac:dyDescent="0.2">
      <c r="A44" s="2" t="s">
        <v>157</v>
      </c>
      <c r="B44" s="34">
        <v>3637.0009143553793</v>
      </c>
      <c r="C44" s="12">
        <f t="shared" si="0"/>
        <v>29.205992718604808</v>
      </c>
      <c r="D44" s="35">
        <v>117.22222222222223</v>
      </c>
      <c r="E44" s="13">
        <f t="shared" si="1"/>
        <v>36.370009143553794</v>
      </c>
      <c r="F44" s="12">
        <v>-91.78</v>
      </c>
      <c r="G44" s="12">
        <v>669.9</v>
      </c>
      <c r="H44" s="14">
        <v>-1.2068791400000001</v>
      </c>
      <c r="I44" s="4"/>
      <c r="J44" s="12">
        <f t="shared" si="2"/>
        <v>35.678978969826275</v>
      </c>
      <c r="K44" s="12">
        <f t="shared" si="3"/>
        <v>12.468661131667172</v>
      </c>
      <c r="L44" s="12">
        <v>59.63</v>
      </c>
      <c r="M44" s="12">
        <v>474</v>
      </c>
      <c r="N44" s="12">
        <v>-132.53</v>
      </c>
      <c r="O44" s="4"/>
      <c r="P44" s="1">
        <v>7.5</v>
      </c>
      <c r="Q44" s="12">
        <v>32.04</v>
      </c>
      <c r="R44" s="12">
        <v>367.22</v>
      </c>
      <c r="S44" s="12">
        <v>-144.26</v>
      </c>
      <c r="T44" s="12">
        <f t="shared" si="17"/>
        <v>938.39999999999918</v>
      </c>
      <c r="U44" s="4"/>
      <c r="V44" s="1">
        <v>818.86</v>
      </c>
      <c r="W44" s="1">
        <v>-258.52</v>
      </c>
      <c r="X44" s="14">
        <v>-1.5847127577</v>
      </c>
      <c r="Y44" s="1">
        <v>20</v>
      </c>
      <c r="Z44" s="1">
        <f t="shared" si="18"/>
        <v>15</v>
      </c>
      <c r="AA44" s="34">
        <f t="shared" si="30"/>
        <v>114259.99999999999</v>
      </c>
      <c r="AB44" s="61">
        <v>3309.667856775</v>
      </c>
      <c r="AC44" s="12">
        <v>8.1188591859221599</v>
      </c>
      <c r="AD44" s="12"/>
      <c r="AE44" s="12">
        <v>36.716088719231941</v>
      </c>
      <c r="AF44" s="12">
        <v>46.948506883100002</v>
      </c>
      <c r="AG44" s="12">
        <v>917.72089782880005</v>
      </c>
      <c r="AH44" s="12">
        <v>-225.12436162040001</v>
      </c>
      <c r="AJ44" s="60">
        <f t="shared" si="31"/>
        <v>930.28114081407705</v>
      </c>
      <c r="AQ44" s="23" t="s">
        <v>157</v>
      </c>
      <c r="AR44" s="18">
        <v>36.370009143553794</v>
      </c>
      <c r="AS44" s="19">
        <f t="shared" si="19"/>
        <v>37.049330382810126</v>
      </c>
      <c r="AT44" s="20">
        <f t="shared" si="20"/>
        <v>36.716088719231941</v>
      </c>
      <c r="AU44" s="19">
        <f t="shared" si="21"/>
        <v>36.365364355958548</v>
      </c>
      <c r="AV44" s="19">
        <f t="shared" si="22"/>
        <v>35.99394618488266</v>
      </c>
      <c r="AW44" s="19">
        <f t="shared" si="23"/>
        <v>35.597909518317593</v>
      </c>
      <c r="AX44" s="19">
        <f t="shared" si="24"/>
        <v>35.171902509417862</v>
      </c>
      <c r="AY44" s="19">
        <f t="shared" si="25"/>
        <v>34.709146152179216</v>
      </c>
      <c r="AZ44" s="19">
        <f t="shared" si="26"/>
        <v>34.198579963120999</v>
      </c>
      <c r="BA44" s="19">
        <f t="shared" si="27"/>
        <v>33.624505191496496</v>
      </c>
      <c r="BB44" s="19">
        <f t="shared" si="28"/>
        <v>32.958735443919537</v>
      </c>
      <c r="BC44" s="19">
        <f t="shared" si="29"/>
        <v>32.14953620088388</v>
      </c>
      <c r="BE44" s="19"/>
    </row>
    <row r="45" spans="1:57" x14ac:dyDescent="0.2">
      <c r="A45" s="2" t="s">
        <v>158</v>
      </c>
      <c r="B45" s="34">
        <v>3470</v>
      </c>
      <c r="C45" s="12">
        <f t="shared" si="0"/>
        <v>29.394812680115272</v>
      </c>
      <c r="D45" s="12">
        <v>113</v>
      </c>
      <c r="E45" s="13">
        <f t="shared" si="1"/>
        <v>34.700000000000003</v>
      </c>
      <c r="F45" s="12">
        <v>-97.36</v>
      </c>
      <c r="G45" s="12">
        <v>667.39</v>
      </c>
      <c r="H45" s="14">
        <v>-1.2148316654</v>
      </c>
      <c r="I45" s="4"/>
      <c r="J45" s="12">
        <f t="shared" si="2"/>
        <v>34.040700000000001</v>
      </c>
      <c r="K45" s="12">
        <f t="shared" si="3"/>
        <v>11.981577227000002</v>
      </c>
      <c r="L45" s="12">
        <v>56.93</v>
      </c>
      <c r="M45" s="12">
        <v>473.73</v>
      </c>
      <c r="N45" s="12">
        <v>-136.19</v>
      </c>
      <c r="O45" s="4"/>
      <c r="P45" s="1">
        <v>7.5</v>
      </c>
      <c r="Q45" s="12">
        <v>31.98</v>
      </c>
      <c r="R45" s="12">
        <v>375.11</v>
      </c>
      <c r="S45" s="12">
        <v>-146.69</v>
      </c>
      <c r="T45" s="12">
        <f t="shared" si="17"/>
        <v>840</v>
      </c>
      <c r="U45" s="4"/>
      <c r="V45" s="1">
        <v>809.03</v>
      </c>
      <c r="W45" s="1">
        <v>-255.37</v>
      </c>
      <c r="X45" s="14">
        <v>-1.573975578</v>
      </c>
      <c r="Y45" s="1">
        <v>21</v>
      </c>
      <c r="Z45" s="1">
        <f t="shared" si="18"/>
        <v>16</v>
      </c>
      <c r="AA45" s="34">
        <f t="shared" si="30"/>
        <v>108680</v>
      </c>
      <c r="AB45" s="61">
        <v>2393.5009002187498</v>
      </c>
      <c r="AC45" s="12">
        <v>9.0581309289687812</v>
      </c>
      <c r="AD45" s="12"/>
      <c r="AE45" s="12">
        <v>35.039947521000002</v>
      </c>
      <c r="AF45" s="12">
        <v>47.572744032000003</v>
      </c>
      <c r="AG45" s="12">
        <v>907.40008678280003</v>
      </c>
      <c r="AH45" s="12">
        <v>-223.5206208848</v>
      </c>
      <c r="AJ45" s="60">
        <f t="shared" si="31"/>
        <v>830.94186907103119</v>
      </c>
      <c r="AQ45" s="23" t="s">
        <v>158</v>
      </c>
      <c r="AR45" s="18">
        <v>34.700000000000003</v>
      </c>
      <c r="AS45" s="19">
        <f t="shared" si="19"/>
        <v>35.692507739999996</v>
      </c>
      <c r="AT45" s="19">
        <f t="shared" si="20"/>
        <v>35.374567601999999</v>
      </c>
      <c r="AU45" s="20">
        <f t="shared" si="21"/>
        <v>35.039947521000002</v>
      </c>
      <c r="AV45" s="19">
        <f t="shared" si="22"/>
        <v>34.685583833999999</v>
      </c>
      <c r="AW45" s="19">
        <f t="shared" si="23"/>
        <v>34.307732064</v>
      </c>
      <c r="AX45" s="19">
        <f t="shared" si="24"/>
        <v>33.901286106000001</v>
      </c>
      <c r="AY45" s="19">
        <f t="shared" si="25"/>
        <v>33.459778227000001</v>
      </c>
      <c r="AZ45" s="19">
        <f t="shared" si="26"/>
        <v>32.972655809999999</v>
      </c>
      <c r="BA45" s="19">
        <f t="shared" si="27"/>
        <v>32.424940947000003</v>
      </c>
      <c r="BB45" s="19">
        <f t="shared" si="28"/>
        <v>31.789741485</v>
      </c>
      <c r="BC45" s="19">
        <f t="shared" si="29"/>
        <v>31.017698409000001</v>
      </c>
    </row>
    <row r="46" spans="1:57" x14ac:dyDescent="0.2">
      <c r="A46" s="2" t="s">
        <v>159</v>
      </c>
      <c r="B46" s="34">
        <v>3826.5772630295601</v>
      </c>
      <c r="C46" s="12">
        <f t="shared" si="0"/>
        <v>27.323518739767277</v>
      </c>
      <c r="D46" s="35">
        <v>115.55555555555556</v>
      </c>
      <c r="E46" s="13">
        <f t="shared" si="1"/>
        <v>38.265772630295601</v>
      </c>
      <c r="F46" s="12">
        <v>-97.21</v>
      </c>
      <c r="G46" s="12">
        <v>692.77</v>
      </c>
      <c r="H46" s="14">
        <v>-1.2279779353</v>
      </c>
      <c r="I46" s="4"/>
      <c r="J46" s="12">
        <f t="shared" si="2"/>
        <v>37.538722950319986</v>
      </c>
      <c r="K46" s="12">
        <f t="shared" si="3"/>
        <v>12.260071532002424</v>
      </c>
      <c r="L46" s="12">
        <v>57.21</v>
      </c>
      <c r="M46" s="12">
        <v>491.44</v>
      </c>
      <c r="N46" s="12">
        <v>-139.96</v>
      </c>
      <c r="O46" s="4"/>
      <c r="P46" s="1">
        <v>7.5</v>
      </c>
      <c r="Q46" s="12">
        <v>31.9</v>
      </c>
      <c r="R46" s="12">
        <v>388.59</v>
      </c>
      <c r="S46" s="12">
        <v>-150.69999999999999</v>
      </c>
      <c r="T46" s="12">
        <f t="shared" si="17"/>
        <v>859.19999999999845</v>
      </c>
      <c r="U46" s="4"/>
      <c r="V46" s="1">
        <v>828.2</v>
      </c>
      <c r="W46" s="1">
        <v>-261.58</v>
      </c>
      <c r="X46" s="14">
        <v>-1.59514529</v>
      </c>
      <c r="Y46" s="1">
        <v>19</v>
      </c>
      <c r="Z46" s="1">
        <f t="shared" si="18"/>
        <v>14</v>
      </c>
      <c r="AA46" s="34">
        <f t="shared" si="30"/>
        <v>110880</v>
      </c>
      <c r="AB46" s="61">
        <v>3116.0672097187512</v>
      </c>
      <c r="AC46" s="12">
        <v>9.7111354707796149</v>
      </c>
      <c r="AD46" s="12"/>
      <c r="AE46" s="12">
        <v>38.589570347455052</v>
      </c>
      <c r="AF46" s="12">
        <v>46.442384589699998</v>
      </c>
      <c r="AG46" s="12">
        <v>927.96966946220005</v>
      </c>
      <c r="AH46" s="12">
        <v>-226.4304074234</v>
      </c>
      <c r="AJ46" s="60">
        <f t="shared" si="31"/>
        <v>849.48886452921886</v>
      </c>
      <c r="AQ46" s="23" t="s">
        <v>159</v>
      </c>
      <c r="AR46" s="18">
        <v>38.265772630295643</v>
      </c>
      <c r="AS46" s="20">
        <f t="shared" si="19"/>
        <v>38.589570347455009</v>
      </c>
      <c r="AT46" s="19">
        <f t="shared" si="20"/>
        <v>38.238958675099028</v>
      </c>
      <c r="AU46" s="19">
        <f t="shared" si="21"/>
        <v>37.869953028497378</v>
      </c>
      <c r="AV46" s="19">
        <f t="shared" si="22"/>
        <v>37.479174922584548</v>
      </c>
      <c r="AW46" s="19">
        <f t="shared" si="23"/>
        <v>37.062495097835992</v>
      </c>
      <c r="AX46" s="19">
        <f t="shared" si="24"/>
        <v>36.614282745809177</v>
      </c>
      <c r="AY46" s="19">
        <f t="shared" si="25"/>
        <v>36.127405509143529</v>
      </c>
      <c r="AZ46" s="19">
        <f t="shared" si="26"/>
        <v>35.590226383724442</v>
      </c>
      <c r="BA46" s="19">
        <f t="shared" si="27"/>
        <v>34.986228331453802</v>
      </c>
      <c r="BB46" s="19">
        <f t="shared" si="28"/>
        <v>34.285755761200825</v>
      </c>
      <c r="BC46" s="19">
        <f t="shared" si="29"/>
        <v>33.434377524687569</v>
      </c>
      <c r="BE46" s="19"/>
    </row>
    <row r="47" spans="1:57" x14ac:dyDescent="0.2">
      <c r="A47" s="2" t="s">
        <v>160</v>
      </c>
      <c r="B47" s="34">
        <v>2438.28101188662</v>
      </c>
      <c r="C47" s="12">
        <f t="shared" si="0"/>
        <v>30.577097222222225</v>
      </c>
      <c r="D47" s="35">
        <v>85.555555555555557</v>
      </c>
      <c r="E47" s="13">
        <f t="shared" si="1"/>
        <v>24.3828101188662</v>
      </c>
      <c r="F47" s="12">
        <v>-133.07</v>
      </c>
      <c r="G47" s="12">
        <v>649.82000000000005</v>
      </c>
      <c r="H47" s="14">
        <v>-1.2686893982</v>
      </c>
      <c r="I47" s="4"/>
      <c r="J47" s="12">
        <f t="shared" si="2"/>
        <v>23.919536726607745</v>
      </c>
      <c r="K47" s="12">
        <f t="shared" si="3"/>
        <v>8.8394167631819531</v>
      </c>
      <c r="L47" s="12">
        <v>39.42</v>
      </c>
      <c r="M47" s="12">
        <v>468.74</v>
      </c>
      <c r="N47" s="12">
        <v>-160.15</v>
      </c>
      <c r="O47" s="4"/>
      <c r="P47" s="1">
        <v>7.5</v>
      </c>
      <c r="Q47" s="12">
        <v>31.78</v>
      </c>
      <c r="R47" s="12">
        <v>433.66</v>
      </c>
      <c r="S47" s="12">
        <v>-163.11000000000001</v>
      </c>
      <c r="T47" s="12">
        <f t="shared" si="17"/>
        <v>236.80000000000064</v>
      </c>
      <c r="U47" s="4"/>
      <c r="V47" s="1">
        <v>713.55</v>
      </c>
      <c r="W47" s="1">
        <v>-227.92</v>
      </c>
      <c r="X47" s="14">
        <v>-1.4818536</v>
      </c>
      <c r="Y47" s="1">
        <v>28</v>
      </c>
      <c r="Z47" s="1">
        <f t="shared" si="18"/>
        <v>23</v>
      </c>
      <c r="AA47" s="34">
        <f t="shared" si="30"/>
        <v>64809.999999999971</v>
      </c>
      <c r="AB47" s="12">
        <v>237.09207030468752</v>
      </c>
      <c r="AC47" s="12">
        <v>16.899962128146637</v>
      </c>
      <c r="AD47" s="12"/>
      <c r="AE47" s="12">
        <v>24.567785431270956</v>
      </c>
      <c r="AF47" s="12">
        <v>53.191554738100002</v>
      </c>
      <c r="AG47" s="12">
        <v>815.32615606620004</v>
      </c>
      <c r="AH47" s="12">
        <v>-205.8147347092</v>
      </c>
      <c r="AJ47" s="19">
        <f t="shared" si="31"/>
        <v>219.90003787185401</v>
      </c>
      <c r="AQ47" s="23" t="s">
        <v>160</v>
      </c>
      <c r="AR47" s="18">
        <v>24.3828101188662</v>
      </c>
      <c r="AS47" s="19">
        <f t="shared" si="19"/>
        <v>27.310160316976535</v>
      </c>
      <c r="AT47" s="19">
        <f t="shared" si="20"/>
        <v>27.086751843950019</v>
      </c>
      <c r="AU47" s="19">
        <f t="shared" si="21"/>
        <v>26.851622797927462</v>
      </c>
      <c r="AV47" s="19">
        <f t="shared" si="22"/>
        <v>26.602620420603479</v>
      </c>
      <c r="AW47" s="19">
        <f t="shared" si="23"/>
        <v>26.337113562938132</v>
      </c>
      <c r="AX47" s="19">
        <f t="shared" si="24"/>
        <v>26.051514294422436</v>
      </c>
      <c r="AY47" s="19">
        <f t="shared" si="25"/>
        <v>25.741277903078331</v>
      </c>
      <c r="AZ47" s="19">
        <f t="shared" si="26"/>
        <v>25.398989332520575</v>
      </c>
      <c r="BA47" s="19">
        <f t="shared" si="27"/>
        <v>25.014123986589457</v>
      </c>
      <c r="BB47" s="20">
        <f t="shared" si="28"/>
        <v>24.567785431270956</v>
      </c>
      <c r="BC47" s="19">
        <f t="shared" si="29"/>
        <v>24.025290338311493</v>
      </c>
      <c r="BE47" s="19"/>
    </row>
    <row r="48" spans="1:57" x14ac:dyDescent="0.2">
      <c r="A48" s="2" t="s">
        <v>161</v>
      </c>
      <c r="B48" s="34">
        <v>2697.3483693995731</v>
      </c>
      <c r="C48" s="12">
        <f t="shared" si="0"/>
        <v>31.347658505963594</v>
      </c>
      <c r="D48" s="35">
        <v>95.555555555555557</v>
      </c>
      <c r="E48" s="13">
        <f t="shared" si="1"/>
        <v>26.973483693995732</v>
      </c>
      <c r="F48" s="12">
        <v>-117.73</v>
      </c>
      <c r="G48" s="12">
        <v>641.76</v>
      </c>
      <c r="H48" s="14">
        <v>-1.2375364900000001</v>
      </c>
      <c r="I48" s="4"/>
      <c r="J48" s="12">
        <f t="shared" si="2"/>
        <v>26.460987503809815</v>
      </c>
      <c r="K48" s="12">
        <f t="shared" si="3"/>
        <v>9.9918803535507443</v>
      </c>
      <c r="L48" s="12">
        <v>46.34</v>
      </c>
      <c r="M48" s="12">
        <v>459.83</v>
      </c>
      <c r="N48" s="12">
        <v>-147.82</v>
      </c>
      <c r="O48" s="4"/>
      <c r="P48" s="1">
        <v>7.5</v>
      </c>
      <c r="Q48" s="12">
        <v>31.86</v>
      </c>
      <c r="R48" s="12">
        <v>398.71</v>
      </c>
      <c r="S48" s="12">
        <v>-153.61000000000001</v>
      </c>
      <c r="T48" s="12">
        <f t="shared" si="17"/>
        <v>463.20000000000164</v>
      </c>
      <c r="U48" s="4"/>
      <c r="V48" s="1">
        <v>748.3</v>
      </c>
      <c r="W48" s="1">
        <v>-237.27</v>
      </c>
      <c r="X48" s="14">
        <v>-1.5129908000000001</v>
      </c>
      <c r="Y48" s="1">
        <v>26</v>
      </c>
      <c r="Z48" s="1">
        <f t="shared" si="18"/>
        <v>21</v>
      </c>
      <c r="AA48" s="34">
        <f t="shared" si="30"/>
        <v>83660</v>
      </c>
      <c r="AB48" s="61">
        <v>669.15923445000021</v>
      </c>
      <c r="AC48" s="12">
        <v>10.211500255456299</v>
      </c>
      <c r="AD48" s="12"/>
      <c r="AE48" s="12">
        <v>27.300756949100883</v>
      </c>
      <c r="AF48" s="12">
        <v>51.146137036799999</v>
      </c>
      <c r="AG48" s="12">
        <v>846.81430744349996</v>
      </c>
      <c r="AH48" s="12">
        <v>-212.65767994780001</v>
      </c>
      <c r="AJ48" s="60">
        <f t="shared" si="31"/>
        <v>452.98849974454532</v>
      </c>
      <c r="AQ48" s="23" t="s">
        <v>161</v>
      </c>
      <c r="AR48" s="18">
        <v>26.973483693995732</v>
      </c>
      <c r="AS48" s="19">
        <f t="shared" si="19"/>
        <v>29.414989850655289</v>
      </c>
      <c r="AT48" s="19">
        <f t="shared" si="20"/>
        <v>29.167844227369702</v>
      </c>
      <c r="AU48" s="19">
        <f t="shared" si="21"/>
        <v>28.907732720207253</v>
      </c>
      <c r="AV48" s="19">
        <f t="shared" si="22"/>
        <v>28.632273840292594</v>
      </c>
      <c r="AW48" s="19">
        <f t="shared" si="23"/>
        <v>28.338556879000304</v>
      </c>
      <c r="AX48" s="19">
        <f t="shared" si="24"/>
        <v>28.022612688204816</v>
      </c>
      <c r="AY48" s="19">
        <f t="shared" si="25"/>
        <v>27.679413680280401</v>
      </c>
      <c r="AZ48" s="20">
        <f t="shared" si="26"/>
        <v>27.300756949100883</v>
      </c>
      <c r="BA48" s="19">
        <f t="shared" si="27"/>
        <v>26.874999660164583</v>
      </c>
      <c r="BB48" s="19">
        <f t="shared" si="28"/>
        <v>26.381237633343492</v>
      </c>
      <c r="BC48" s="19">
        <f t="shared" si="29"/>
        <v>25.781102436757088</v>
      </c>
      <c r="BE48" s="19"/>
    </row>
    <row r="49" spans="1:57" x14ac:dyDescent="0.2">
      <c r="A49" s="2" t="s">
        <v>162</v>
      </c>
      <c r="B49" s="34">
        <v>2698.2627247790306</v>
      </c>
      <c r="C49" s="12">
        <f t="shared" si="0"/>
        <v>25.57200948830905</v>
      </c>
      <c r="D49" s="35">
        <v>80</v>
      </c>
      <c r="E49" s="13">
        <f t="shared" si="1"/>
        <v>26.982627247790305</v>
      </c>
      <c r="F49" s="12">
        <v>-151.30000000000001</v>
      </c>
      <c r="G49" s="12">
        <v>713.24</v>
      </c>
      <c r="H49" s="14">
        <v>-1.3306005599999999</v>
      </c>
      <c r="I49" s="4"/>
      <c r="J49" s="12">
        <f t="shared" si="2"/>
        <v>26.469957330082291</v>
      </c>
      <c r="K49" s="12">
        <f t="shared" si="3"/>
        <v>8.1031948816824126</v>
      </c>
      <c r="L49" s="12">
        <v>34.619999999999997</v>
      </c>
      <c r="M49" s="12">
        <v>527.24</v>
      </c>
      <c r="N49" s="12">
        <v>-180.83</v>
      </c>
      <c r="O49" s="4"/>
      <c r="P49" s="1">
        <v>7.5</v>
      </c>
      <c r="Q49" s="12">
        <v>31.65</v>
      </c>
      <c r="R49" s="12">
        <v>511.82</v>
      </c>
      <c r="S49" s="12">
        <v>-181.99</v>
      </c>
      <c r="T49" s="12">
        <f t="shared" si="17"/>
        <v>92.799999999999727</v>
      </c>
      <c r="U49" s="4"/>
      <c r="V49" s="1">
        <v>748.3</v>
      </c>
      <c r="W49" s="1">
        <v>-237.27</v>
      </c>
      <c r="X49" s="14">
        <v>-1.5129908000000001</v>
      </c>
      <c r="Y49" s="1">
        <v>26</v>
      </c>
      <c r="Z49" s="1">
        <f t="shared" si="18"/>
        <v>21</v>
      </c>
      <c r="AA49" s="34">
        <f t="shared" si="30"/>
        <v>55280</v>
      </c>
      <c r="AB49" s="12">
        <v>300.02209807499997</v>
      </c>
      <c r="AC49" s="12">
        <v>13.641083635288002</v>
      </c>
      <c r="AD49" s="12"/>
      <c r="AE49" s="12">
        <v>27.307469070100577</v>
      </c>
      <c r="AF49" s="12">
        <v>51.151829817500001</v>
      </c>
      <c r="AG49" s="12">
        <v>846.8339276721</v>
      </c>
      <c r="AH49" s="12">
        <v>-212.6505948866</v>
      </c>
      <c r="AJ49" s="19">
        <f t="shared" si="31"/>
        <v>79.158916364711729</v>
      </c>
      <c r="AQ49" s="23" t="s">
        <v>162</v>
      </c>
      <c r="AR49" s="18">
        <v>26.982627247790305</v>
      </c>
      <c r="AS49" s="19">
        <f t="shared" si="19"/>
        <v>29.422418660774152</v>
      </c>
      <c r="AT49" s="19">
        <f t="shared" si="20"/>
        <v>29.175189259311185</v>
      </c>
      <c r="AU49" s="19">
        <f t="shared" si="21"/>
        <v>28.914989578756476</v>
      </c>
      <c r="AV49" s="19">
        <f t="shared" si="22"/>
        <v>28.639437322950318</v>
      </c>
      <c r="AW49" s="19">
        <f t="shared" si="23"/>
        <v>28.345620796586406</v>
      </c>
      <c r="AX49" s="19">
        <f t="shared" si="24"/>
        <v>28.029569506065226</v>
      </c>
      <c r="AY49" s="19">
        <f t="shared" si="25"/>
        <v>27.686254159494055</v>
      </c>
      <c r="AZ49" s="20">
        <f t="shared" si="26"/>
        <v>27.307469070100577</v>
      </c>
      <c r="BA49" s="19">
        <f t="shared" si="27"/>
        <v>26.881567456659557</v>
      </c>
      <c r="BB49" s="19">
        <f t="shared" si="28"/>
        <v>26.387638052880217</v>
      </c>
      <c r="BC49" s="19">
        <f t="shared" si="29"/>
        <v>25.787299420633953</v>
      </c>
      <c r="BE49" s="19"/>
    </row>
    <row r="50" spans="1:57" x14ac:dyDescent="0.2">
      <c r="A50" s="2" t="s">
        <v>163</v>
      </c>
      <c r="B50" s="34">
        <v>3520.2682109113075</v>
      </c>
      <c r="C50" s="12">
        <f t="shared" si="0"/>
        <v>24.998095238095239</v>
      </c>
      <c r="D50" s="12">
        <v>99</v>
      </c>
      <c r="E50" s="13">
        <f t="shared" si="1"/>
        <v>35.202682109113077</v>
      </c>
      <c r="F50" s="12">
        <v>-124.8</v>
      </c>
      <c r="G50" s="12">
        <v>721.35</v>
      </c>
      <c r="H50" s="14">
        <v>-1.2891098000000001</v>
      </c>
      <c r="I50" s="4"/>
      <c r="J50" s="12">
        <f t="shared" si="2"/>
        <v>34.533831149039926</v>
      </c>
      <c r="K50" s="12">
        <f t="shared" si="3"/>
        <v>10.291703009753125</v>
      </c>
      <c r="L50" s="12">
        <v>45.52</v>
      </c>
      <c r="M50" s="12">
        <v>522.72</v>
      </c>
      <c r="N50" s="12">
        <v>-163.66999999999999</v>
      </c>
      <c r="O50" s="4"/>
      <c r="P50" s="1">
        <v>7.5</v>
      </c>
      <c r="Q50" s="12">
        <v>31.75</v>
      </c>
      <c r="R50" s="12">
        <v>458.2</v>
      </c>
      <c r="S50" s="12">
        <v>-169.34</v>
      </c>
      <c r="T50" s="12">
        <f t="shared" si="17"/>
        <v>453.60000000000127</v>
      </c>
      <c r="U50" s="4"/>
      <c r="V50" s="1">
        <v>809.03</v>
      </c>
      <c r="W50" s="1">
        <v>-255.37</v>
      </c>
      <c r="X50" s="14">
        <v>-1.573975578</v>
      </c>
      <c r="Y50" s="1">
        <v>21</v>
      </c>
      <c r="Z50" s="1">
        <f t="shared" si="18"/>
        <v>16</v>
      </c>
      <c r="AA50" s="34">
        <f t="shared" si="30"/>
        <v>86030</v>
      </c>
      <c r="AB50" s="61">
        <v>1394.513707426875</v>
      </c>
      <c r="AC50" s="12">
        <v>10.040965283702507</v>
      </c>
      <c r="AD50" s="12"/>
      <c r="AE50" s="12">
        <v>35.438905414507772</v>
      </c>
      <c r="AF50" s="12">
        <v>47.863827090500003</v>
      </c>
      <c r="AG50" s="12">
        <v>908.35502643020004</v>
      </c>
      <c r="AH50" s="12">
        <v>-223.08113467410001</v>
      </c>
      <c r="AJ50" s="60">
        <f t="shared" si="31"/>
        <v>443.55903471629875</v>
      </c>
      <c r="AQ50" s="23" t="s">
        <v>163</v>
      </c>
      <c r="AR50" s="18">
        <v>35.202682109113077</v>
      </c>
      <c r="AS50" s="19">
        <f t="shared" si="19"/>
        <v>36.100918957634867</v>
      </c>
      <c r="AT50" s="19">
        <f t="shared" si="20"/>
        <v>35.778372974702833</v>
      </c>
      <c r="AU50" s="20">
        <f t="shared" si="21"/>
        <v>35.438905414507772</v>
      </c>
      <c r="AV50" s="19">
        <f t="shared" si="22"/>
        <v>35.079408232246266</v>
      </c>
      <c r="AW50" s="19">
        <f t="shared" si="23"/>
        <v>34.696082706491921</v>
      </c>
      <c r="AX50" s="19">
        <f t="shared" si="24"/>
        <v>34.283748762572387</v>
      </c>
      <c r="AY50" s="19">
        <f t="shared" si="25"/>
        <v>33.83584497256934</v>
      </c>
      <c r="AZ50" s="19">
        <f t="shared" si="26"/>
        <v>33.34166584882658</v>
      </c>
      <c r="BA50" s="19">
        <f t="shared" si="27"/>
        <v>32.786016505638528</v>
      </c>
      <c r="BB50" s="19">
        <f t="shared" si="28"/>
        <v>32.14161521639744</v>
      </c>
      <c r="BC50" s="19">
        <f t="shared" si="29"/>
        <v>31.358387925937215</v>
      </c>
    </row>
    <row r="51" spans="1:57" x14ac:dyDescent="0.2">
      <c r="A51" s="2" t="s">
        <v>164</v>
      </c>
      <c r="B51" s="34">
        <v>3123</v>
      </c>
      <c r="C51" s="12">
        <f t="shared" si="0"/>
        <v>29.907140569964778</v>
      </c>
      <c r="D51" s="12">
        <v>104.4</v>
      </c>
      <c r="E51" s="13">
        <f t="shared" si="1"/>
        <v>31.23</v>
      </c>
      <c r="F51" s="12">
        <v>-108.43</v>
      </c>
      <c r="G51" s="12">
        <v>660.6</v>
      </c>
      <c r="H51" s="14">
        <v>-1.2301279000000001</v>
      </c>
      <c r="I51" s="4"/>
      <c r="J51" s="12">
        <f t="shared" si="2"/>
        <v>30.63663</v>
      </c>
      <c r="K51" s="12">
        <f t="shared" si="3"/>
        <v>10.991442222</v>
      </c>
      <c r="L51" s="12">
        <v>51.51</v>
      </c>
      <c r="M51" s="12">
        <v>471.65</v>
      </c>
      <c r="N51" s="12">
        <v>-143.29</v>
      </c>
      <c r="O51" s="4"/>
      <c r="P51" s="1">
        <v>7.5</v>
      </c>
      <c r="Q51" s="12">
        <v>31.89</v>
      </c>
      <c r="R51" s="12">
        <v>390.84</v>
      </c>
      <c r="S51" s="12">
        <v>-151.36000000000001</v>
      </c>
      <c r="T51" s="12">
        <f t="shared" si="17"/>
        <v>645.60000000000173</v>
      </c>
      <c r="U51" s="4"/>
      <c r="V51" s="1">
        <v>775.58</v>
      </c>
      <c r="W51" s="1">
        <v>-245.11</v>
      </c>
      <c r="X51" s="14">
        <v>-1.53929</v>
      </c>
      <c r="Y51" s="1">
        <v>24</v>
      </c>
      <c r="Z51" s="1">
        <f t="shared" si="18"/>
        <v>19</v>
      </c>
      <c r="AA51" s="34">
        <f t="shared" si="30"/>
        <v>93750</v>
      </c>
      <c r="AB51" s="61">
        <v>1058.1276744281251</v>
      </c>
      <c r="AC51" s="12">
        <v>11.503694993579337</v>
      </c>
      <c r="AD51" s="12"/>
      <c r="AE51" s="12">
        <v>31.26</v>
      </c>
      <c r="AF51" s="12">
        <v>50.42</v>
      </c>
      <c r="AG51" s="12">
        <v>876.1</v>
      </c>
      <c r="AH51" s="12">
        <v>-216.58</v>
      </c>
      <c r="AJ51" s="60">
        <f t="shared" si="31"/>
        <v>634.09630500642243</v>
      </c>
      <c r="AQ51" s="23" t="s">
        <v>164</v>
      </c>
      <c r="AR51" s="18">
        <v>31.23</v>
      </c>
      <c r="AS51" s="19">
        <f t="shared" si="19"/>
        <v>32.873256966</v>
      </c>
      <c r="AT51" s="19">
        <f t="shared" si="20"/>
        <v>32.587110841799998</v>
      </c>
      <c r="AU51" s="19">
        <f t="shared" si="21"/>
        <v>32.285952768900003</v>
      </c>
      <c r="AV51" s="19">
        <f t="shared" si="22"/>
        <v>31.967025450600001</v>
      </c>
      <c r="AW51" s="19">
        <f t="shared" si="23"/>
        <v>31.626958857599998</v>
      </c>
      <c r="AX51" s="20">
        <f t="shared" si="24"/>
        <v>31.261157495400003</v>
      </c>
      <c r="AY51" s="19">
        <f t="shared" si="25"/>
        <v>30.863800404300001</v>
      </c>
      <c r="AZ51" s="19">
        <f t="shared" si="26"/>
        <v>30.425390229000001</v>
      </c>
      <c r="BA51" s="19">
        <f t="shared" si="27"/>
        <v>29.9324468523</v>
      </c>
      <c r="BB51" s="19">
        <f t="shared" si="28"/>
        <v>29.360767336499997</v>
      </c>
      <c r="BC51" s="19">
        <f t="shared" si="29"/>
        <v>28.6659285681</v>
      </c>
    </row>
    <row r="52" spans="1:57" x14ac:dyDescent="0.2">
      <c r="A52" s="2" t="s">
        <v>165</v>
      </c>
      <c r="B52" s="34">
        <v>3596.4644925327643</v>
      </c>
      <c r="C52" s="12">
        <f t="shared" si="0"/>
        <v>28.917288135593221</v>
      </c>
      <c r="D52" s="12">
        <v>115</v>
      </c>
      <c r="E52" s="13">
        <f t="shared" si="1"/>
        <v>35.96464492532764</v>
      </c>
      <c r="F52" s="12">
        <v>-95.37</v>
      </c>
      <c r="G52" s="12">
        <v>673.23</v>
      </c>
      <c r="H52" s="14">
        <v>-1.2145654939999999</v>
      </c>
      <c r="I52" s="4"/>
      <c r="J52" s="12">
        <f t="shared" si="2"/>
        <v>35.281316671746417</v>
      </c>
      <c r="K52" s="12">
        <f t="shared" si="3"/>
        <v>12.212204102407799</v>
      </c>
      <c r="L52" s="12">
        <v>47.96</v>
      </c>
      <c r="M52" s="12">
        <v>477.31</v>
      </c>
      <c r="N52" s="12">
        <v>-135.62</v>
      </c>
      <c r="O52" s="4"/>
      <c r="P52" s="1">
        <v>7.5</v>
      </c>
      <c r="Q52" s="12">
        <v>31.98</v>
      </c>
      <c r="R52" s="12">
        <v>374.85</v>
      </c>
      <c r="S52" s="12">
        <v>-146.61000000000001</v>
      </c>
      <c r="T52" s="12">
        <f t="shared" si="17"/>
        <v>879.20000000000073</v>
      </c>
      <c r="U52" s="4"/>
      <c r="V52" s="1">
        <v>809.03</v>
      </c>
      <c r="W52" s="1">
        <v>-255.37</v>
      </c>
      <c r="X52" s="14">
        <v>-1.573975578</v>
      </c>
      <c r="Y52" s="1">
        <v>21</v>
      </c>
      <c r="Z52" s="1">
        <f t="shared" si="18"/>
        <v>16</v>
      </c>
      <c r="AA52" s="34">
        <f t="shared" si="30"/>
        <v>108759.99999999999</v>
      </c>
      <c r="AB52" s="61">
        <v>2409.2088634687502</v>
      </c>
      <c r="AC52" s="12">
        <v>8.9931650745348168</v>
      </c>
      <c r="AD52" s="12"/>
      <c r="AE52" s="12">
        <v>36.043643626943002</v>
      </c>
      <c r="AF52" s="12">
        <v>48.3</v>
      </c>
      <c r="AG52" s="12">
        <v>909.78</v>
      </c>
      <c r="AH52" s="12">
        <v>-222.42</v>
      </c>
      <c r="AJ52" s="60">
        <f t="shared" si="31"/>
        <v>870.20683492546596</v>
      </c>
      <c r="AQ52" s="23" t="s">
        <v>165</v>
      </c>
      <c r="AR52" s="18">
        <v>35.96464492532764</v>
      </c>
      <c r="AS52" s="19">
        <f t="shared" si="19"/>
        <v>36.71998646754038</v>
      </c>
      <c r="AT52" s="19">
        <f t="shared" si="20"/>
        <v>36.39045896982627</v>
      </c>
      <c r="AU52" s="20">
        <f t="shared" si="21"/>
        <v>36.043643626943002</v>
      </c>
      <c r="AV52" s="19">
        <f t="shared" si="22"/>
        <v>35.676365120390123</v>
      </c>
      <c r="AW52" s="19">
        <f t="shared" si="23"/>
        <v>35.284742505333739</v>
      </c>
      <c r="AX52" s="19">
        <f t="shared" si="24"/>
        <v>34.863483584273084</v>
      </c>
      <c r="AY52" s="19">
        <f t="shared" si="25"/>
        <v>34.40588490704053</v>
      </c>
      <c r="AZ52" s="19">
        <f t="shared" si="26"/>
        <v>33.901009265467842</v>
      </c>
      <c r="BA52" s="19">
        <f t="shared" si="27"/>
        <v>33.333332880219444</v>
      </c>
      <c r="BB52" s="19">
        <f t="shared" si="28"/>
        <v>32.674983511124651</v>
      </c>
      <c r="BC52" s="19">
        <f t="shared" si="29"/>
        <v>31.87480324900945</v>
      </c>
    </row>
    <row r="53" spans="1:57" x14ac:dyDescent="0.2">
      <c r="A53" s="2" t="s">
        <v>166</v>
      </c>
      <c r="B53" s="34">
        <v>2167.0222493142332</v>
      </c>
      <c r="C53" s="12">
        <f t="shared" si="0"/>
        <v>34.148241912798881</v>
      </c>
      <c r="D53" s="35">
        <v>85</v>
      </c>
      <c r="E53" s="13">
        <f t="shared" si="1"/>
        <v>21.670222493142333</v>
      </c>
      <c r="F53" s="12">
        <v>-125.36</v>
      </c>
      <c r="G53" s="12">
        <v>602.85</v>
      </c>
      <c r="H53" s="14">
        <v>-1.23509625</v>
      </c>
      <c r="I53" s="4"/>
      <c r="J53" s="12">
        <f t="shared" si="2"/>
        <v>21.25848826577263</v>
      </c>
      <c r="K53" s="12">
        <f t="shared" si="3"/>
        <v>8.854542842121301</v>
      </c>
      <c r="L53" s="12">
        <v>40.32</v>
      </c>
      <c r="M53" s="12">
        <v>431.84</v>
      </c>
      <c r="N53" s="12">
        <v>-149.6</v>
      </c>
      <c r="O53" s="4"/>
      <c r="P53" s="1">
        <v>7.5</v>
      </c>
      <c r="Q53" s="12">
        <v>31.87</v>
      </c>
      <c r="R53" s="12">
        <v>396.1</v>
      </c>
      <c r="S53" s="12">
        <v>-152.87</v>
      </c>
      <c r="T53" s="12">
        <f t="shared" si="17"/>
        <v>261.60000000000082</v>
      </c>
      <c r="U53" s="4"/>
      <c r="V53" s="1">
        <v>690.87</v>
      </c>
      <c r="W53" s="1">
        <v>-222.19</v>
      </c>
      <c r="X53" s="14">
        <v>-1.4628285999999999</v>
      </c>
      <c r="Y53" s="1">
        <v>29</v>
      </c>
      <c r="Z53" s="1">
        <f t="shared" si="18"/>
        <v>24</v>
      </c>
      <c r="AA53" s="34">
        <f t="shared" si="30"/>
        <v>69320</v>
      </c>
      <c r="AB53" s="12">
        <v>199.09843419374999</v>
      </c>
      <c r="AC53" s="12">
        <v>15.859895434089593</v>
      </c>
      <c r="AD53" s="12"/>
      <c r="AE53" s="12">
        <v>22.186851788174337</v>
      </c>
      <c r="AF53" s="12">
        <v>53.273274428000001</v>
      </c>
      <c r="AG53" s="12">
        <v>791.48013177159999</v>
      </c>
      <c r="AH53" s="12">
        <v>-202.56784458460001</v>
      </c>
      <c r="AJ53" s="19">
        <f t="shared" si="31"/>
        <v>245.74010456591122</v>
      </c>
      <c r="AQ53" s="23" t="s">
        <v>166</v>
      </c>
      <c r="AR53" s="18">
        <v>21.670222493142333</v>
      </c>
      <c r="AS53" s="19">
        <f t="shared" si="19"/>
        <v>25.106279981712895</v>
      </c>
      <c r="AT53" s="19">
        <f t="shared" si="20"/>
        <v>24.907725701310579</v>
      </c>
      <c r="AU53" s="19">
        <f t="shared" si="21"/>
        <v>24.69875476165803</v>
      </c>
      <c r="AV53" s="19">
        <f t="shared" si="22"/>
        <v>24.477453898811337</v>
      </c>
      <c r="AW53" s="19">
        <f t="shared" si="23"/>
        <v>24.241484679061262</v>
      </c>
      <c r="AX53" s="19">
        <f t="shared" si="24"/>
        <v>23.987658329167939</v>
      </c>
      <c r="AY53" s="19">
        <f t="shared" si="25"/>
        <v>23.711935736360864</v>
      </c>
      <c r="AZ53" s="19">
        <f t="shared" si="26"/>
        <v>23.407726769277659</v>
      </c>
      <c r="BA53" s="19">
        <f t="shared" si="27"/>
        <v>23.065677693081376</v>
      </c>
      <c r="BB53" s="19">
        <f t="shared" si="28"/>
        <v>22.668994302042059</v>
      </c>
      <c r="BC53" s="20">
        <f t="shared" si="29"/>
        <v>22.186851788174337</v>
      </c>
      <c r="BE53" s="19"/>
    </row>
    <row r="54" spans="1:57" x14ac:dyDescent="0.2">
      <c r="A54" s="2" t="s">
        <v>167</v>
      </c>
      <c r="B54" s="34">
        <v>2910.6979579396525</v>
      </c>
      <c r="C54" s="12">
        <f t="shared" si="0"/>
        <v>26.797696335078534</v>
      </c>
      <c r="D54" s="12">
        <v>89</v>
      </c>
      <c r="E54" s="13">
        <f t="shared" si="1"/>
        <v>29.106979579396526</v>
      </c>
      <c r="F54" s="12">
        <v>-136.04</v>
      </c>
      <c r="G54" s="12">
        <v>698.33</v>
      </c>
      <c r="H54" s="14">
        <v>-1.2963667235</v>
      </c>
      <c r="I54" s="4"/>
      <c r="J54" s="12">
        <f t="shared" si="2"/>
        <v>28.553946967387994</v>
      </c>
      <c r="K54" s="12">
        <f t="shared" si="3"/>
        <v>9.1669017936604682</v>
      </c>
      <c r="L54" s="12">
        <v>40.31</v>
      </c>
      <c r="M54" s="12">
        <v>508.69</v>
      </c>
      <c r="N54" s="12">
        <v>-168.14</v>
      </c>
      <c r="O54" s="4"/>
      <c r="P54" s="1">
        <v>7.5</v>
      </c>
      <c r="Q54" s="12">
        <v>31.73</v>
      </c>
      <c r="R54" s="12">
        <v>467.22</v>
      </c>
      <c r="S54" s="12">
        <v>-171.56</v>
      </c>
      <c r="T54" s="12">
        <f t="shared" si="17"/>
        <v>273.60000000000127</v>
      </c>
      <c r="U54" s="4"/>
      <c r="V54" s="1">
        <v>762.61</v>
      </c>
      <c r="W54" s="1">
        <v>-241.33</v>
      </c>
      <c r="X54" s="14">
        <v>-1.5265264000000001</v>
      </c>
      <c r="Y54" s="1">
        <v>25</v>
      </c>
      <c r="Z54" s="1">
        <f t="shared" si="18"/>
        <v>20</v>
      </c>
      <c r="AA54" s="34">
        <f t="shared" si="30"/>
        <v>69770.000000000015</v>
      </c>
      <c r="AB54" s="12">
        <v>482.31301159125007</v>
      </c>
      <c r="AC54" s="12">
        <v>15.249990886386129</v>
      </c>
      <c r="AD54" s="12"/>
      <c r="AE54" s="12">
        <v>29.275525496799759</v>
      </c>
      <c r="AF54" s="12">
        <v>50.795557947100001</v>
      </c>
      <c r="AG54" s="12">
        <v>862.06895818299995</v>
      </c>
      <c r="AH54" s="12">
        <v>-214.7337299667</v>
      </c>
      <c r="AJ54" s="19">
        <f t="shared" si="31"/>
        <v>258.35000911361516</v>
      </c>
      <c r="AQ54" s="23" t="s">
        <v>167</v>
      </c>
      <c r="AR54" s="18">
        <v>29.106979579396501</v>
      </c>
      <c r="AS54" s="19">
        <f t="shared" si="19"/>
        <v>31.148378878390737</v>
      </c>
      <c r="AT54" s="19">
        <f t="shared" si="20"/>
        <v>30.881685013715334</v>
      </c>
      <c r="AU54" s="19">
        <f t="shared" si="21"/>
        <v>30.600999715025907</v>
      </c>
      <c r="AV54" s="19">
        <f t="shared" si="22"/>
        <v>30.303753127095398</v>
      </c>
      <c r="AW54" s="19">
        <f t="shared" si="23"/>
        <v>29.986804315757393</v>
      </c>
      <c r="AX54" s="19">
        <f t="shared" si="24"/>
        <v>29.645870188966782</v>
      </c>
      <c r="AY54" s="20">
        <f t="shared" si="25"/>
        <v>29.275525496799759</v>
      </c>
      <c r="AZ54" s="19">
        <f t="shared" si="26"/>
        <v>28.866918515696433</v>
      </c>
      <c r="BA54" s="19">
        <f t="shared" si="27"/>
        <v>28.407485508991165</v>
      </c>
      <c r="BB54" s="19">
        <f t="shared" si="28"/>
        <v>27.874668858579703</v>
      </c>
      <c r="BC54" s="19">
        <f t="shared" si="29"/>
        <v>27.227065341359342</v>
      </c>
      <c r="BE54" s="19"/>
    </row>
    <row r="55" spans="1:57" x14ac:dyDescent="0.2">
      <c r="A55" s="2" t="s">
        <v>168</v>
      </c>
      <c r="B55" s="11">
        <v>670.56</v>
      </c>
      <c r="C55" s="12">
        <f t="shared" si="0"/>
        <v>32.480314960629926</v>
      </c>
      <c r="D55" s="33">
        <v>32.78</v>
      </c>
      <c r="E55" s="13">
        <f t="shared" si="1"/>
        <v>6.7055999999999996</v>
      </c>
      <c r="F55" s="12">
        <v>-88.03</v>
      </c>
      <c r="G55" s="12">
        <v>209.06</v>
      </c>
      <c r="H55" s="14">
        <v>-1.0126243800000001</v>
      </c>
      <c r="I55" s="4"/>
      <c r="J55" s="12">
        <f t="shared" si="2"/>
        <v>6.5781935999999996</v>
      </c>
      <c r="K55" s="37">
        <f t="shared" si="3"/>
        <v>5.3303628459839993</v>
      </c>
      <c r="L55" s="12">
        <v>16.95</v>
      </c>
      <c r="M55" s="12">
        <v>174.36</v>
      </c>
      <c r="N55" s="12">
        <v>-95.22</v>
      </c>
      <c r="O55" s="1"/>
      <c r="P55" s="15"/>
      <c r="Q55" s="1"/>
      <c r="R55" s="1"/>
      <c r="S55" s="1"/>
      <c r="T55" s="12"/>
      <c r="U55" s="1"/>
      <c r="V55" s="1" t="s">
        <v>209</v>
      </c>
      <c r="W55" s="1"/>
      <c r="X55" s="1"/>
      <c r="Y55" s="1"/>
      <c r="Z55" s="1"/>
      <c r="AA55" s="1"/>
      <c r="AB55" s="1"/>
      <c r="AC55" s="1"/>
      <c r="AD55" s="1"/>
    </row>
    <row r="56" spans="1:57" x14ac:dyDescent="0.2">
      <c r="A56" s="2" t="s">
        <v>169</v>
      </c>
      <c r="B56" s="34">
        <v>1843.9500152392563</v>
      </c>
      <c r="C56" s="12">
        <f t="shared" si="0"/>
        <v>26.573388429752065</v>
      </c>
      <c r="D56" s="33">
        <v>60</v>
      </c>
      <c r="E56" s="13">
        <f t="shared" si="1"/>
        <v>18.439500152392565</v>
      </c>
      <c r="F56" s="12">
        <v>-177.73</v>
      </c>
      <c r="G56" s="12">
        <v>697.14</v>
      </c>
      <c r="H56" s="14">
        <v>-1.3723459</v>
      </c>
      <c r="I56" s="4"/>
      <c r="J56" s="12">
        <f t="shared" si="2"/>
        <v>18.089149649497106</v>
      </c>
      <c r="K56" s="37">
        <f t="shared" si="3"/>
        <v>5.828830365742153</v>
      </c>
      <c r="L56" s="12">
        <v>20.75</v>
      </c>
      <c r="M56" s="12">
        <v>390.81</v>
      </c>
      <c r="N56" s="12">
        <v>-198.22</v>
      </c>
      <c r="O56" s="1"/>
      <c r="P56" s="15"/>
      <c r="Q56" s="38"/>
      <c r="R56" s="1"/>
      <c r="S56" s="1"/>
      <c r="T56" s="12"/>
      <c r="U56" s="1"/>
      <c r="V56" s="1"/>
      <c r="W56" s="1"/>
      <c r="X56" s="1"/>
      <c r="Y56" s="1"/>
      <c r="Z56" s="1"/>
      <c r="AA56" s="1"/>
      <c r="AB56" s="1"/>
      <c r="AC56" s="1"/>
      <c r="AD56" s="1"/>
    </row>
    <row r="57" spans="1:57" x14ac:dyDescent="0.2">
      <c r="A57" s="2" t="s">
        <v>170</v>
      </c>
      <c r="B57" s="34">
        <v>1325</v>
      </c>
      <c r="C57" s="12">
        <f t="shared" si="0"/>
        <v>32.788259958071286</v>
      </c>
      <c r="D57" s="35">
        <v>54.44444444444445</v>
      </c>
      <c r="E57" s="13">
        <f t="shared" si="1"/>
        <v>13.25</v>
      </c>
      <c r="F57" s="12">
        <v>-165.74</v>
      </c>
      <c r="G57" s="12">
        <v>592.17999999999995</v>
      </c>
      <c r="H57" s="14">
        <v>-1.3118762202000001</v>
      </c>
      <c r="I57" s="4"/>
      <c r="J57" s="12">
        <f t="shared" si="2"/>
        <v>12.998250000000001</v>
      </c>
      <c r="K57" s="37">
        <f t="shared" si="3"/>
        <v>5.5526963150000004</v>
      </c>
      <c r="L57" s="12">
        <v>18.649999999999999</v>
      </c>
      <c r="M57" s="12">
        <v>311.83</v>
      </c>
      <c r="N57" s="12">
        <v>-181.31</v>
      </c>
      <c r="O57" s="1"/>
      <c r="P57" s="15"/>
      <c r="Q57" s="38"/>
      <c r="R57" s="1"/>
      <c r="S57" s="1"/>
      <c r="T57" s="12"/>
      <c r="U57" s="1"/>
      <c r="V57" s="1"/>
      <c r="W57" s="1"/>
      <c r="X57" s="1"/>
    </row>
    <row r="58" spans="1:57" x14ac:dyDescent="0.2">
      <c r="A58" s="2" t="s">
        <v>171</v>
      </c>
      <c r="B58" s="34">
        <v>1691.5574519963425</v>
      </c>
      <c r="C58" s="12">
        <f t="shared" si="0"/>
        <v>31.594814814814818</v>
      </c>
      <c r="D58" s="35">
        <v>64.444444444444443</v>
      </c>
      <c r="E58" s="13">
        <f t="shared" si="1"/>
        <v>16.915574519963425</v>
      </c>
      <c r="F58" s="12">
        <v>-158.62</v>
      </c>
      <c r="G58" s="12">
        <v>627.41999999999996</v>
      </c>
      <c r="H58" s="14">
        <v>-1.3085522414999999</v>
      </c>
      <c r="I58" s="4"/>
      <c r="J58" s="12">
        <f t="shared" si="2"/>
        <v>16.594178604084121</v>
      </c>
      <c r="K58" s="37">
        <f t="shared" si="3"/>
        <v>6.5040549801889647</v>
      </c>
      <c r="L58" s="12">
        <v>25.44</v>
      </c>
      <c r="M58" s="12">
        <v>384.95</v>
      </c>
      <c r="N58" s="12">
        <v>-177.59</v>
      </c>
      <c r="O58" s="1"/>
      <c r="P58" s="15"/>
      <c r="Q58" s="38"/>
      <c r="R58" s="1"/>
      <c r="S58" s="1"/>
      <c r="T58" s="12"/>
      <c r="U58" s="1"/>
      <c r="V58" s="1"/>
      <c r="W58" s="1"/>
      <c r="X58" s="1"/>
    </row>
    <row r="59" spans="1:57" x14ac:dyDescent="0.2">
      <c r="A59" s="2" t="s">
        <v>172</v>
      </c>
      <c r="B59" s="34">
        <v>1775.0685766534593</v>
      </c>
      <c r="C59" s="12">
        <f t="shared" si="0"/>
        <v>29.482429029304029</v>
      </c>
      <c r="D59" s="35">
        <v>63.333333333333336</v>
      </c>
      <c r="E59" s="13">
        <f t="shared" si="1"/>
        <v>17.750685766534595</v>
      </c>
      <c r="F59" s="12">
        <v>-165.93</v>
      </c>
      <c r="G59" s="12">
        <v>657.93</v>
      </c>
      <c r="H59" s="14">
        <v>-1.3340734000000001</v>
      </c>
      <c r="I59" s="4"/>
      <c r="J59" s="12">
        <f t="shared" si="2"/>
        <v>17.413422736970439</v>
      </c>
      <c r="K59" s="37">
        <f t="shared" si="3"/>
        <v>6.2938725451996351</v>
      </c>
      <c r="L59" s="12">
        <v>24.02</v>
      </c>
      <c r="M59" s="12">
        <v>392.47</v>
      </c>
      <c r="N59" s="12">
        <v>-185.73</v>
      </c>
      <c r="O59" s="1"/>
      <c r="P59" s="15"/>
      <c r="Q59" s="38"/>
      <c r="R59" s="1"/>
      <c r="S59" s="1"/>
      <c r="T59" s="12"/>
      <c r="U59" s="1"/>
      <c r="V59" s="1"/>
      <c r="W59" s="1"/>
      <c r="X59" s="1"/>
      <c r="Z59" s="19"/>
    </row>
    <row r="60" spans="1:57" x14ac:dyDescent="0.2">
      <c r="A60" s="2" t="s">
        <v>173</v>
      </c>
      <c r="B60" s="34">
        <v>883.87686680889965</v>
      </c>
      <c r="C60" s="12">
        <f t="shared" si="0"/>
        <v>35.32417624521073</v>
      </c>
      <c r="D60" s="35">
        <v>42.222222222222221</v>
      </c>
      <c r="E60" s="13">
        <f t="shared" si="1"/>
        <v>8.8387686680889956</v>
      </c>
      <c r="F60" s="12">
        <v>-129.03</v>
      </c>
      <c r="G60" s="12">
        <v>366.91</v>
      </c>
      <c r="H60" s="14">
        <v>-1.1695502875999999</v>
      </c>
      <c r="I60" s="4"/>
      <c r="J60" s="12">
        <f t="shared" si="2"/>
        <v>8.6708320633953058</v>
      </c>
      <c r="K60" s="37">
        <f t="shared" si="3"/>
        <v>5.6573536757086238</v>
      </c>
      <c r="L60" s="12">
        <v>19.48</v>
      </c>
      <c r="M60" s="12">
        <v>238.62</v>
      </c>
      <c r="N60" s="12">
        <v>-139.31</v>
      </c>
      <c r="O60" s="1"/>
      <c r="R60" s="1"/>
      <c r="S60" s="1"/>
      <c r="T60" s="12"/>
      <c r="U60" s="1"/>
      <c r="V60" s="1"/>
      <c r="W60" s="1"/>
      <c r="X60" s="1"/>
    </row>
    <row r="61" spans="1:57" x14ac:dyDescent="0.2">
      <c r="A61" s="2" t="s">
        <v>174</v>
      </c>
      <c r="B61" s="34">
        <v>1299.9085644620543</v>
      </c>
      <c r="C61" s="12">
        <f t="shared" si="0"/>
        <v>31.711632147974466</v>
      </c>
      <c r="D61" s="35">
        <v>52.222222222222221</v>
      </c>
      <c r="E61" s="13">
        <f t="shared" si="1"/>
        <v>12.999085644620543</v>
      </c>
      <c r="F61" s="12">
        <v>-172.2</v>
      </c>
      <c r="G61" s="12">
        <v>608.47</v>
      </c>
      <c r="H61" s="14">
        <v>-1.3303851652000001</v>
      </c>
      <c r="I61" s="4"/>
      <c r="J61" s="12">
        <f t="shared" si="2"/>
        <v>12.752103017372754</v>
      </c>
      <c r="K61" s="37">
        <f t="shared" si="3"/>
        <v>5.2398135216397428</v>
      </c>
      <c r="L61" s="12">
        <v>16.23</v>
      </c>
      <c r="M61" s="12">
        <v>301.99</v>
      </c>
      <c r="N61" s="12">
        <v>-187.7</v>
      </c>
      <c r="O61" s="1"/>
      <c r="P61" s="39"/>
      <c r="Q61" s="39"/>
      <c r="R61" s="1"/>
      <c r="S61" s="1"/>
      <c r="T61" s="12"/>
      <c r="U61" s="1"/>
      <c r="V61" s="1"/>
      <c r="W61" s="1"/>
      <c r="X61" s="1"/>
    </row>
    <row r="62" spans="1:57" x14ac:dyDescent="0.2">
      <c r="A62" s="2" t="s">
        <v>175</v>
      </c>
      <c r="B62" s="34">
        <v>1432.4900944833892</v>
      </c>
      <c r="C62" s="12">
        <f t="shared" si="0"/>
        <v>30.327919621749416</v>
      </c>
      <c r="D62" s="35">
        <v>54.44444444444445</v>
      </c>
      <c r="E62" s="13">
        <f t="shared" si="1"/>
        <v>14.324900944833892</v>
      </c>
      <c r="F62" s="12">
        <v>-174.76</v>
      </c>
      <c r="G62" s="12">
        <v>637.52</v>
      </c>
      <c r="H62" s="14">
        <v>-1.3447198552999999</v>
      </c>
      <c r="I62" s="4"/>
      <c r="J62" s="12">
        <f t="shared" si="2"/>
        <v>14.052727826882048</v>
      </c>
      <c r="K62" s="37">
        <f t="shared" si="3"/>
        <v>5.3660059006400491</v>
      </c>
      <c r="L62" s="12">
        <v>17.260000000000002</v>
      </c>
      <c r="M62" s="12">
        <v>323.31</v>
      </c>
      <c r="N62" s="12">
        <v>-191.44</v>
      </c>
      <c r="O62" s="1"/>
      <c r="P62" s="15"/>
      <c r="Q62" s="38"/>
      <c r="R62" s="1"/>
      <c r="S62" s="1"/>
      <c r="T62" s="12"/>
      <c r="U62" s="1"/>
      <c r="V62" s="1"/>
      <c r="W62" s="1"/>
      <c r="X62" s="1"/>
    </row>
    <row r="63" spans="1:57" x14ac:dyDescent="0.2">
      <c r="A63" s="2" t="s">
        <v>176</v>
      </c>
      <c r="B63" s="34">
        <v>1781.7738494361474</v>
      </c>
      <c r="C63" s="12">
        <f t="shared" si="0"/>
        <v>30.618675637662982</v>
      </c>
      <c r="D63" s="35">
        <v>65.555555555555557</v>
      </c>
      <c r="E63" s="13">
        <f t="shared" si="1"/>
        <v>17.817738494361475</v>
      </c>
      <c r="F63" s="12">
        <v>-159.93</v>
      </c>
      <c r="G63" s="12">
        <v>642.65</v>
      </c>
      <c r="H63" s="14">
        <v>-1.3166080098999999</v>
      </c>
      <c r="I63" s="4"/>
      <c r="J63" s="12">
        <f t="shared" si="2"/>
        <v>17.479201462968607</v>
      </c>
      <c r="K63" s="37">
        <f t="shared" si="3"/>
        <v>6.5847296741846986</v>
      </c>
      <c r="L63" s="12">
        <v>25.98</v>
      </c>
      <c r="M63" s="12">
        <v>400.29</v>
      </c>
      <c r="N63" s="12">
        <v>-179.79</v>
      </c>
      <c r="O63" s="1"/>
      <c r="P63" s="15"/>
      <c r="Q63" s="38"/>
      <c r="R63" s="1"/>
      <c r="S63" s="1"/>
      <c r="T63" s="12"/>
      <c r="U63" s="1"/>
      <c r="V63" s="1"/>
      <c r="W63" s="1"/>
      <c r="X63" s="1"/>
    </row>
    <row r="64" spans="1:57" x14ac:dyDescent="0.2">
      <c r="A64" s="2" t="s">
        <v>177</v>
      </c>
      <c r="B64" s="34">
        <v>1095.7025297165499</v>
      </c>
      <c r="C64" s="12">
        <f t="shared" si="0"/>
        <v>32.551414000927217</v>
      </c>
      <c r="D64" s="35">
        <v>46.666666666666671</v>
      </c>
      <c r="E64" s="13">
        <f t="shared" si="1"/>
        <v>10.957025297165499</v>
      </c>
      <c r="F64" s="12">
        <v>-171.46</v>
      </c>
      <c r="G64" s="12">
        <v>566.37</v>
      </c>
      <c r="H64" s="14">
        <v>-1.3173628017000001</v>
      </c>
      <c r="I64" s="4"/>
      <c r="J64" s="12">
        <f t="shared" si="2"/>
        <v>10.748841816519354</v>
      </c>
      <c r="K64" s="37">
        <f t="shared" si="3"/>
        <v>4.8692037575434322</v>
      </c>
      <c r="L64" s="12">
        <v>13.2</v>
      </c>
      <c r="M64" s="12">
        <v>266.39999999999998</v>
      </c>
      <c r="N64" s="12">
        <v>-185.26</v>
      </c>
      <c r="O64" s="1"/>
      <c r="P64" s="15"/>
      <c r="Q64" s="38"/>
      <c r="R64" s="1"/>
      <c r="S64" s="1"/>
      <c r="T64" s="12"/>
      <c r="U64" s="1"/>
      <c r="V64" s="1"/>
      <c r="W64" s="1"/>
      <c r="X64" s="1"/>
      <c r="AH64" t="s">
        <v>0</v>
      </c>
      <c r="BE64" s="4"/>
    </row>
    <row r="65" spans="1:57" x14ac:dyDescent="0.2">
      <c r="A65" s="2" t="s">
        <v>178</v>
      </c>
      <c r="B65" s="34">
        <v>1779.0307832977751</v>
      </c>
      <c r="C65" s="12">
        <f t="shared" si="0"/>
        <v>29.104486703595835</v>
      </c>
      <c r="D65" s="35">
        <v>62.777777777777779</v>
      </c>
      <c r="E65" s="13">
        <f t="shared" si="1"/>
        <v>17.790307832977749</v>
      </c>
      <c r="F65" s="12">
        <v>-167.65</v>
      </c>
      <c r="G65" s="12">
        <v>663.05</v>
      </c>
      <c r="H65" s="14">
        <v>-1.3393771654</v>
      </c>
      <c r="I65" s="4"/>
      <c r="J65" s="12">
        <f t="shared" si="2"/>
        <v>17.452291984151177</v>
      </c>
      <c r="K65" s="37">
        <f t="shared" si="3"/>
        <v>6.2185656328863121</v>
      </c>
      <c r="L65" s="12">
        <v>23.53</v>
      </c>
      <c r="M65" s="12">
        <v>391.7</v>
      </c>
      <c r="N65" s="12">
        <v>-187.48</v>
      </c>
      <c r="O65" s="1"/>
      <c r="P65" s="15"/>
      <c r="Q65" s="38"/>
      <c r="R65" s="1"/>
      <c r="S65" s="1"/>
      <c r="T65" s="12"/>
      <c r="U65" s="1"/>
      <c r="V65" s="1"/>
      <c r="W65" s="1"/>
      <c r="X65" s="1"/>
      <c r="BE65" s="18"/>
    </row>
    <row r="66" spans="1:57" x14ac:dyDescent="0.2">
      <c r="A66" s="2" t="s">
        <v>179</v>
      </c>
      <c r="B66" s="34">
        <v>1859.1892715635477</v>
      </c>
      <c r="C66" s="12">
        <f t="shared" si="0"/>
        <v>27.252021857923502</v>
      </c>
      <c r="D66" s="35">
        <v>61.666666666666671</v>
      </c>
      <c r="E66" s="13">
        <f t="shared" si="1"/>
        <v>18.591892715635478</v>
      </c>
      <c r="F66" s="12">
        <v>-173.78</v>
      </c>
      <c r="G66" s="12">
        <v>688.4</v>
      </c>
      <c r="H66" s="14">
        <v>-1.3611866649</v>
      </c>
      <c r="I66" s="4"/>
      <c r="J66" s="12">
        <f t="shared" si="2"/>
        <v>18.238646754038403</v>
      </c>
      <c r="K66" s="37">
        <f t="shared" si="3"/>
        <v>6.0364082901554426</v>
      </c>
      <c r="L66" s="12">
        <v>22.26</v>
      </c>
      <c r="M66" s="12">
        <v>398.67</v>
      </c>
      <c r="N66" s="12">
        <v>-194.4</v>
      </c>
      <c r="O66" s="1"/>
      <c r="P66" s="15"/>
      <c r="Q66" s="38"/>
      <c r="R66" s="1"/>
      <c r="S66" s="1"/>
      <c r="T66" s="12"/>
      <c r="U66" s="1"/>
      <c r="V66" s="1"/>
      <c r="W66" s="1"/>
      <c r="X66" s="1"/>
      <c r="BE66" s="18"/>
    </row>
    <row r="67" spans="1:57" x14ac:dyDescent="0.2">
      <c r="A67" s="2" t="s">
        <v>180</v>
      </c>
      <c r="B67" s="34">
        <v>1916.7936604693691</v>
      </c>
      <c r="C67" s="12">
        <f t="shared" si="0"/>
        <v>28.751718167523546</v>
      </c>
      <c r="D67" s="35">
        <v>66.111111111111114</v>
      </c>
      <c r="E67" s="13">
        <f t="shared" si="1"/>
        <v>19.16793660469369</v>
      </c>
      <c r="F67" s="12">
        <v>-164.04</v>
      </c>
      <c r="G67" s="12">
        <v>669.41</v>
      </c>
      <c r="H67" s="14">
        <v>-1.3348181881000001</v>
      </c>
      <c r="I67" s="4"/>
      <c r="J67" s="12">
        <f t="shared" si="2"/>
        <v>18.803745809204514</v>
      </c>
      <c r="K67" s="37">
        <f t="shared" si="3"/>
        <v>6.5805211225540958</v>
      </c>
      <c r="L67" s="12">
        <v>25.98</v>
      </c>
      <c r="M67" s="12">
        <v>420.56</v>
      </c>
      <c r="N67" s="12">
        <v>-185.24</v>
      </c>
      <c r="O67" s="1"/>
      <c r="P67" s="15"/>
      <c r="Q67" s="38"/>
      <c r="R67" s="1"/>
      <c r="S67" s="1"/>
      <c r="T67" s="12"/>
      <c r="U67" s="1"/>
      <c r="V67" s="1"/>
      <c r="W67" s="1"/>
      <c r="X67" s="1"/>
      <c r="BE67" s="18"/>
    </row>
    <row r="68" spans="1:57" x14ac:dyDescent="0.2">
      <c r="A68" s="2" t="s">
        <v>181</v>
      </c>
      <c r="B68" s="34">
        <v>1782.9929899420908</v>
      </c>
      <c r="C68" s="12">
        <f>((D68-11)*1000)/B68</f>
        <v>22.80809116809117</v>
      </c>
      <c r="D68" s="35">
        <v>51.666666666666671</v>
      </c>
      <c r="E68" s="13">
        <f>B68/100</f>
        <v>17.829929899420907</v>
      </c>
      <c r="F68" s="12">
        <v>-197.83</v>
      </c>
      <c r="G68" s="12">
        <v>743.82</v>
      </c>
      <c r="H68" s="14">
        <v>-1.4308689999999999</v>
      </c>
      <c r="I68" s="4"/>
      <c r="J68" s="12">
        <f>(B68*9.81)/1000</f>
        <v>17.491161231331912</v>
      </c>
      <c r="K68" s="37">
        <f>(E68-((G68*J68)/1000))</f>
        <v>4.8196543523316038</v>
      </c>
      <c r="L68" s="12">
        <v>48.2</v>
      </c>
      <c r="M68" s="12">
        <v>352.25</v>
      </c>
      <c r="N68" s="12">
        <v>-217.9</v>
      </c>
      <c r="O68" s="1"/>
      <c r="P68" s="1"/>
      <c r="Q68" s="1"/>
      <c r="R68" s="1"/>
      <c r="S68" s="1"/>
      <c r="T68" s="12"/>
      <c r="U68" s="1"/>
      <c r="V68" s="1"/>
      <c r="W68" s="1"/>
      <c r="X68" s="1"/>
      <c r="BE68" s="18"/>
    </row>
    <row r="69" spans="1:57" x14ac:dyDescent="0.2">
      <c r="A69" s="2"/>
      <c r="B69" s="34"/>
      <c r="C69" s="12"/>
      <c r="D69" s="35"/>
      <c r="E69" s="13"/>
      <c r="F69" s="1"/>
      <c r="G69" s="1"/>
      <c r="H69" s="14"/>
      <c r="I69" s="4"/>
      <c r="J69" s="12"/>
      <c r="L69" s="12"/>
      <c r="M69" s="12"/>
      <c r="N69" s="12"/>
      <c r="O69" s="1"/>
      <c r="P69" s="1"/>
      <c r="Q69" s="1"/>
      <c r="R69" s="1"/>
      <c r="S69" s="1"/>
      <c r="T69" s="12"/>
      <c r="U69" s="1"/>
      <c r="V69" s="1"/>
      <c r="W69" s="1"/>
      <c r="X69" s="1"/>
      <c r="BE69" s="18"/>
    </row>
    <row r="70" spans="1:57" x14ac:dyDescent="0.2">
      <c r="A70" s="2"/>
      <c r="B70" s="34"/>
      <c r="C70" s="12"/>
      <c r="D70" s="35"/>
      <c r="E70" s="13"/>
      <c r="F70" s="1"/>
      <c r="G70" s="1"/>
      <c r="H70" s="14"/>
      <c r="I70" s="4"/>
      <c r="J70" s="12"/>
      <c r="L70" s="12"/>
      <c r="M70" s="12"/>
      <c r="N70" s="12"/>
      <c r="O70" s="1"/>
      <c r="P70" s="1"/>
      <c r="Q70" s="1"/>
      <c r="R70" s="1"/>
      <c r="S70" s="1"/>
      <c r="T70" s="12"/>
      <c r="U70" s="1"/>
      <c r="V70" s="1"/>
      <c r="W70" s="1"/>
      <c r="X70" s="1"/>
      <c r="BE70" s="18"/>
    </row>
    <row r="71" spans="1:57" x14ac:dyDescent="0.2">
      <c r="BE71" s="18"/>
    </row>
    <row r="72" spans="1:57" x14ac:dyDescent="0.2">
      <c r="BE72" s="18"/>
    </row>
    <row r="73" spans="1:57" x14ac:dyDescent="0.2">
      <c r="B73" s="3"/>
      <c r="C73" s="19"/>
      <c r="BE73" s="18"/>
    </row>
    <row r="74" spans="1:57" x14ac:dyDescent="0.2">
      <c r="BE74" s="18"/>
    </row>
    <row r="75" spans="1:57" x14ac:dyDescent="0.2">
      <c r="BE75" s="18"/>
    </row>
    <row r="76" spans="1:57" x14ac:dyDescent="0.2">
      <c r="BE76" s="18"/>
    </row>
    <row r="77" spans="1:57" x14ac:dyDescent="0.2">
      <c r="B77" s="3"/>
      <c r="BE77" s="18"/>
    </row>
    <row r="78" spans="1:57" x14ac:dyDescent="0.2">
      <c r="BE78" s="18"/>
    </row>
    <row r="79" spans="1:57" x14ac:dyDescent="0.2">
      <c r="BE79" s="18"/>
    </row>
    <row r="80" spans="1:57" x14ac:dyDescent="0.2">
      <c r="BE80" s="18"/>
    </row>
    <row r="81" spans="57:57" x14ac:dyDescent="0.2">
      <c r="BE81" s="18"/>
    </row>
    <row r="82" spans="57:57" x14ac:dyDescent="0.2">
      <c r="BE82" s="18"/>
    </row>
    <row r="83" spans="57:57" x14ac:dyDescent="0.2">
      <c r="BE83" s="18"/>
    </row>
    <row r="84" spans="57:57" x14ac:dyDescent="0.2">
      <c r="BE84" s="18"/>
    </row>
    <row r="85" spans="57:57" x14ac:dyDescent="0.2">
      <c r="BE85" s="18"/>
    </row>
    <row r="100" spans="130:131" x14ac:dyDescent="0.2">
      <c r="DZ100" s="4"/>
      <c r="EA100" s="4"/>
    </row>
    <row r="101" spans="130:131" x14ac:dyDescent="0.2">
      <c r="DZ101" s="4"/>
      <c r="EA101" s="4"/>
    </row>
    <row r="117" spans="130:130" x14ac:dyDescent="0.2">
      <c r="DZ117" s="4"/>
    </row>
    <row r="118" spans="130:130" x14ac:dyDescent="0.2">
      <c r="DZ118" s="19"/>
    </row>
    <row r="119" spans="130:130" x14ac:dyDescent="0.2">
      <c r="DZ119" s="19"/>
    </row>
    <row r="120" spans="130:130" x14ac:dyDescent="0.2">
      <c r="DZ120" s="19"/>
    </row>
    <row r="121" spans="130:130" x14ac:dyDescent="0.2">
      <c r="DZ121" s="19"/>
    </row>
    <row r="122" spans="130:130" x14ac:dyDescent="0.2">
      <c r="DZ122" s="19"/>
    </row>
    <row r="123" spans="130:130" x14ac:dyDescent="0.2">
      <c r="DZ123" s="19"/>
    </row>
    <row r="124" spans="130:130" x14ac:dyDescent="0.2">
      <c r="DZ124" s="19"/>
    </row>
    <row r="125" spans="130:130" x14ac:dyDescent="0.2">
      <c r="DZ125" s="19"/>
    </row>
    <row r="126" spans="130:130" x14ac:dyDescent="0.2">
      <c r="DZ126" s="19"/>
    </row>
    <row r="127" spans="130:130" x14ac:dyDescent="0.2">
      <c r="DZ127" s="19"/>
    </row>
    <row r="128" spans="130:130" x14ac:dyDescent="0.2">
      <c r="DZ128" s="19"/>
    </row>
    <row r="129" spans="130:131" x14ac:dyDescent="0.2">
      <c r="DZ129" s="19"/>
    </row>
    <row r="131" spans="130:131" x14ac:dyDescent="0.2">
      <c r="DZ131" s="19"/>
    </row>
    <row r="132" spans="130:131" x14ac:dyDescent="0.2">
      <c r="DZ132" s="19"/>
      <c r="EA132" s="40"/>
    </row>
    <row r="133" spans="130:131" x14ac:dyDescent="0.2">
      <c r="DZ133" s="19"/>
      <c r="EA133" s="40"/>
    </row>
    <row r="134" spans="130:131" x14ac:dyDescent="0.2">
      <c r="DZ134" s="19"/>
      <c r="EA134" s="40"/>
    </row>
    <row r="135" spans="130:131" x14ac:dyDescent="0.2">
      <c r="DZ135" s="19"/>
      <c r="EA135" s="40"/>
    </row>
    <row r="136" spans="130:131" x14ac:dyDescent="0.2">
      <c r="DZ136" s="19"/>
      <c r="EA136" s="40"/>
    </row>
    <row r="137" spans="130:131" x14ac:dyDescent="0.2">
      <c r="DZ137" s="19"/>
      <c r="EA137" s="40"/>
    </row>
    <row r="138" spans="130:131" x14ac:dyDescent="0.2">
      <c r="DZ138" s="19"/>
      <c r="EA138" s="40"/>
    </row>
    <row r="139" spans="130:131" x14ac:dyDescent="0.2">
      <c r="DZ139" s="19"/>
      <c r="EA139" s="40"/>
    </row>
    <row r="140" spans="130:131" x14ac:dyDescent="0.2">
      <c r="DZ140" s="19"/>
      <c r="EA140" s="40"/>
    </row>
    <row r="141" spans="130:131" x14ac:dyDescent="0.2">
      <c r="DZ141" s="19"/>
      <c r="EA141" s="40"/>
    </row>
    <row r="142" spans="130:131" x14ac:dyDescent="0.2">
      <c r="DZ142" s="19"/>
      <c r="EA142" s="40"/>
    </row>
    <row r="143" spans="130:131" x14ac:dyDescent="0.2">
      <c r="DZ143" s="19"/>
      <c r="EA143" s="40"/>
    </row>
  </sheetData>
  <mergeCells count="13">
    <mergeCell ref="B1:H3"/>
    <mergeCell ref="K1:N3"/>
    <mergeCell ref="A1:A3"/>
    <mergeCell ref="AE1:AH3"/>
    <mergeCell ref="AS1:BC2"/>
    <mergeCell ref="Z1:AD3"/>
    <mergeCell ref="AM4:AO4"/>
    <mergeCell ref="AS4:BC4"/>
    <mergeCell ref="T1:U3"/>
    <mergeCell ref="P1:S3"/>
    <mergeCell ref="I1:J3"/>
    <mergeCell ref="O1:O3"/>
    <mergeCell ref="V1:Y3"/>
  </mergeCells>
  <pageMargins left="0.7" right="0.7" top="0.75" bottom="0.75" header="0.3" footer="0.3"/>
  <pageSetup paperSize="9" orientation="portrait" horizontalDpi="0" verticalDpi="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BE1D6-8D7D-8345-A372-AE5CDD35990C}">
  <dimension ref="H1:BW132"/>
  <sheetViews>
    <sheetView zoomScale="67" zoomScaleNormal="150" workbookViewId="0">
      <selection activeCell="D27" sqref="D27"/>
    </sheetView>
  </sheetViews>
  <sheetFormatPr baseColWidth="10" defaultRowHeight="16" x14ac:dyDescent="0.2"/>
  <cols>
    <col min="1" max="7" width="10.83203125" style="55"/>
    <col min="8" max="8" width="17" style="1" customWidth="1"/>
    <col min="9" max="9" width="11.33203125" style="1" customWidth="1"/>
    <col min="10" max="15" width="11" style="55" customWidth="1"/>
    <col min="16" max="16" width="12.83203125" style="55" bestFit="1" customWidth="1"/>
    <col min="17" max="18" width="11.83203125" style="55" bestFit="1" customWidth="1"/>
    <col min="19" max="19" width="12.83203125" style="55" bestFit="1" customWidth="1"/>
    <col min="20" max="20" width="11.83203125" style="55" bestFit="1" customWidth="1"/>
    <col min="21" max="22" width="12.83203125" style="55" bestFit="1" customWidth="1"/>
    <col min="23" max="26" width="10.83203125" style="55"/>
    <col min="27" max="27" width="11" style="55" customWidth="1"/>
    <col min="28" max="38" width="10.83203125" style="55"/>
    <col min="39" max="39" width="11" style="55" customWidth="1"/>
    <col min="40" max="41" width="10.83203125" style="55"/>
    <col min="42" max="42" width="11" style="55" customWidth="1"/>
    <col min="43" max="59" width="10.83203125" style="55"/>
    <col min="61" max="61" width="17" style="1" customWidth="1"/>
    <col min="62" max="62" width="14.5" style="1" customWidth="1"/>
    <col min="63" max="66" width="10.83203125" style="55"/>
    <col min="67" max="67" width="12" style="55" customWidth="1"/>
    <col min="68" max="68" width="12.5" style="55" customWidth="1"/>
    <col min="69" max="69" width="12" style="55" customWidth="1"/>
    <col min="70" max="16384" width="10.83203125" style="55"/>
  </cols>
  <sheetData>
    <row r="1" spans="8:75" s="46" customFormat="1" ht="28" customHeight="1" x14ac:dyDescent="0.2">
      <c r="H1" s="6"/>
      <c r="J1" s="2" t="s">
        <v>118</v>
      </c>
      <c r="K1" s="2" t="s">
        <v>119</v>
      </c>
      <c r="L1" s="2" t="s">
        <v>120</v>
      </c>
      <c r="M1" s="6" t="s">
        <v>196</v>
      </c>
      <c r="N1" s="2" t="s">
        <v>122</v>
      </c>
      <c r="O1" s="2" t="s">
        <v>123</v>
      </c>
      <c r="P1" s="78" t="s">
        <v>124</v>
      </c>
      <c r="Q1" s="2" t="s">
        <v>125</v>
      </c>
      <c r="R1" s="2" t="s">
        <v>126</v>
      </c>
      <c r="S1" s="2" t="s">
        <v>127</v>
      </c>
      <c r="T1" s="2" t="s">
        <v>128</v>
      </c>
      <c r="U1" s="2" t="s">
        <v>129</v>
      </c>
      <c r="V1" s="2" t="s">
        <v>130</v>
      </c>
      <c r="W1" s="2" t="s">
        <v>131</v>
      </c>
      <c r="X1" s="2" t="s">
        <v>132</v>
      </c>
      <c r="Y1" s="2" t="s">
        <v>133</v>
      </c>
      <c r="Z1" s="2" t="s">
        <v>134</v>
      </c>
      <c r="AA1" s="2" t="s">
        <v>135</v>
      </c>
      <c r="AB1" s="2" t="s">
        <v>136</v>
      </c>
      <c r="AC1" s="2" t="s">
        <v>137</v>
      </c>
      <c r="AD1" s="2" t="s">
        <v>138</v>
      </c>
      <c r="AE1" s="2" t="s">
        <v>139</v>
      </c>
      <c r="AF1" s="2" t="s">
        <v>140</v>
      </c>
      <c r="AG1" s="2" t="s">
        <v>141</v>
      </c>
      <c r="AH1" s="2" t="s">
        <v>142</v>
      </c>
      <c r="AI1" s="2" t="s">
        <v>143</v>
      </c>
      <c r="AJ1" s="2" t="s">
        <v>144</v>
      </c>
      <c r="AK1" s="2" t="s">
        <v>145</v>
      </c>
      <c r="AL1" s="2" t="s">
        <v>146</v>
      </c>
      <c r="AM1" s="2" t="s">
        <v>147</v>
      </c>
      <c r="AN1" s="2" t="s">
        <v>148</v>
      </c>
      <c r="AO1" s="2" t="s">
        <v>149</v>
      </c>
      <c r="AP1" s="2" t="s">
        <v>150</v>
      </c>
      <c r="AQ1" s="2" t="s">
        <v>151</v>
      </c>
      <c r="AR1" s="2" t="s">
        <v>152</v>
      </c>
      <c r="AS1" s="2" t="s">
        <v>153</v>
      </c>
      <c r="AT1" s="2" t="s">
        <v>154</v>
      </c>
      <c r="AU1" s="6" t="s">
        <v>155</v>
      </c>
      <c r="AV1" s="2" t="s">
        <v>156</v>
      </c>
      <c r="AW1" s="2" t="s">
        <v>157</v>
      </c>
      <c r="AX1" s="2" t="s">
        <v>158</v>
      </c>
      <c r="AY1" s="2" t="s">
        <v>159</v>
      </c>
      <c r="AZ1" s="2" t="s">
        <v>160</v>
      </c>
      <c r="BA1" s="2" t="s">
        <v>161</v>
      </c>
      <c r="BB1" s="2" t="s">
        <v>162</v>
      </c>
      <c r="BC1" s="2" t="s">
        <v>163</v>
      </c>
      <c r="BD1" s="2" t="s">
        <v>164</v>
      </c>
      <c r="BE1" s="2" t="s">
        <v>165</v>
      </c>
      <c r="BF1" s="2" t="s">
        <v>166</v>
      </c>
      <c r="BG1" s="2" t="s">
        <v>167</v>
      </c>
      <c r="BH1"/>
      <c r="BI1" s="6"/>
      <c r="BK1" s="7" t="s">
        <v>297</v>
      </c>
      <c r="BL1" s="7" t="s">
        <v>298</v>
      </c>
      <c r="BM1" s="7" t="s">
        <v>299</v>
      </c>
      <c r="BO1" s="7" t="s">
        <v>300</v>
      </c>
      <c r="BP1" s="7" t="s">
        <v>301</v>
      </c>
      <c r="BQ1" s="7" t="s">
        <v>302</v>
      </c>
      <c r="BR1" s="7" t="s">
        <v>303</v>
      </c>
      <c r="BS1" s="7" t="s">
        <v>304</v>
      </c>
      <c r="BT1" s="7" t="s">
        <v>305</v>
      </c>
      <c r="BU1" s="7" t="s">
        <v>306</v>
      </c>
      <c r="BV1" s="7" t="s">
        <v>307</v>
      </c>
    </row>
    <row r="2" spans="8:75" x14ac:dyDescent="0.2">
      <c r="H2" s="112" t="s">
        <v>329</v>
      </c>
      <c r="I2" s="5" t="s">
        <v>275</v>
      </c>
      <c r="J2" s="55">
        <v>82236.839954899973</v>
      </c>
      <c r="K2" s="55">
        <v>72340</v>
      </c>
      <c r="L2" s="55">
        <v>83330.000000000015</v>
      </c>
      <c r="M2" s="56">
        <v>84292.256383200001</v>
      </c>
      <c r="N2" s="55">
        <v>58990.000000000007</v>
      </c>
      <c r="O2" s="65">
        <v>104560</v>
      </c>
      <c r="P2" s="65">
        <v>65410</v>
      </c>
      <c r="Q2" s="55">
        <v>74730.000000000015</v>
      </c>
      <c r="R2" s="55">
        <v>73490.000000000015</v>
      </c>
      <c r="S2" s="55">
        <v>76060</v>
      </c>
      <c r="T2" s="55">
        <v>74180</v>
      </c>
      <c r="U2" s="55">
        <v>81430</v>
      </c>
      <c r="V2" s="55">
        <v>102979.99999999999</v>
      </c>
      <c r="W2" s="55">
        <v>102150</v>
      </c>
      <c r="X2" s="55">
        <v>52550.000000000015</v>
      </c>
      <c r="Y2" s="55">
        <v>106360.00000000001</v>
      </c>
      <c r="Z2" s="55">
        <v>99530</v>
      </c>
      <c r="AA2" s="55">
        <v>106519.99999999999</v>
      </c>
      <c r="AB2" s="55">
        <v>101300.00000000001</v>
      </c>
      <c r="AC2" s="55">
        <v>54420.000000000015</v>
      </c>
      <c r="AD2" s="55">
        <v>52290.000000000022</v>
      </c>
      <c r="AE2" s="55">
        <v>78030</v>
      </c>
      <c r="AF2" s="55">
        <v>64470</v>
      </c>
      <c r="AG2" s="55">
        <v>75060</v>
      </c>
      <c r="AH2" s="55">
        <v>75260.000000000015</v>
      </c>
      <c r="AI2" s="55">
        <v>72780</v>
      </c>
      <c r="AJ2" s="55">
        <v>69320.000000000015</v>
      </c>
      <c r="AK2" s="55">
        <v>57059.999999999971</v>
      </c>
      <c r="AL2" s="55">
        <v>54489.999999999978</v>
      </c>
      <c r="AM2" s="55">
        <v>77680</v>
      </c>
      <c r="AN2" s="55">
        <v>70110.000000000015</v>
      </c>
      <c r="AO2" s="55">
        <v>83130.000000000029</v>
      </c>
      <c r="AP2" s="55">
        <v>68630</v>
      </c>
      <c r="AQ2" s="55">
        <v>108700.00000000001</v>
      </c>
      <c r="AR2" s="55">
        <v>106150</v>
      </c>
      <c r="AS2" s="55">
        <v>94210.000000000015</v>
      </c>
      <c r="AT2" s="55">
        <v>55310</v>
      </c>
      <c r="AU2" s="55">
        <v>109800.00000000001</v>
      </c>
      <c r="AV2" s="55">
        <v>112339.99999999997</v>
      </c>
      <c r="AW2" s="55">
        <v>114259.99999999999</v>
      </c>
      <c r="AX2" s="55">
        <v>108680</v>
      </c>
      <c r="AY2" s="55">
        <v>110880</v>
      </c>
      <c r="AZ2" s="55">
        <v>64809.999999999971</v>
      </c>
      <c r="BA2" s="55">
        <v>83660</v>
      </c>
      <c r="BB2" s="55">
        <v>55280</v>
      </c>
      <c r="BC2" s="55">
        <v>86030</v>
      </c>
      <c r="BD2" s="55">
        <v>93750</v>
      </c>
      <c r="BE2" s="55">
        <v>108759.99999999999</v>
      </c>
      <c r="BF2" s="55">
        <v>69320</v>
      </c>
      <c r="BG2" s="55">
        <v>69770.000000000015</v>
      </c>
      <c r="BI2" s="112" t="s">
        <v>266</v>
      </c>
      <c r="BJ2" s="5" t="s">
        <v>294</v>
      </c>
      <c r="BK2" s="56">
        <v>84292.256383200001</v>
      </c>
      <c r="BL2" s="56">
        <v>84293.256383200001</v>
      </c>
      <c r="BM2" s="56">
        <v>84294.256383200001</v>
      </c>
      <c r="BO2" s="56">
        <v>84292.256383200001</v>
      </c>
      <c r="BP2" s="56">
        <v>84293.256383200001</v>
      </c>
      <c r="BQ2" s="56">
        <v>84294.256383200001</v>
      </c>
      <c r="BR2" s="56">
        <v>84295.256383200001</v>
      </c>
      <c r="BS2" s="56">
        <v>84296.256383200001</v>
      </c>
      <c r="BT2" s="56">
        <v>84297.256383200001</v>
      </c>
      <c r="BU2" s="56">
        <v>84298.256383200001</v>
      </c>
      <c r="BV2" s="56">
        <v>84299.256383200001</v>
      </c>
    </row>
    <row r="3" spans="8:75" x14ac:dyDescent="0.2">
      <c r="H3" s="104"/>
      <c r="I3" s="5" t="s">
        <v>326</v>
      </c>
      <c r="J3" s="70">
        <f t="shared" ref="J3:BG3" si="0">J2*J17</f>
        <v>8223683.9954899978</v>
      </c>
      <c r="K3" s="70">
        <f t="shared" si="0"/>
        <v>7234000</v>
      </c>
      <c r="L3" s="70">
        <f t="shared" si="0"/>
        <v>8333000.0000000019</v>
      </c>
      <c r="M3" s="70">
        <f>M2*M17</f>
        <v>8429225.6383200008</v>
      </c>
      <c r="N3" s="70">
        <f t="shared" si="0"/>
        <v>5899000.0000000009</v>
      </c>
      <c r="O3" s="70">
        <f t="shared" si="0"/>
        <v>10456000</v>
      </c>
      <c r="P3" s="70">
        <f t="shared" si="0"/>
        <v>6541000</v>
      </c>
      <c r="Q3" s="70">
        <f t="shared" si="0"/>
        <v>7473000.0000000019</v>
      </c>
      <c r="R3" s="70">
        <f t="shared" si="0"/>
        <v>7349000.0000000019</v>
      </c>
      <c r="S3" s="70">
        <f t="shared" si="0"/>
        <v>7606000</v>
      </c>
      <c r="T3" s="70">
        <f t="shared" si="0"/>
        <v>7418000</v>
      </c>
      <c r="U3" s="70">
        <f t="shared" si="0"/>
        <v>8143000</v>
      </c>
      <c r="V3" s="70">
        <f t="shared" si="0"/>
        <v>10297999.999999998</v>
      </c>
      <c r="W3" s="70">
        <f t="shared" si="0"/>
        <v>10215000</v>
      </c>
      <c r="X3" s="70">
        <f t="shared" si="0"/>
        <v>5255000.0000000019</v>
      </c>
      <c r="Y3" s="70">
        <f t="shared" si="0"/>
        <v>10636000.000000002</v>
      </c>
      <c r="Z3" s="70">
        <f t="shared" si="0"/>
        <v>9953000</v>
      </c>
      <c r="AA3" s="70">
        <f t="shared" si="0"/>
        <v>10651999.999999998</v>
      </c>
      <c r="AB3" s="70">
        <f t="shared" si="0"/>
        <v>10130000.000000002</v>
      </c>
      <c r="AC3" s="70">
        <f t="shared" si="0"/>
        <v>5442000.0000000019</v>
      </c>
      <c r="AD3" s="70">
        <f t="shared" si="0"/>
        <v>5229000.0000000019</v>
      </c>
      <c r="AE3" s="70">
        <f t="shared" si="0"/>
        <v>7803000</v>
      </c>
      <c r="AF3" s="70">
        <f t="shared" si="0"/>
        <v>6447000</v>
      </c>
      <c r="AG3" s="70">
        <f t="shared" si="0"/>
        <v>7506000</v>
      </c>
      <c r="AH3" s="70">
        <f t="shared" si="0"/>
        <v>7526000.0000000019</v>
      </c>
      <c r="AI3" s="70">
        <f t="shared" si="0"/>
        <v>7278000</v>
      </c>
      <c r="AJ3" s="70">
        <f t="shared" si="0"/>
        <v>6932000.0000000019</v>
      </c>
      <c r="AK3" s="70">
        <f t="shared" si="0"/>
        <v>5705999.9999999972</v>
      </c>
      <c r="AL3" s="70">
        <f t="shared" si="0"/>
        <v>5448999.9999999981</v>
      </c>
      <c r="AM3" s="70">
        <f t="shared" si="0"/>
        <v>7768000</v>
      </c>
      <c r="AN3" s="70">
        <f t="shared" si="0"/>
        <v>7011000.0000000019</v>
      </c>
      <c r="AO3" s="70">
        <f t="shared" si="0"/>
        <v>8313000.0000000028</v>
      </c>
      <c r="AP3" s="70">
        <f t="shared" si="0"/>
        <v>6863000</v>
      </c>
      <c r="AQ3" s="70">
        <f t="shared" si="0"/>
        <v>10870000.000000002</v>
      </c>
      <c r="AR3" s="70">
        <f t="shared" si="0"/>
        <v>10615000</v>
      </c>
      <c r="AS3" s="70">
        <f t="shared" si="0"/>
        <v>9421000.0000000019</v>
      </c>
      <c r="AT3" s="70">
        <f t="shared" si="0"/>
        <v>5531000</v>
      </c>
      <c r="AU3" s="70">
        <f t="shared" si="0"/>
        <v>10980000.000000002</v>
      </c>
      <c r="AV3" s="70">
        <f t="shared" si="0"/>
        <v>11233999.999999996</v>
      </c>
      <c r="AW3" s="70">
        <f t="shared" si="0"/>
        <v>11425999.999999998</v>
      </c>
      <c r="AX3" s="70">
        <f t="shared" si="0"/>
        <v>10868000</v>
      </c>
      <c r="AY3" s="70">
        <f t="shared" si="0"/>
        <v>11088000</v>
      </c>
      <c r="AZ3" s="70">
        <f t="shared" si="0"/>
        <v>6480999.9999999972</v>
      </c>
      <c r="BA3" s="70">
        <f t="shared" si="0"/>
        <v>8366000</v>
      </c>
      <c r="BB3" s="70">
        <f t="shared" si="0"/>
        <v>5528000</v>
      </c>
      <c r="BC3" s="70">
        <f t="shared" si="0"/>
        <v>8603000</v>
      </c>
      <c r="BD3" s="70">
        <f t="shared" si="0"/>
        <v>9375000</v>
      </c>
      <c r="BE3" s="70">
        <f t="shared" si="0"/>
        <v>10875999.999999998</v>
      </c>
      <c r="BF3" s="70">
        <f t="shared" si="0"/>
        <v>6932000</v>
      </c>
      <c r="BG3" s="70">
        <f t="shared" si="0"/>
        <v>6977000.0000000019</v>
      </c>
      <c r="BI3" s="104"/>
      <c r="BJ3" s="5" t="s">
        <v>296</v>
      </c>
      <c r="BK3" s="70">
        <f>BK2*BK17</f>
        <v>1517260.6148975999</v>
      </c>
      <c r="BL3" s="70">
        <f>BL2*BL17</f>
        <v>8513618.8947032001</v>
      </c>
      <c r="BM3" s="70">
        <f>BM2*BM17</f>
        <v>20820681.3266504</v>
      </c>
      <c r="BO3" s="70">
        <f t="shared" ref="BO3:BV3" si="1">BO2*BO17</f>
        <v>1854429.6404304001</v>
      </c>
      <c r="BP3" s="70">
        <f t="shared" si="1"/>
        <v>2107331.4095800002</v>
      </c>
      <c r="BQ3" s="70">
        <f t="shared" si="1"/>
        <v>2360239.1787296003</v>
      </c>
      <c r="BR3" s="70">
        <f t="shared" si="1"/>
        <v>2528857.6914960002</v>
      </c>
      <c r="BS3" s="70">
        <f t="shared" si="1"/>
        <v>2781776.4606456002</v>
      </c>
      <c r="BT3" s="70">
        <f t="shared" si="1"/>
        <v>2950403.9734120001</v>
      </c>
      <c r="BU3" s="70">
        <f t="shared" si="1"/>
        <v>3119035.4861784</v>
      </c>
      <c r="BV3" s="70">
        <f t="shared" si="1"/>
        <v>3287670.9989447999</v>
      </c>
    </row>
    <row r="4" spans="8:75" x14ac:dyDescent="0.2">
      <c r="H4" s="104"/>
      <c r="I4" s="5" t="s">
        <v>214</v>
      </c>
      <c r="J4" s="65">
        <v>32.0005479955</v>
      </c>
      <c r="K4" s="65">
        <v>31.92</v>
      </c>
      <c r="L4" s="65">
        <v>31.92</v>
      </c>
      <c r="M4" s="55">
        <v>32.049999999999997</v>
      </c>
      <c r="N4" s="65">
        <v>31.78</v>
      </c>
      <c r="O4" s="65">
        <v>32.04</v>
      </c>
      <c r="P4" s="65">
        <v>31.79</v>
      </c>
      <c r="Q4" s="65">
        <v>31.82</v>
      </c>
      <c r="R4" s="65">
        <v>31.81</v>
      </c>
      <c r="S4" s="65">
        <v>31.83</v>
      </c>
      <c r="T4" s="65">
        <v>31.81</v>
      </c>
      <c r="U4" s="65">
        <v>31.84</v>
      </c>
      <c r="V4" s="65">
        <v>32</v>
      </c>
      <c r="W4" s="65">
        <v>31.98</v>
      </c>
      <c r="X4" s="65">
        <v>31.75</v>
      </c>
      <c r="Y4" s="65">
        <v>31.93</v>
      </c>
      <c r="Z4" s="65">
        <v>31.88</v>
      </c>
      <c r="AA4" s="65">
        <v>31.88</v>
      </c>
      <c r="AB4" s="65">
        <v>31.85</v>
      </c>
      <c r="AC4" s="65">
        <v>31.68</v>
      </c>
      <c r="AD4" s="65">
        <v>31.61</v>
      </c>
      <c r="AE4" s="65">
        <v>31.81</v>
      </c>
      <c r="AF4" s="65">
        <v>31.73</v>
      </c>
      <c r="AG4" s="65">
        <v>31.97</v>
      </c>
      <c r="AH4" s="65">
        <v>31.79</v>
      </c>
      <c r="AI4" s="65">
        <v>31.8</v>
      </c>
      <c r="AJ4" s="65">
        <v>31.76</v>
      </c>
      <c r="AK4" s="65">
        <v>31.74</v>
      </c>
      <c r="AL4" s="65">
        <v>31.72</v>
      </c>
      <c r="AM4" s="65">
        <v>31.81</v>
      </c>
      <c r="AN4" s="65">
        <v>31.76</v>
      </c>
      <c r="AO4" s="65">
        <v>31.86</v>
      </c>
      <c r="AP4" s="65">
        <v>31.81</v>
      </c>
      <c r="AQ4" s="65">
        <v>31.98</v>
      </c>
      <c r="AR4" s="65">
        <v>31.93</v>
      </c>
      <c r="AS4" s="65">
        <v>31.9</v>
      </c>
      <c r="AT4" s="65">
        <v>31.65</v>
      </c>
      <c r="AU4" s="65">
        <v>32</v>
      </c>
      <c r="AV4" s="65">
        <v>31.99</v>
      </c>
      <c r="AW4" s="65">
        <v>32.04</v>
      </c>
      <c r="AX4" s="65">
        <v>31.98</v>
      </c>
      <c r="AY4" s="65">
        <v>31.9</v>
      </c>
      <c r="AZ4" s="65">
        <v>31.78</v>
      </c>
      <c r="BA4" s="65">
        <v>31.86</v>
      </c>
      <c r="BB4" s="65">
        <v>31.65</v>
      </c>
      <c r="BC4" s="65">
        <v>31.75</v>
      </c>
      <c r="BD4" s="65">
        <v>31.89</v>
      </c>
      <c r="BE4" s="65">
        <v>31.98</v>
      </c>
      <c r="BF4" s="65">
        <v>31.87</v>
      </c>
      <c r="BG4" s="65">
        <v>31.73</v>
      </c>
      <c r="BI4" s="104"/>
      <c r="BJ4" s="5" t="s">
        <v>295</v>
      </c>
      <c r="BK4" s="55">
        <v>32.049999999999997</v>
      </c>
      <c r="BL4" s="55">
        <v>32.049999999999997</v>
      </c>
      <c r="BM4" s="55">
        <v>32.049999999999997</v>
      </c>
      <c r="BO4" s="55">
        <v>32.049999999999997</v>
      </c>
      <c r="BP4" s="55">
        <v>32.049999999999997</v>
      </c>
      <c r="BQ4" s="55">
        <v>32.049999999999997</v>
      </c>
      <c r="BR4" s="55">
        <v>32.049999999999997</v>
      </c>
      <c r="BS4" s="55">
        <v>32.049999999999997</v>
      </c>
      <c r="BT4" s="55">
        <v>32.049999999999997</v>
      </c>
      <c r="BU4" s="55">
        <v>32.049999999999997</v>
      </c>
      <c r="BV4" s="55">
        <v>32.049999999999997</v>
      </c>
    </row>
    <row r="5" spans="8:75" x14ac:dyDescent="0.2">
      <c r="H5" s="104"/>
      <c r="I5" s="5" t="s">
        <v>213</v>
      </c>
      <c r="J5" s="55">
        <v>28</v>
      </c>
      <c r="K5" s="55">
        <v>29</v>
      </c>
      <c r="L5" s="55">
        <v>27</v>
      </c>
      <c r="M5" s="55">
        <v>28</v>
      </c>
      <c r="N5" s="55">
        <v>29</v>
      </c>
      <c r="O5" s="55">
        <v>23</v>
      </c>
      <c r="P5" s="55">
        <v>28</v>
      </c>
      <c r="Q5" s="55">
        <v>27</v>
      </c>
      <c r="R5" s="55">
        <v>27</v>
      </c>
      <c r="S5" s="55">
        <v>27</v>
      </c>
      <c r="T5" s="55">
        <v>27</v>
      </c>
      <c r="U5" s="55">
        <v>26</v>
      </c>
      <c r="V5" s="55">
        <v>23</v>
      </c>
      <c r="W5" s="55">
        <v>23</v>
      </c>
      <c r="X5" s="55">
        <v>29</v>
      </c>
      <c r="Y5" s="55">
        <v>21</v>
      </c>
      <c r="Z5" s="55">
        <v>22</v>
      </c>
      <c r="AA5" s="55">
        <v>20</v>
      </c>
      <c r="AB5" s="55">
        <v>21</v>
      </c>
      <c r="AC5" s="55">
        <v>27</v>
      </c>
      <c r="AD5" s="55">
        <v>26</v>
      </c>
      <c r="AE5" s="55">
        <v>26</v>
      </c>
      <c r="AF5" s="55">
        <v>26</v>
      </c>
      <c r="AG5" s="55">
        <v>29</v>
      </c>
      <c r="AH5" s="55">
        <v>26</v>
      </c>
      <c r="AI5" s="55">
        <v>27</v>
      </c>
      <c r="AJ5" s="55">
        <v>26</v>
      </c>
      <c r="AK5" s="55">
        <v>28</v>
      </c>
      <c r="AL5" s="55">
        <v>28</v>
      </c>
      <c r="AM5" s="55">
        <v>26</v>
      </c>
      <c r="AN5" s="55">
        <v>26</v>
      </c>
      <c r="AO5" s="55">
        <v>26</v>
      </c>
      <c r="AP5" s="55">
        <v>28</v>
      </c>
      <c r="AQ5" s="55">
        <v>21</v>
      </c>
      <c r="AR5" s="55">
        <v>21</v>
      </c>
      <c r="AS5" s="55">
        <v>24</v>
      </c>
      <c r="AT5" s="55">
        <v>26</v>
      </c>
      <c r="AU5" s="55">
        <v>21</v>
      </c>
      <c r="AV5" s="55">
        <v>20</v>
      </c>
      <c r="AW5" s="55">
        <v>20</v>
      </c>
      <c r="AX5" s="55">
        <v>21</v>
      </c>
      <c r="AY5" s="55">
        <v>19</v>
      </c>
      <c r="AZ5" s="55">
        <v>28</v>
      </c>
      <c r="BA5" s="55">
        <v>26</v>
      </c>
      <c r="BB5" s="55">
        <v>26</v>
      </c>
      <c r="BC5" s="55">
        <v>21</v>
      </c>
      <c r="BD5" s="55">
        <v>24</v>
      </c>
      <c r="BE5" s="55">
        <v>21</v>
      </c>
      <c r="BF5" s="55">
        <v>29</v>
      </c>
      <c r="BG5" s="55">
        <v>25</v>
      </c>
      <c r="BI5" s="104"/>
      <c r="BJ5" s="5" t="s">
        <v>213</v>
      </c>
      <c r="BK5" s="55">
        <v>28</v>
      </c>
      <c r="BL5" s="55">
        <v>28</v>
      </c>
      <c r="BM5" s="55">
        <v>28</v>
      </c>
      <c r="BO5" s="55">
        <v>28</v>
      </c>
      <c r="BP5" s="55">
        <v>28</v>
      </c>
      <c r="BQ5" s="55">
        <v>28</v>
      </c>
      <c r="BR5" s="55">
        <v>28</v>
      </c>
      <c r="BS5" s="55">
        <v>28</v>
      </c>
      <c r="BT5" s="55">
        <v>28</v>
      </c>
      <c r="BU5" s="55">
        <v>28</v>
      </c>
      <c r="BV5" s="55">
        <v>28</v>
      </c>
    </row>
    <row r="6" spans="8:75" x14ac:dyDescent="0.2">
      <c r="H6" s="104"/>
      <c r="I6" s="6" t="s">
        <v>215</v>
      </c>
      <c r="J6" s="55">
        <v>8</v>
      </c>
      <c r="K6" s="55">
        <v>8</v>
      </c>
      <c r="L6" s="55">
        <v>8</v>
      </c>
      <c r="M6" s="55">
        <v>8</v>
      </c>
      <c r="N6" s="55">
        <v>8</v>
      </c>
      <c r="O6" s="55">
        <v>8</v>
      </c>
      <c r="P6" s="55">
        <v>8</v>
      </c>
      <c r="Q6" s="55">
        <v>8</v>
      </c>
      <c r="R6" s="55">
        <v>8</v>
      </c>
      <c r="S6" s="55">
        <v>8</v>
      </c>
      <c r="T6" s="55">
        <v>8</v>
      </c>
      <c r="U6" s="55">
        <v>8</v>
      </c>
      <c r="V6" s="55">
        <v>8</v>
      </c>
      <c r="W6" s="55">
        <v>8</v>
      </c>
      <c r="X6" s="55">
        <v>8</v>
      </c>
      <c r="Y6" s="55">
        <v>8</v>
      </c>
      <c r="Z6" s="55">
        <v>8</v>
      </c>
      <c r="AA6" s="55">
        <v>8</v>
      </c>
      <c r="AB6" s="55">
        <v>8</v>
      </c>
      <c r="AC6" s="55">
        <v>8</v>
      </c>
      <c r="AD6" s="55">
        <v>8</v>
      </c>
      <c r="AE6" s="55">
        <v>8</v>
      </c>
      <c r="AF6" s="55">
        <v>8</v>
      </c>
      <c r="AG6" s="55">
        <v>8</v>
      </c>
      <c r="AH6" s="55">
        <v>8</v>
      </c>
      <c r="AI6" s="55">
        <v>8</v>
      </c>
      <c r="AJ6" s="55">
        <v>8</v>
      </c>
      <c r="AK6" s="55">
        <v>8</v>
      </c>
      <c r="AL6" s="55">
        <v>8</v>
      </c>
      <c r="AM6" s="55">
        <v>8</v>
      </c>
      <c r="AN6" s="55">
        <v>8</v>
      </c>
      <c r="AO6" s="55">
        <v>8</v>
      </c>
      <c r="AP6" s="55">
        <v>8</v>
      </c>
      <c r="AQ6" s="55">
        <v>8</v>
      </c>
      <c r="AR6" s="55">
        <v>8</v>
      </c>
      <c r="AS6" s="55">
        <v>8</v>
      </c>
      <c r="AT6" s="55">
        <v>8</v>
      </c>
      <c r="AU6" s="55">
        <v>8</v>
      </c>
      <c r="AV6" s="55">
        <v>8</v>
      </c>
      <c r="AW6" s="55">
        <v>8</v>
      </c>
      <c r="AX6" s="55">
        <v>8</v>
      </c>
      <c r="AY6" s="55">
        <v>8</v>
      </c>
      <c r="AZ6" s="55">
        <v>8</v>
      </c>
      <c r="BA6" s="55">
        <v>8</v>
      </c>
      <c r="BB6" s="55">
        <v>8</v>
      </c>
      <c r="BC6" s="55">
        <v>8</v>
      </c>
      <c r="BD6" s="55">
        <v>8</v>
      </c>
      <c r="BE6" s="55">
        <v>8</v>
      </c>
      <c r="BF6" s="55">
        <v>8</v>
      </c>
      <c r="BG6" s="55">
        <v>8</v>
      </c>
      <c r="BI6" s="104"/>
      <c r="BJ6" s="6" t="s">
        <v>215</v>
      </c>
      <c r="BK6" s="55">
        <v>8</v>
      </c>
      <c r="BL6" s="55">
        <v>8</v>
      </c>
      <c r="BM6" s="55">
        <v>8</v>
      </c>
      <c r="BO6" s="55">
        <v>8</v>
      </c>
      <c r="BP6" s="55">
        <v>8</v>
      </c>
      <c r="BQ6" s="55">
        <v>8</v>
      </c>
      <c r="BR6" s="55">
        <v>8</v>
      </c>
      <c r="BS6" s="55">
        <v>8</v>
      </c>
      <c r="BT6" s="55">
        <v>8</v>
      </c>
      <c r="BU6" s="55">
        <v>8</v>
      </c>
      <c r="BV6" s="55">
        <v>8</v>
      </c>
    </row>
    <row r="7" spans="8:75" x14ac:dyDescent="0.2">
      <c r="H7" s="104"/>
      <c r="I7" s="5" t="s">
        <v>216</v>
      </c>
      <c r="J7" s="65">
        <f t="shared" ref="J7:BG7" si="2">J6+(J3/(J33*J28))</f>
        <v>18.287320484726042</v>
      </c>
      <c r="K7" s="65">
        <f t="shared" si="2"/>
        <v>17.049286965223917</v>
      </c>
      <c r="L7" s="65">
        <f t="shared" si="2"/>
        <v>18.424068051038283</v>
      </c>
      <c r="M7" s="65">
        <f>M6+(M3/(M33*M28))</f>
        <v>18.544440378183637</v>
      </c>
      <c r="N7" s="65">
        <f t="shared" si="2"/>
        <v>15.381131131131133</v>
      </c>
      <c r="O7" s="65">
        <f t="shared" si="2"/>
        <v>21.079809857393045</v>
      </c>
      <c r="P7" s="65">
        <f t="shared" si="2"/>
        <v>16.184434434434436</v>
      </c>
      <c r="Q7" s="65">
        <f t="shared" si="2"/>
        <v>17.348261195896924</v>
      </c>
      <c r="R7" s="65">
        <f t="shared" si="2"/>
        <v>17.193144858643983</v>
      </c>
      <c r="S7" s="65">
        <f t="shared" si="2"/>
        <v>17.514635976982738</v>
      </c>
      <c r="T7" s="65">
        <f t="shared" si="2"/>
        <v>17.279459594696021</v>
      </c>
      <c r="U7" s="65">
        <f t="shared" si="2"/>
        <v>18.186389792344258</v>
      </c>
      <c r="V7" s="65">
        <f t="shared" si="2"/>
        <v>20.882161621215907</v>
      </c>
      <c r="W7" s="65">
        <f t="shared" si="2"/>
        <v>20.778333750312733</v>
      </c>
      <c r="X7" s="65">
        <f t="shared" si="2"/>
        <v>14.575325325325327</v>
      </c>
      <c r="Y7" s="65">
        <f t="shared" si="2"/>
        <v>21.30497873405054</v>
      </c>
      <c r="Z7" s="65">
        <f t="shared" si="2"/>
        <v>20.450587940955717</v>
      </c>
      <c r="AA7" s="65">
        <f t="shared" si="2"/>
        <v>21.32499374530898</v>
      </c>
      <c r="AB7" s="65">
        <f t="shared" si="2"/>
        <v>20.672004003002254</v>
      </c>
      <c r="AC7" s="65">
        <f t="shared" si="2"/>
        <v>14.809309309309311</v>
      </c>
      <c r="AD7" s="65">
        <f t="shared" si="2"/>
        <v>14.542792792792795</v>
      </c>
      <c r="AE7" s="65">
        <f t="shared" si="2"/>
        <v>17.761070803102328</v>
      </c>
      <c r="AF7" s="65">
        <f t="shared" si="2"/>
        <v>16.066816816816818</v>
      </c>
      <c r="AG7" s="65">
        <f t="shared" si="2"/>
        <v>17.389542156617463</v>
      </c>
      <c r="AH7" s="65">
        <f t="shared" si="2"/>
        <v>17.414560920690519</v>
      </c>
      <c r="AI7" s="65">
        <f t="shared" si="2"/>
        <v>17.104328246184636</v>
      </c>
      <c r="AJ7" s="65">
        <f t="shared" si="2"/>
        <v>16.671503627720792</v>
      </c>
      <c r="AK7" s="65">
        <f t="shared" si="2"/>
        <v>15.139639639639636</v>
      </c>
      <c r="AL7" s="65">
        <f t="shared" si="2"/>
        <v>14.818068068068065</v>
      </c>
      <c r="AM7" s="65">
        <f t="shared" si="2"/>
        <v>17.717287965974482</v>
      </c>
      <c r="AN7" s="65">
        <f t="shared" si="2"/>
        <v>16.770327745809361</v>
      </c>
      <c r="AO7" s="65">
        <f t="shared" si="2"/>
        <v>18.39904928696523</v>
      </c>
      <c r="AP7" s="65">
        <f t="shared" si="2"/>
        <v>16.58518889166875</v>
      </c>
      <c r="AQ7" s="65">
        <f t="shared" si="2"/>
        <v>21.594297148574292</v>
      </c>
      <c r="AR7" s="65">
        <f t="shared" si="2"/>
        <v>21.278709031773829</v>
      </c>
      <c r="AS7" s="65">
        <f t="shared" si="2"/>
        <v>19.785088816612461</v>
      </c>
      <c r="AT7" s="65">
        <f t="shared" si="2"/>
        <v>14.92067067067067</v>
      </c>
      <c r="AU7" s="65">
        <f t="shared" si="2"/>
        <v>21.731865932966485</v>
      </c>
      <c r="AV7" s="65">
        <f t="shared" si="2"/>
        <v>22.049524762381186</v>
      </c>
      <c r="AW7" s="65">
        <f t="shared" si="2"/>
        <v>22.289644822411205</v>
      </c>
      <c r="AX7" s="65">
        <f t="shared" si="2"/>
        <v>21.591795897948977</v>
      </c>
      <c r="AY7" s="65">
        <f t="shared" si="2"/>
        <v>21.866933466733364</v>
      </c>
      <c r="AZ7" s="65">
        <f t="shared" si="2"/>
        <v>16.109359359359356</v>
      </c>
      <c r="BA7" s="65">
        <f t="shared" si="2"/>
        <v>18.465349011758818</v>
      </c>
      <c r="BB7" s="65">
        <f t="shared" si="2"/>
        <v>14.916916916916918</v>
      </c>
      <c r="BC7" s="65">
        <f t="shared" si="2"/>
        <v>18.76182136602452</v>
      </c>
      <c r="BD7" s="65">
        <f t="shared" si="2"/>
        <v>19.727545659244434</v>
      </c>
      <c r="BE7" s="65">
        <f t="shared" si="2"/>
        <v>21.601800900450222</v>
      </c>
      <c r="BF7" s="65">
        <f t="shared" si="2"/>
        <v>16.671503627720789</v>
      </c>
      <c r="BG7" s="65">
        <f t="shared" si="2"/>
        <v>16.727795846885165</v>
      </c>
      <c r="BI7" s="104"/>
      <c r="BJ7" s="5" t="s">
        <v>216</v>
      </c>
      <c r="BK7" s="65">
        <f>BK6+(BK3/(BK33*BK28))</f>
        <v>18.544440378183637</v>
      </c>
      <c r="BL7" s="65">
        <f>BL6+(BL3/(BL33*BL28))</f>
        <v>18.544565472004003</v>
      </c>
      <c r="BM7" s="65">
        <f>BM6+(BM3/(BM33*BM28))</f>
        <v>18.544690565824368</v>
      </c>
      <c r="BO7" s="65">
        <f t="shared" ref="BO7:BV7" si="3">BO6+(BO3/(BO33*BO28))</f>
        <v>18.544440378183637</v>
      </c>
      <c r="BP7" s="65">
        <f t="shared" si="3"/>
        <v>18.544565472004003</v>
      </c>
      <c r="BQ7" s="65">
        <f t="shared" si="3"/>
        <v>18.544690565824368</v>
      </c>
      <c r="BR7" s="65">
        <f t="shared" si="3"/>
        <v>18.544815659644733</v>
      </c>
      <c r="BS7" s="65">
        <f t="shared" si="3"/>
        <v>18.544940753465099</v>
      </c>
      <c r="BT7" s="65">
        <f t="shared" si="3"/>
        <v>18.545065847285464</v>
      </c>
      <c r="BU7" s="65">
        <f t="shared" si="3"/>
        <v>18.54519094110583</v>
      </c>
      <c r="BV7" s="65">
        <f t="shared" si="3"/>
        <v>18.545316034926195</v>
      </c>
      <c r="BW7"/>
    </row>
    <row r="8" spans="8:75" x14ac:dyDescent="0.2">
      <c r="H8" s="104"/>
      <c r="I8" s="5" t="s">
        <v>212</v>
      </c>
      <c r="J8" s="69">
        <f>((J4-J7)-(J5-J6))/(LN((J4-J7)/(J5-J6)))</f>
        <v>16.659377409100877</v>
      </c>
      <c r="K8" s="69">
        <f t="shared" ref="K8:BG8" si="4">((K4-K7)-(K5-K6))/(LN((K4-K7)/(K5-K6)))</f>
        <v>17.759422739013615</v>
      </c>
      <c r="L8" s="69">
        <f t="shared" si="4"/>
        <v>16.091381871910766</v>
      </c>
      <c r="M8" s="69">
        <f>((M4-M7)-(M5-M6))/(LN((M4-M7)/(M5-M6)))</f>
        <v>16.540830640125293</v>
      </c>
      <c r="N8" s="69">
        <f t="shared" si="4"/>
        <v>18.604705448541271</v>
      </c>
      <c r="O8" s="69">
        <f t="shared" si="4"/>
        <v>12.874633522082203</v>
      </c>
      <c r="P8" s="69">
        <f t="shared" si="4"/>
        <v>17.712019222173836</v>
      </c>
      <c r="Q8" s="69">
        <f t="shared" si="4"/>
        <v>16.633264443128557</v>
      </c>
      <c r="R8" s="69">
        <f t="shared" si="4"/>
        <v>16.712742241887131</v>
      </c>
      <c r="S8" s="69">
        <f t="shared" si="4"/>
        <v>16.547308804094882</v>
      </c>
      <c r="T8" s="69">
        <f t="shared" si="4"/>
        <v>16.665502413069945</v>
      </c>
      <c r="U8" s="69">
        <f t="shared" si="4"/>
        <v>15.726832121233105</v>
      </c>
      <c r="V8" s="69">
        <f t="shared" si="4"/>
        <v>12.962171669786992</v>
      </c>
      <c r="W8" s="69">
        <f t="shared" si="4"/>
        <v>13.008541970055427</v>
      </c>
      <c r="X8" s="69">
        <f t="shared" si="4"/>
        <v>19.023278709225298</v>
      </c>
      <c r="Y8" s="69">
        <f t="shared" si="4"/>
        <v>11.772610805248217</v>
      </c>
      <c r="Z8" s="69">
        <f t="shared" si="4"/>
        <v>12.671278457461971</v>
      </c>
      <c r="AA8" s="69">
        <f t="shared" si="4"/>
        <v>11.262057205606343</v>
      </c>
      <c r="AB8" s="69">
        <f t="shared" si="4"/>
        <v>12.066079495877471</v>
      </c>
      <c r="AC8" s="69">
        <f t="shared" si="4"/>
        <v>17.914259298636573</v>
      </c>
      <c r="AD8" s="69">
        <f t="shared" si="4"/>
        <v>17.529467419119083</v>
      </c>
      <c r="AE8" s="69">
        <f t="shared" si="4"/>
        <v>15.942949968262566</v>
      </c>
      <c r="AF8" s="69">
        <f t="shared" si="4"/>
        <v>16.804520732688868</v>
      </c>
      <c r="AG8" s="69">
        <f t="shared" si="4"/>
        <v>17.595484900518091</v>
      </c>
      <c r="AH8" s="69">
        <f t="shared" si="4"/>
        <v>16.119861298767585</v>
      </c>
      <c r="AI8" s="69">
        <f t="shared" si="4"/>
        <v>16.755793600595421</v>
      </c>
      <c r="AJ8" s="69">
        <f t="shared" si="4"/>
        <v>16.501461782523126</v>
      </c>
      <c r="AK8" s="69">
        <f t="shared" si="4"/>
        <v>18.247429054695839</v>
      </c>
      <c r="AL8" s="69">
        <f t="shared" si="4"/>
        <v>18.407534940051388</v>
      </c>
      <c r="AM8" s="69">
        <f t="shared" si="4"/>
        <v>15.966754768750079</v>
      </c>
      <c r="AN8" s="69">
        <f t="shared" si="4"/>
        <v>16.448951649700476</v>
      </c>
      <c r="AO8" s="69">
        <f t="shared" si="4"/>
        <v>15.620717096683558</v>
      </c>
      <c r="AP8" s="69">
        <f t="shared" si="4"/>
        <v>17.503981674620185</v>
      </c>
      <c r="AQ8" s="69">
        <f t="shared" si="4"/>
        <v>11.643979140529533</v>
      </c>
      <c r="AR8" s="69">
        <f t="shared" si="4"/>
        <v>11.786669341921151</v>
      </c>
      <c r="AS8" s="69">
        <f t="shared" si="4"/>
        <v>13.967517828657972</v>
      </c>
      <c r="AT8" s="69">
        <f t="shared" si="4"/>
        <v>17.356913383697641</v>
      </c>
      <c r="AU8" s="69">
        <f t="shared" si="4"/>
        <v>11.580411929145928</v>
      </c>
      <c r="AV8" s="69">
        <f t="shared" si="4"/>
        <v>10.937940726018427</v>
      </c>
      <c r="AW8" s="69">
        <f t="shared" si="4"/>
        <v>10.836286110559119</v>
      </c>
      <c r="AX8" s="69">
        <f t="shared" si="4"/>
        <v>11.645328804664986</v>
      </c>
      <c r="AY8" s="69">
        <f t="shared" si="4"/>
        <v>10.509120432195722</v>
      </c>
      <c r="AZ8" s="69">
        <f t="shared" si="4"/>
        <v>17.747397622231333</v>
      </c>
      <c r="BA8" s="69">
        <f t="shared" si="4"/>
        <v>15.584077244931535</v>
      </c>
      <c r="BB8" s="69">
        <f t="shared" si="4"/>
        <v>17.358836839453563</v>
      </c>
      <c r="BC8" s="69">
        <f t="shared" si="4"/>
        <v>12.9940884207815</v>
      </c>
      <c r="BD8" s="69">
        <f t="shared" si="4"/>
        <v>13.993637776864228</v>
      </c>
      <c r="BE8" s="69">
        <f t="shared" si="4"/>
        <v>11.639929473152531</v>
      </c>
      <c r="BF8" s="69">
        <f t="shared" si="4"/>
        <v>17.943205144793794</v>
      </c>
      <c r="BG8" s="69">
        <f t="shared" si="4"/>
        <v>15.980294423888557</v>
      </c>
      <c r="BI8" s="104"/>
      <c r="BJ8" s="5" t="s">
        <v>212</v>
      </c>
      <c r="BK8" s="69">
        <f>((BK4-BK7)-(BK5-BK6))/(LN((BK4-BK7)/(BK5-BK6)))</f>
        <v>16.540830640125293</v>
      </c>
      <c r="BL8" s="69">
        <f>((BL4-BL7)-(BL5-BL6))/(LN((BL4-BL7)/(BL5-BL6)))</f>
        <v>16.54075903616501</v>
      </c>
      <c r="BM8" s="69">
        <f>((BM4-BM7)-(BM5-BM6))/(LN((BM4-BM7)/(BM5-BM6)))</f>
        <v>16.540687431968827</v>
      </c>
      <c r="BO8" s="69">
        <f t="shared" ref="BO8:BV8" si="5">((BO4-BO7)-(BO5-BO6))/(LN((BO4-BO7)/(BO5-BO6)))</f>
        <v>16.540830640125293</v>
      </c>
      <c r="BP8" s="69">
        <f t="shared" si="5"/>
        <v>16.54075903616501</v>
      </c>
      <c r="BQ8" s="69">
        <f t="shared" si="5"/>
        <v>16.540687431968827</v>
      </c>
      <c r="BR8" s="69">
        <f t="shared" si="5"/>
        <v>16.540615827536719</v>
      </c>
      <c r="BS8" s="69">
        <f t="shared" si="5"/>
        <v>16.540544222868704</v>
      </c>
      <c r="BT8" s="69">
        <f t="shared" si="5"/>
        <v>16.54047261796477</v>
      </c>
      <c r="BU8" s="69">
        <f t="shared" si="5"/>
        <v>16.540401012824908</v>
      </c>
      <c r="BV8" s="69">
        <f t="shared" si="5"/>
        <v>16.540329407449121</v>
      </c>
      <c r="BW8"/>
    </row>
    <row r="9" spans="8:75" x14ac:dyDescent="0.2">
      <c r="I9" s="5"/>
      <c r="BJ9" s="5"/>
      <c r="BW9"/>
    </row>
    <row r="10" spans="8:75" x14ac:dyDescent="0.2">
      <c r="H10" s="112" t="s">
        <v>260</v>
      </c>
      <c r="I10" s="5" t="s">
        <v>218</v>
      </c>
      <c r="J10" s="65">
        <f t="shared" ref="J10:BG10" si="6">AVERAGE(J4,J5)</f>
        <v>30.00027399775</v>
      </c>
      <c r="K10" s="65">
        <f t="shared" si="6"/>
        <v>30.46</v>
      </c>
      <c r="L10" s="65">
        <f t="shared" si="6"/>
        <v>29.46</v>
      </c>
      <c r="M10" s="65">
        <f>AVERAGE(M4,M5)</f>
        <v>30.024999999999999</v>
      </c>
      <c r="N10" s="65">
        <f t="shared" si="6"/>
        <v>30.39</v>
      </c>
      <c r="O10" s="65">
        <f t="shared" si="6"/>
        <v>27.52</v>
      </c>
      <c r="P10" s="65">
        <f t="shared" si="6"/>
        <v>29.895</v>
      </c>
      <c r="Q10" s="65">
        <f t="shared" si="6"/>
        <v>29.41</v>
      </c>
      <c r="R10" s="65">
        <f t="shared" si="6"/>
        <v>29.405000000000001</v>
      </c>
      <c r="S10" s="65">
        <f t="shared" si="6"/>
        <v>29.414999999999999</v>
      </c>
      <c r="T10" s="65">
        <f t="shared" si="6"/>
        <v>29.405000000000001</v>
      </c>
      <c r="U10" s="65">
        <f t="shared" si="6"/>
        <v>28.92</v>
      </c>
      <c r="V10" s="65">
        <f t="shared" si="6"/>
        <v>27.5</v>
      </c>
      <c r="W10" s="65">
        <f t="shared" si="6"/>
        <v>27.490000000000002</v>
      </c>
      <c r="X10" s="65">
        <f t="shared" si="6"/>
        <v>30.375</v>
      </c>
      <c r="Y10" s="65">
        <f t="shared" si="6"/>
        <v>26.465</v>
      </c>
      <c r="Z10" s="65">
        <f t="shared" si="6"/>
        <v>26.939999999999998</v>
      </c>
      <c r="AA10" s="65">
        <f t="shared" si="6"/>
        <v>25.939999999999998</v>
      </c>
      <c r="AB10" s="65">
        <f t="shared" si="6"/>
        <v>26.425000000000001</v>
      </c>
      <c r="AC10" s="65">
        <f t="shared" si="6"/>
        <v>29.34</v>
      </c>
      <c r="AD10" s="65">
        <f t="shared" si="6"/>
        <v>28.805</v>
      </c>
      <c r="AE10" s="65">
        <f t="shared" si="6"/>
        <v>28.905000000000001</v>
      </c>
      <c r="AF10" s="65">
        <f t="shared" si="6"/>
        <v>28.865000000000002</v>
      </c>
      <c r="AG10" s="65">
        <f t="shared" si="6"/>
        <v>30.484999999999999</v>
      </c>
      <c r="AH10" s="65">
        <f t="shared" si="6"/>
        <v>28.895</v>
      </c>
      <c r="AI10" s="65">
        <f t="shared" si="6"/>
        <v>29.4</v>
      </c>
      <c r="AJ10" s="65">
        <f t="shared" si="6"/>
        <v>28.880000000000003</v>
      </c>
      <c r="AK10" s="65">
        <f t="shared" si="6"/>
        <v>29.869999999999997</v>
      </c>
      <c r="AL10" s="65">
        <f t="shared" si="6"/>
        <v>29.86</v>
      </c>
      <c r="AM10" s="65">
        <f t="shared" si="6"/>
        <v>28.905000000000001</v>
      </c>
      <c r="AN10" s="65">
        <f t="shared" si="6"/>
        <v>28.880000000000003</v>
      </c>
      <c r="AO10" s="65">
        <f t="shared" si="6"/>
        <v>28.93</v>
      </c>
      <c r="AP10" s="65">
        <f t="shared" si="6"/>
        <v>29.905000000000001</v>
      </c>
      <c r="AQ10" s="65">
        <f t="shared" si="6"/>
        <v>26.490000000000002</v>
      </c>
      <c r="AR10" s="65">
        <f t="shared" si="6"/>
        <v>26.465</v>
      </c>
      <c r="AS10" s="65">
        <f t="shared" si="6"/>
        <v>27.95</v>
      </c>
      <c r="AT10" s="65">
        <f t="shared" si="6"/>
        <v>28.824999999999999</v>
      </c>
      <c r="AU10" s="65">
        <f t="shared" si="6"/>
        <v>26.5</v>
      </c>
      <c r="AV10" s="65">
        <f t="shared" si="6"/>
        <v>25.994999999999997</v>
      </c>
      <c r="AW10" s="65">
        <f t="shared" si="6"/>
        <v>26.02</v>
      </c>
      <c r="AX10" s="65">
        <f t="shared" si="6"/>
        <v>26.490000000000002</v>
      </c>
      <c r="AY10" s="65">
        <f t="shared" si="6"/>
        <v>25.45</v>
      </c>
      <c r="AZ10" s="65">
        <f t="shared" si="6"/>
        <v>29.89</v>
      </c>
      <c r="BA10" s="65">
        <f t="shared" si="6"/>
        <v>28.93</v>
      </c>
      <c r="BB10" s="65">
        <f t="shared" si="6"/>
        <v>28.824999999999999</v>
      </c>
      <c r="BC10" s="65">
        <f t="shared" si="6"/>
        <v>26.375</v>
      </c>
      <c r="BD10" s="65">
        <f t="shared" si="6"/>
        <v>27.945</v>
      </c>
      <c r="BE10" s="65">
        <f t="shared" si="6"/>
        <v>26.490000000000002</v>
      </c>
      <c r="BF10" s="65">
        <f t="shared" si="6"/>
        <v>30.435000000000002</v>
      </c>
      <c r="BG10" s="65">
        <f t="shared" si="6"/>
        <v>28.365000000000002</v>
      </c>
      <c r="BI10" s="112" t="s">
        <v>260</v>
      </c>
      <c r="BJ10" s="5" t="s">
        <v>218</v>
      </c>
      <c r="BK10" s="65">
        <f>AVERAGE(BK4,BK5)</f>
        <v>30.024999999999999</v>
      </c>
      <c r="BL10" s="65">
        <f>AVERAGE(BL4,BL5)</f>
        <v>30.024999999999999</v>
      </c>
      <c r="BM10" s="65">
        <f>AVERAGE(BM4,BM5)</f>
        <v>30.024999999999999</v>
      </c>
      <c r="BO10" s="65">
        <f t="shared" ref="BO10:BV10" si="7">AVERAGE(BO4,BO5)</f>
        <v>30.024999999999999</v>
      </c>
      <c r="BP10" s="65">
        <f t="shared" si="7"/>
        <v>30.024999999999999</v>
      </c>
      <c r="BQ10" s="65">
        <f t="shared" si="7"/>
        <v>30.024999999999999</v>
      </c>
      <c r="BR10" s="65">
        <f t="shared" si="7"/>
        <v>30.024999999999999</v>
      </c>
      <c r="BS10" s="65">
        <f t="shared" si="7"/>
        <v>30.024999999999999</v>
      </c>
      <c r="BT10" s="65">
        <f t="shared" si="7"/>
        <v>30.024999999999999</v>
      </c>
      <c r="BU10" s="65">
        <f t="shared" si="7"/>
        <v>30.024999999999999</v>
      </c>
      <c r="BV10" s="65">
        <f t="shared" si="7"/>
        <v>30.024999999999999</v>
      </c>
      <c r="BW10"/>
    </row>
    <row r="11" spans="8:75" x14ac:dyDescent="0.2">
      <c r="H11" s="104"/>
      <c r="I11" s="6" t="s">
        <v>219</v>
      </c>
      <c r="J11" s="65">
        <v>660.76844331790005</v>
      </c>
      <c r="K11" s="65">
        <v>641.98516218739996</v>
      </c>
      <c r="L11" s="65">
        <v>678.30718402219998</v>
      </c>
      <c r="M11" s="65">
        <v>659.86</v>
      </c>
      <c r="N11" s="65">
        <v>645.16651365730002</v>
      </c>
      <c r="O11" s="65">
        <v>722.8929052016</v>
      </c>
      <c r="P11" s="65">
        <v>664.31074203089997</v>
      </c>
      <c r="Q11" s="65">
        <v>679.76160770989998</v>
      </c>
      <c r="R11" s="65">
        <v>679.76160770989998</v>
      </c>
      <c r="S11" s="65">
        <v>679.47271590729997</v>
      </c>
      <c r="T11" s="65">
        <v>679.76160770989998</v>
      </c>
      <c r="U11" s="65">
        <v>692.89291486970001</v>
      </c>
      <c r="V11" s="65">
        <v>723.26548131100003</v>
      </c>
      <c r="W11" s="65">
        <v>723.45139081620005</v>
      </c>
      <c r="X11" s="65">
        <v>645.60957823399997</v>
      </c>
      <c r="Y11" s="65">
        <v>740.9994665035</v>
      </c>
      <c r="Z11" s="65">
        <v>733.23539047880001</v>
      </c>
      <c r="AA11" s="65">
        <v>749.20882033329997</v>
      </c>
      <c r="AB11" s="65">
        <v>741.63805319899996</v>
      </c>
      <c r="AC11" s="65">
        <v>681.75827116259995</v>
      </c>
      <c r="AD11" s="65">
        <v>695.6018992086</v>
      </c>
      <c r="AE11" s="65">
        <v>693.14243209879999</v>
      </c>
      <c r="AF11" s="65">
        <v>694.13382796990004</v>
      </c>
      <c r="AG11" s="65">
        <v>640.57788538019997</v>
      </c>
      <c r="AH11" s="65">
        <v>693.39125777840002</v>
      </c>
      <c r="AI11" s="65">
        <v>680.04962038780002</v>
      </c>
      <c r="AJ11" s="65">
        <v>693.88700367620004</v>
      </c>
      <c r="AK11" s="65">
        <v>665.34369178769998</v>
      </c>
      <c r="AL11" s="65">
        <v>665.68514617530002</v>
      </c>
      <c r="AM11" s="65">
        <v>693.14243209879999</v>
      </c>
      <c r="AN11" s="65">
        <v>693.88700367620004</v>
      </c>
      <c r="AO11" s="65">
        <v>692.64277639730005</v>
      </c>
      <c r="AP11" s="55">
        <v>663.96342147769997</v>
      </c>
      <c r="AQ11" s="55">
        <v>740.67894726659995</v>
      </c>
      <c r="AR11" s="55">
        <v>740.9994665035</v>
      </c>
      <c r="AS11" s="55">
        <v>714.56074405690003</v>
      </c>
      <c r="AT11" s="55">
        <v>695.1150159952</v>
      </c>
      <c r="AU11" s="55">
        <v>740.51835976359996</v>
      </c>
      <c r="AV11" s="55">
        <v>748.30553976880003</v>
      </c>
      <c r="AW11" s="55">
        <v>748.00306366849998</v>
      </c>
      <c r="AX11" s="55">
        <v>740.67894726659995</v>
      </c>
      <c r="AY11" s="55">
        <v>756.36166085269997</v>
      </c>
      <c r="AZ11" s="55">
        <v>664.65649567449998</v>
      </c>
      <c r="BA11" s="55">
        <v>692.64277639730005</v>
      </c>
      <c r="BB11" s="55">
        <v>695.1150159952</v>
      </c>
      <c r="BC11" s="55">
        <v>742.43167223540001</v>
      </c>
      <c r="BD11" s="55">
        <v>714.56074405690003</v>
      </c>
      <c r="BE11" s="55">
        <v>740.67894726659995</v>
      </c>
      <c r="BF11" s="55">
        <v>642.90855598569999</v>
      </c>
      <c r="BG11" s="55">
        <v>705.74274683320004</v>
      </c>
      <c r="BI11" s="104"/>
      <c r="BJ11" s="6" t="s">
        <v>219</v>
      </c>
      <c r="BK11" s="65">
        <v>659.86</v>
      </c>
      <c r="BL11" s="65">
        <v>659.86</v>
      </c>
      <c r="BM11" s="65">
        <v>659.86</v>
      </c>
      <c r="BO11" s="65">
        <v>659.86</v>
      </c>
      <c r="BP11" s="65">
        <v>659.86</v>
      </c>
      <c r="BQ11" s="65">
        <v>659.86</v>
      </c>
      <c r="BR11" s="65">
        <v>659.86</v>
      </c>
      <c r="BS11" s="65">
        <v>659.86</v>
      </c>
      <c r="BT11" s="65">
        <v>659.86</v>
      </c>
      <c r="BU11" s="65">
        <v>659.86</v>
      </c>
      <c r="BV11" s="65">
        <v>659.86</v>
      </c>
      <c r="BW11"/>
    </row>
    <row r="12" spans="8:75" x14ac:dyDescent="0.2">
      <c r="H12" s="104"/>
      <c r="I12" s="5" t="s">
        <v>217</v>
      </c>
      <c r="J12" s="65">
        <v>8474.8113418000012</v>
      </c>
      <c r="K12" s="65">
        <v>10559.4553578</v>
      </c>
      <c r="L12" s="65">
        <v>7080.5175163999993</v>
      </c>
      <c r="M12" s="65">
        <v>8559.91</v>
      </c>
      <c r="N12" s="65">
        <v>10152.173480699999</v>
      </c>
      <c r="O12" s="65">
        <v>4932.0072789999995</v>
      </c>
      <c r="P12" s="65">
        <v>8156.9415631000002</v>
      </c>
      <c r="Q12" s="65">
        <v>6983.0296202999998</v>
      </c>
      <c r="R12" s="65">
        <v>6983.0296202999998</v>
      </c>
      <c r="S12" s="65">
        <v>7002.1991713999996</v>
      </c>
      <c r="T12" s="65">
        <v>6983.0296202999998</v>
      </c>
      <c r="U12" s="65">
        <v>6203.2566033000003</v>
      </c>
      <c r="V12" s="65">
        <v>4919.5665975000002</v>
      </c>
      <c r="W12" s="65">
        <v>4913.3829600999998</v>
      </c>
      <c r="X12" s="65">
        <v>10097.410635499999</v>
      </c>
      <c r="Y12" s="65">
        <v>4397.3933376999994</v>
      </c>
      <c r="Z12" s="65">
        <v>4610.1504455000004</v>
      </c>
      <c r="AA12" s="65">
        <v>4195.4798852000004</v>
      </c>
      <c r="AB12" s="65">
        <v>4380.8784834999997</v>
      </c>
      <c r="AC12" s="65">
        <v>6853.0866980999999</v>
      </c>
      <c r="AD12" s="65">
        <v>6062.3919213999998</v>
      </c>
      <c r="AE12" s="65">
        <v>6190.0206001000006</v>
      </c>
      <c r="AF12" s="65">
        <v>6137.9611653000002</v>
      </c>
      <c r="AG12" s="65">
        <v>10747.750979599999</v>
      </c>
      <c r="AH12" s="65">
        <v>6176.8753537000002</v>
      </c>
      <c r="AI12" s="65">
        <v>6964.0112910000007</v>
      </c>
      <c r="AJ12" s="65">
        <v>6150.8429482000001</v>
      </c>
      <c r="AK12" s="65">
        <v>8068.0290196000005</v>
      </c>
      <c r="AL12" s="65">
        <v>8038.9992460999993</v>
      </c>
      <c r="AM12" s="65">
        <v>6190.0206001000006</v>
      </c>
      <c r="AN12" s="65">
        <v>6150.8429482000001</v>
      </c>
      <c r="AO12" s="65">
        <v>6216.5790960000004</v>
      </c>
      <c r="AP12" s="55">
        <v>8187.2134405000006</v>
      </c>
      <c r="AQ12" s="55">
        <v>4405.7363144000001</v>
      </c>
      <c r="AR12" s="55">
        <v>4397.3933376999994</v>
      </c>
      <c r="AS12" s="55">
        <v>5228.7892023999993</v>
      </c>
      <c r="AT12" s="55">
        <v>6087.2560188999996</v>
      </c>
      <c r="AU12" s="55">
        <v>4409.9301612999998</v>
      </c>
      <c r="AV12" s="55">
        <v>4216.6344177999999</v>
      </c>
      <c r="AW12" s="55">
        <v>4223.7744195999994</v>
      </c>
      <c r="AX12" s="55">
        <v>4405.7363144000001</v>
      </c>
      <c r="AY12" s="55">
        <v>4036.4648929999998</v>
      </c>
      <c r="AZ12" s="55">
        <v>8126.9962452000009</v>
      </c>
      <c r="BA12" s="55">
        <v>6216.5790960000004</v>
      </c>
      <c r="BB12" s="55">
        <v>6087.2560188999996</v>
      </c>
      <c r="BC12" s="55">
        <v>4360.5521239999998</v>
      </c>
      <c r="BD12" s="55">
        <v>5228.7892023999993</v>
      </c>
      <c r="BE12" s="55">
        <v>4405.7363144000001</v>
      </c>
      <c r="BF12" s="55">
        <v>10438.654086499999</v>
      </c>
      <c r="BG12" s="55">
        <v>5586.0792151999995</v>
      </c>
      <c r="BI12" s="104"/>
      <c r="BJ12" s="5" t="s">
        <v>217</v>
      </c>
      <c r="BK12" s="65">
        <v>8559.91</v>
      </c>
      <c r="BL12" s="65">
        <v>8559.91</v>
      </c>
      <c r="BM12" s="65">
        <v>8559.91</v>
      </c>
      <c r="BO12" s="65">
        <v>8559.91</v>
      </c>
      <c r="BP12" s="65">
        <v>8559.91</v>
      </c>
      <c r="BQ12" s="65">
        <v>8559.91</v>
      </c>
      <c r="BR12" s="65">
        <v>8559.91</v>
      </c>
      <c r="BS12" s="65">
        <v>8559.91</v>
      </c>
      <c r="BT12" s="65">
        <v>8559.91</v>
      </c>
      <c r="BU12" s="65">
        <v>8559.91</v>
      </c>
      <c r="BV12" s="65">
        <v>8559.91</v>
      </c>
      <c r="BW12"/>
    </row>
    <row r="13" spans="8:75" x14ac:dyDescent="0.2">
      <c r="H13" s="104"/>
      <c r="I13" s="5" t="s">
        <v>220</v>
      </c>
      <c r="J13" s="66">
        <v>8.0050428000000007E-2</v>
      </c>
      <c r="K13" s="66">
        <v>8.0942011300000005E-2</v>
      </c>
      <c r="L13" s="66">
        <v>7.99019386E-2</v>
      </c>
      <c r="M13" s="66">
        <v>8.0074500000000007E-2</v>
      </c>
      <c r="N13" s="66">
        <v>8.0727379000000002E-2</v>
      </c>
      <c r="O13" s="55">
        <v>8.1632004100000002E-2</v>
      </c>
      <c r="P13" s="55">
        <v>7.9973111799999996E-2</v>
      </c>
      <c r="Q13" s="55">
        <v>7.9914252800000002E-2</v>
      </c>
      <c r="R13" s="55">
        <v>7.9914252800000002E-2</v>
      </c>
      <c r="S13" s="55">
        <v>7.99115294E-2</v>
      </c>
      <c r="T13" s="55">
        <v>7.9914252800000002E-2</v>
      </c>
      <c r="U13" s="55">
        <v>8.0174815499999996E-2</v>
      </c>
      <c r="V13" s="55">
        <v>8.1656615700000004E-2</v>
      </c>
      <c r="W13" s="55">
        <v>8.1668950500000004E-2</v>
      </c>
      <c r="X13" s="55">
        <v>8.0699751599999994E-2</v>
      </c>
      <c r="Y13" s="55">
        <v>8.2988352900000006E-2</v>
      </c>
      <c r="Z13" s="55">
        <v>8.2367736900000002E-2</v>
      </c>
      <c r="AA13" s="55">
        <v>8.35619841E-2</v>
      </c>
      <c r="AB13" s="55">
        <v>8.2927024399999993E-2</v>
      </c>
      <c r="AC13" s="55">
        <v>7.9936769000000005E-2</v>
      </c>
      <c r="AD13" s="55">
        <v>8.0259900600000003E-2</v>
      </c>
      <c r="AE13" s="55">
        <v>8.0182226100000004E-2</v>
      </c>
      <c r="AF13" s="55">
        <v>8.0212530200000007E-2</v>
      </c>
      <c r="AG13" s="55">
        <v>8.1046384900000004E-2</v>
      </c>
      <c r="AH13" s="55">
        <v>8.0189703200000004E-2</v>
      </c>
      <c r="AI13" s="55">
        <v>7.9917102800000001E-2</v>
      </c>
      <c r="AJ13" s="55">
        <v>8.0204857300000001E-2</v>
      </c>
      <c r="AK13" s="55">
        <v>7.9955350100000003E-2</v>
      </c>
      <c r="AL13" s="55">
        <v>7.9949942199999999E-2</v>
      </c>
      <c r="AM13" s="55">
        <v>8.0182226100000004E-2</v>
      </c>
      <c r="AN13" s="55">
        <v>8.0204857300000001E-2</v>
      </c>
      <c r="AO13" s="55">
        <v>8.0167473899999994E-2</v>
      </c>
      <c r="AP13" s="55">
        <v>7.9979562399999996E-2</v>
      </c>
      <c r="AQ13" s="55">
        <v>8.2961625900000002E-2</v>
      </c>
      <c r="AR13" s="55">
        <v>8.2988352900000006E-2</v>
      </c>
      <c r="AS13" s="55">
        <v>8.1120574000000001E-2</v>
      </c>
      <c r="AT13" s="55">
        <v>8.0243862599999993E-2</v>
      </c>
      <c r="AU13" s="55">
        <v>8.2948270199999993E-2</v>
      </c>
      <c r="AV13" s="55">
        <v>8.3622485499999996E-2</v>
      </c>
      <c r="AW13" s="55">
        <v>8.3595301499999997E-2</v>
      </c>
      <c r="AX13" s="55">
        <v>8.2961625900000002E-2</v>
      </c>
      <c r="AY13" s="55">
        <v>8.43750588E-2</v>
      </c>
      <c r="AZ13" s="55">
        <v>7.9966930800000002E-2</v>
      </c>
      <c r="BA13" s="55">
        <v>8.0167473899999994E-2</v>
      </c>
      <c r="BB13" s="55">
        <v>8.0243862599999993E-2</v>
      </c>
      <c r="BC13" s="55">
        <v>8.3108917500000004E-2</v>
      </c>
      <c r="BD13" s="55">
        <v>8.1120574000000001E-2</v>
      </c>
      <c r="BE13" s="55">
        <v>8.2961625900000002E-2</v>
      </c>
      <c r="BF13" s="55">
        <v>8.0876719700000002E-2</v>
      </c>
      <c r="BG13" s="55">
        <v>8.0665002799999996E-2</v>
      </c>
      <c r="BI13" s="104"/>
      <c r="BJ13" s="5" t="s">
        <v>220</v>
      </c>
      <c r="BK13" s="66">
        <v>8.0074500000000007E-2</v>
      </c>
      <c r="BL13" s="66">
        <v>8.0074500000000007E-2</v>
      </c>
      <c r="BM13" s="66">
        <v>8.0074500000000007E-2</v>
      </c>
      <c r="BO13" s="66">
        <v>8.0074500000000007E-2</v>
      </c>
      <c r="BP13" s="66">
        <v>8.0074500000000007E-2</v>
      </c>
      <c r="BQ13" s="66">
        <v>8.0074500000000007E-2</v>
      </c>
      <c r="BR13" s="66">
        <v>8.0074500000000007E-2</v>
      </c>
      <c r="BS13" s="66">
        <v>8.0074500000000007E-2</v>
      </c>
      <c r="BT13" s="66">
        <v>8.0074500000000007E-2</v>
      </c>
      <c r="BU13" s="66">
        <v>8.0074500000000007E-2</v>
      </c>
      <c r="BV13" s="66">
        <v>8.0074500000000007E-2</v>
      </c>
      <c r="BW13"/>
    </row>
    <row r="14" spans="8:75" x14ac:dyDescent="0.2">
      <c r="H14" s="104"/>
      <c r="I14" s="5" t="s">
        <v>228</v>
      </c>
      <c r="J14" s="66">
        <f>J17/J11</f>
        <v>0.15133894636050188</v>
      </c>
      <c r="K14" s="66">
        <f t="shared" ref="K14:BG14" si="8">K17/K11</f>
        <v>0.15576683993641788</v>
      </c>
      <c r="L14" s="66">
        <f t="shared" si="8"/>
        <v>0.14742583059053543</v>
      </c>
      <c r="M14" s="66">
        <f>M17/M11</f>
        <v>0.15154729791167823</v>
      </c>
      <c r="N14" s="66">
        <f t="shared" si="8"/>
        <v>0.15499874510399353</v>
      </c>
      <c r="O14" s="66">
        <f t="shared" si="8"/>
        <v>0.13833307711342394</v>
      </c>
      <c r="P14" s="66">
        <f t="shared" si="8"/>
        <v>0.15053196293994078</v>
      </c>
      <c r="Q14" s="66">
        <f t="shared" si="8"/>
        <v>0.14711039703595136</v>
      </c>
      <c r="R14" s="66">
        <f t="shared" si="8"/>
        <v>0.14711039703595136</v>
      </c>
      <c r="S14" s="66">
        <f t="shared" si="8"/>
        <v>0.1471729440474589</v>
      </c>
      <c r="T14" s="66">
        <f t="shared" si="8"/>
        <v>0.14711039703595136</v>
      </c>
      <c r="U14" s="66">
        <f t="shared" si="8"/>
        <v>0.14432244558137128</v>
      </c>
      <c r="V14" s="66">
        <f t="shared" si="8"/>
        <v>0.13826181752617137</v>
      </c>
      <c r="W14" s="66">
        <f t="shared" si="8"/>
        <v>0.1382262875839933</v>
      </c>
      <c r="X14" s="66">
        <f t="shared" si="8"/>
        <v>0.15489237361307423</v>
      </c>
      <c r="Y14" s="66">
        <f t="shared" si="8"/>
        <v>0.13495286369349588</v>
      </c>
      <c r="Z14" s="66">
        <f t="shared" si="8"/>
        <v>0.13638185131066896</v>
      </c>
      <c r="AA14" s="66">
        <f t="shared" si="8"/>
        <v>0.13347413602994299</v>
      </c>
      <c r="AB14" s="66">
        <f t="shared" si="8"/>
        <v>0.13483666266672473</v>
      </c>
      <c r="AC14" s="66">
        <f t="shared" si="8"/>
        <v>0.14667955524686244</v>
      </c>
      <c r="AD14" s="66">
        <f t="shared" si="8"/>
        <v>0.1437603895471993</v>
      </c>
      <c r="AE14" s="66">
        <f t="shared" si="8"/>
        <v>0.14427049242564055</v>
      </c>
      <c r="AF14" s="66">
        <f t="shared" si="8"/>
        <v>0.14406443825460172</v>
      </c>
      <c r="AG14" s="66">
        <f t="shared" si="8"/>
        <v>0.15610904197956715</v>
      </c>
      <c r="AH14" s="66">
        <f t="shared" si="8"/>
        <v>0.14421872049612552</v>
      </c>
      <c r="AI14" s="66">
        <f t="shared" si="8"/>
        <v>0.14704809325968707</v>
      </c>
      <c r="AJ14" s="66">
        <f t="shared" si="8"/>
        <v>0.14411568377877365</v>
      </c>
      <c r="AK14" s="66">
        <f t="shared" si="8"/>
        <v>0.1502982612359513</v>
      </c>
      <c r="AL14" s="66">
        <f t="shared" si="8"/>
        <v>0.15022116773154831</v>
      </c>
      <c r="AM14" s="66">
        <f t="shared" si="8"/>
        <v>0.14427049242564055</v>
      </c>
      <c r="AN14" s="66">
        <f t="shared" si="8"/>
        <v>0.14411568377877365</v>
      </c>
      <c r="AO14" s="66">
        <f t="shared" si="8"/>
        <v>0.14437456566014914</v>
      </c>
      <c r="AP14" s="66">
        <f t="shared" si="8"/>
        <v>0.15061070650163613</v>
      </c>
      <c r="AQ14" s="66">
        <f t="shared" si="8"/>
        <v>0.13501126280021836</v>
      </c>
      <c r="AR14" s="66">
        <f t="shared" si="8"/>
        <v>0.13495286369349588</v>
      </c>
      <c r="AS14" s="66">
        <f t="shared" si="8"/>
        <v>0.13994611491285205</v>
      </c>
      <c r="AT14" s="66">
        <f t="shared" si="8"/>
        <v>0.14386108442331583</v>
      </c>
      <c r="AU14" s="66">
        <f t="shared" si="8"/>
        <v>0.13504054110410388</v>
      </c>
      <c r="AV14" s="66">
        <f t="shared" si="8"/>
        <v>0.13363525282853908</v>
      </c>
      <c r="AW14" s="66">
        <f t="shared" si="8"/>
        <v>0.13368929200578517</v>
      </c>
      <c r="AX14" s="66">
        <f t="shared" si="8"/>
        <v>0.13501126280021836</v>
      </c>
      <c r="AY14" s="66">
        <f t="shared" si="8"/>
        <v>0.13221188377959683</v>
      </c>
      <c r="AZ14" s="66">
        <f t="shared" si="8"/>
        <v>0.15045365636353109</v>
      </c>
      <c r="BA14" s="66">
        <f t="shared" si="8"/>
        <v>0.14437456566014914</v>
      </c>
      <c r="BB14" s="66">
        <f t="shared" si="8"/>
        <v>0.14386108442331583</v>
      </c>
      <c r="BC14" s="66">
        <f t="shared" si="8"/>
        <v>0.13469252961543021</v>
      </c>
      <c r="BD14" s="66">
        <f t="shared" si="8"/>
        <v>0.13994611491285205</v>
      </c>
      <c r="BE14" s="66">
        <f t="shared" si="8"/>
        <v>0.13501126280021836</v>
      </c>
      <c r="BF14" s="66">
        <f t="shared" si="8"/>
        <v>0.15554311584278288</v>
      </c>
      <c r="BG14" s="66">
        <f t="shared" si="8"/>
        <v>0.14169469037934679</v>
      </c>
      <c r="BI14" s="104"/>
      <c r="BJ14" s="5" t="s">
        <v>228</v>
      </c>
      <c r="BK14" s="66">
        <f>BK17/BK11</f>
        <v>2.7278513624102083E-2</v>
      </c>
      <c r="BL14" s="66">
        <f>BL17/BL11</f>
        <v>0.15306277089079501</v>
      </c>
      <c r="BM14" s="66">
        <f>BM17/BM11</f>
        <v>0.37432182584184526</v>
      </c>
      <c r="BO14" s="66">
        <f t="shared" ref="BO14:BV14" si="9">BO17/BO11</f>
        <v>3.3340405540569211E-2</v>
      </c>
      <c r="BP14" s="66">
        <f t="shared" si="9"/>
        <v>3.7886824477919558E-2</v>
      </c>
      <c r="BQ14" s="66">
        <f t="shared" si="9"/>
        <v>4.2433243415269904E-2</v>
      </c>
      <c r="BR14" s="66">
        <f t="shared" si="9"/>
        <v>4.5464189373503466E-2</v>
      </c>
      <c r="BS14" s="66">
        <f t="shared" si="9"/>
        <v>5.0010608310853813E-2</v>
      </c>
      <c r="BT14" s="66">
        <f t="shared" si="9"/>
        <v>5.3041554269087382E-2</v>
      </c>
      <c r="BU14" s="66">
        <f t="shared" si="9"/>
        <v>5.6072500227320944E-2</v>
      </c>
      <c r="BV14" s="66">
        <f t="shared" si="9"/>
        <v>5.9103446185554513E-2</v>
      </c>
      <c r="BW14"/>
    </row>
    <row r="15" spans="8:75" x14ac:dyDescent="0.2">
      <c r="H15" s="104"/>
      <c r="I15" s="5" t="s">
        <v>223</v>
      </c>
      <c r="J15" s="66">
        <v>5.10696184814E-5</v>
      </c>
      <c r="K15" s="66">
        <v>4.8945553036500004E-5</v>
      </c>
      <c r="L15" s="66">
        <v>5.3145044243199999E-5</v>
      </c>
      <c r="M15" s="66">
        <v>5.0964300000000003E-5</v>
      </c>
      <c r="N15" s="66">
        <v>4.9298452316699999E-5</v>
      </c>
      <c r="O15" s="66">
        <v>5.8872927181500001E-5</v>
      </c>
      <c r="P15" s="66">
        <v>5.1481401094600001E-5</v>
      </c>
      <c r="Q15" s="66">
        <v>5.33213631543E-5</v>
      </c>
      <c r="R15" s="66">
        <v>5.33213631543E-5</v>
      </c>
      <c r="S15" s="66">
        <v>5.3286288308000003E-5</v>
      </c>
      <c r="T15" s="66">
        <v>5.33213631543E-5</v>
      </c>
      <c r="U15" s="66">
        <v>5.4943892366599999E-5</v>
      </c>
      <c r="V15" s="66">
        <v>5.8923808176000004E-5</v>
      </c>
      <c r="W15" s="66">
        <v>5.8949217257000002E-5</v>
      </c>
      <c r="X15" s="66">
        <v>4.9347817562700001E-5</v>
      </c>
      <c r="Y15" s="66">
        <v>6.1409889573199995E-5</v>
      </c>
      <c r="Z15" s="66">
        <v>6.0305698680799996E-5</v>
      </c>
      <c r="AA15" s="66">
        <v>6.2605375541900001E-5</v>
      </c>
      <c r="AB15" s="66">
        <v>6.1501836944099995E-5</v>
      </c>
      <c r="AC15" s="66">
        <v>5.35645007888E-5</v>
      </c>
      <c r="AD15" s="66">
        <v>5.52856670815E-5</v>
      </c>
      <c r="AE15" s="66">
        <v>5.4975269461700005E-5</v>
      </c>
      <c r="AF15" s="66">
        <v>5.5100144266999996E-5</v>
      </c>
      <c r="AG15" s="66">
        <v>4.8790316460899998E-5</v>
      </c>
      <c r="AH15" s="66">
        <v>5.5006580261300003E-5</v>
      </c>
      <c r="AI15" s="66">
        <v>5.3356357450500001E-5</v>
      </c>
      <c r="AJ15" s="66">
        <v>5.5069023922100003E-5</v>
      </c>
      <c r="AK15" s="66">
        <v>5.1602170210899999E-5</v>
      </c>
      <c r="AL15" s="66">
        <v>5.1642161133700002E-5</v>
      </c>
      <c r="AM15" s="66">
        <v>5.4975269461700005E-5</v>
      </c>
      <c r="AN15" s="66">
        <v>5.5069023922100003E-5</v>
      </c>
      <c r="AO15" s="66">
        <v>5.4912458062799997E-5</v>
      </c>
      <c r="AP15" s="66">
        <v>5.1440863913299997E-5</v>
      </c>
      <c r="AQ15" s="66">
        <v>6.1363804934899999E-5</v>
      </c>
      <c r="AR15" s="66">
        <v>6.1409889573199995E-5</v>
      </c>
      <c r="AS15" s="66">
        <v>5.7748894285799998E-5</v>
      </c>
      <c r="AT15" s="66">
        <v>5.5224058225699996E-5</v>
      </c>
      <c r="AU15" s="66">
        <v>6.1340731880900006E-5</v>
      </c>
      <c r="AV15" s="66">
        <v>6.2472389229000004E-5</v>
      </c>
      <c r="AW15" s="66">
        <v>6.2427937898199999E-5</v>
      </c>
      <c r="AX15" s="66">
        <v>6.1363804934899999E-5</v>
      </c>
      <c r="AY15" s="66">
        <v>6.3671445881000003E-5</v>
      </c>
      <c r="AZ15" s="66">
        <v>5.1521790494000001E-5</v>
      </c>
      <c r="BA15" s="66">
        <v>5.4912458062799997E-5</v>
      </c>
      <c r="BB15" s="66">
        <v>5.5224058225699996E-5</v>
      </c>
      <c r="BC15" s="66">
        <v>6.1616349781800001E-5</v>
      </c>
      <c r="BD15" s="66">
        <v>5.7748894285799998E-5</v>
      </c>
      <c r="BE15" s="66">
        <v>6.1363804934899999E-5</v>
      </c>
      <c r="BF15" s="66">
        <v>4.9047701496099998E-5</v>
      </c>
      <c r="BG15" s="66">
        <v>5.6587367099700002E-5</v>
      </c>
      <c r="BI15" s="104"/>
      <c r="BJ15" s="5" t="s">
        <v>223</v>
      </c>
      <c r="BK15" s="66">
        <v>5.0964300000000003E-5</v>
      </c>
      <c r="BL15" s="66">
        <v>5.0964300000000003E-5</v>
      </c>
      <c r="BM15" s="66">
        <v>5.0964300000000003E-5</v>
      </c>
      <c r="BO15" s="66">
        <v>5.0964300000000003E-5</v>
      </c>
      <c r="BP15" s="66">
        <v>5.0964300000000003E-5</v>
      </c>
      <c r="BQ15" s="66">
        <v>5.0964300000000003E-5</v>
      </c>
      <c r="BR15" s="66">
        <v>5.0964300000000003E-5</v>
      </c>
      <c r="BS15" s="66">
        <v>5.0964300000000003E-5</v>
      </c>
      <c r="BT15" s="66">
        <v>5.0964300000000003E-5</v>
      </c>
      <c r="BU15" s="66">
        <v>5.0964300000000003E-5</v>
      </c>
      <c r="BV15" s="66">
        <v>5.0964300000000003E-5</v>
      </c>
      <c r="BW15"/>
    </row>
    <row r="16" spans="8:75" x14ac:dyDescent="0.2">
      <c r="I16" s="5"/>
      <c r="BJ16" s="5"/>
    </row>
    <row r="17" spans="8:74" x14ac:dyDescent="0.2">
      <c r="H17" s="112" t="s">
        <v>261</v>
      </c>
      <c r="I17" s="5" t="s">
        <v>221</v>
      </c>
      <c r="J17" s="55">
        <v>100</v>
      </c>
      <c r="K17" s="55">
        <v>100</v>
      </c>
      <c r="L17" s="55">
        <v>100</v>
      </c>
      <c r="M17" s="55">
        <v>100</v>
      </c>
      <c r="N17" s="55">
        <v>100</v>
      </c>
      <c r="O17" s="55">
        <v>100</v>
      </c>
      <c r="P17" s="55">
        <v>100</v>
      </c>
      <c r="Q17" s="55">
        <v>100</v>
      </c>
      <c r="R17" s="55">
        <v>100</v>
      </c>
      <c r="S17" s="55">
        <v>100</v>
      </c>
      <c r="T17" s="55">
        <v>100</v>
      </c>
      <c r="U17" s="55">
        <v>100</v>
      </c>
      <c r="V17" s="55">
        <v>100</v>
      </c>
      <c r="W17" s="55">
        <v>100</v>
      </c>
      <c r="X17" s="55">
        <v>100</v>
      </c>
      <c r="Y17" s="55">
        <v>100</v>
      </c>
      <c r="Z17" s="55">
        <v>100</v>
      </c>
      <c r="AA17" s="55">
        <v>100</v>
      </c>
      <c r="AB17" s="55">
        <v>100</v>
      </c>
      <c r="AC17" s="55">
        <v>100</v>
      </c>
      <c r="AD17" s="55">
        <v>100</v>
      </c>
      <c r="AE17" s="55">
        <v>100</v>
      </c>
      <c r="AF17" s="55">
        <v>100</v>
      </c>
      <c r="AG17" s="55">
        <v>100</v>
      </c>
      <c r="AH17" s="55">
        <v>100</v>
      </c>
      <c r="AI17" s="55">
        <v>100</v>
      </c>
      <c r="AJ17" s="55">
        <v>100</v>
      </c>
      <c r="AK17" s="55">
        <v>100</v>
      </c>
      <c r="AL17" s="55">
        <v>100</v>
      </c>
      <c r="AM17" s="55">
        <v>100</v>
      </c>
      <c r="AN17" s="55">
        <v>100</v>
      </c>
      <c r="AO17" s="55">
        <v>100</v>
      </c>
      <c r="AP17" s="55">
        <v>100</v>
      </c>
      <c r="AQ17" s="55">
        <v>100</v>
      </c>
      <c r="AR17" s="55">
        <v>100</v>
      </c>
      <c r="AS17" s="55">
        <v>100</v>
      </c>
      <c r="AT17" s="55">
        <v>100</v>
      </c>
      <c r="AU17" s="55">
        <v>100</v>
      </c>
      <c r="AV17" s="55">
        <v>100</v>
      </c>
      <c r="AW17" s="55">
        <v>100</v>
      </c>
      <c r="AX17" s="55">
        <v>100</v>
      </c>
      <c r="AY17" s="55">
        <v>100</v>
      </c>
      <c r="AZ17" s="55">
        <v>100</v>
      </c>
      <c r="BA17" s="55">
        <v>100</v>
      </c>
      <c r="BB17" s="55">
        <v>100</v>
      </c>
      <c r="BC17" s="55">
        <v>100</v>
      </c>
      <c r="BD17" s="55">
        <v>100</v>
      </c>
      <c r="BE17" s="55">
        <v>100</v>
      </c>
      <c r="BF17" s="55">
        <v>100</v>
      </c>
      <c r="BG17" s="55">
        <v>100</v>
      </c>
      <c r="BI17" s="112" t="s">
        <v>261</v>
      </c>
      <c r="BJ17" s="5" t="s">
        <v>221</v>
      </c>
      <c r="BK17" s="93">
        <v>18</v>
      </c>
      <c r="BL17" s="93">
        <v>101</v>
      </c>
      <c r="BM17" s="93">
        <v>247</v>
      </c>
      <c r="BO17" s="93">
        <v>22</v>
      </c>
      <c r="BP17" s="93">
        <v>25</v>
      </c>
      <c r="BQ17" s="93">
        <v>28</v>
      </c>
      <c r="BR17" s="93">
        <v>30</v>
      </c>
      <c r="BS17" s="93">
        <v>33</v>
      </c>
      <c r="BT17" s="93">
        <v>35</v>
      </c>
      <c r="BU17" s="93">
        <v>37</v>
      </c>
      <c r="BV17" s="93">
        <v>39</v>
      </c>
    </row>
    <row r="18" spans="8:74" x14ac:dyDescent="0.2">
      <c r="H18" s="104"/>
      <c r="I18" s="5" t="s">
        <v>227</v>
      </c>
      <c r="J18" s="55">
        <v>1.9800000000000002E-2</v>
      </c>
      <c r="K18" s="55">
        <v>1.9800000000000002E-2</v>
      </c>
      <c r="L18" s="55">
        <v>1.9800000000000002E-2</v>
      </c>
      <c r="M18" s="55">
        <v>1.9800000000000002E-2</v>
      </c>
      <c r="N18" s="55">
        <v>1.9800000000000002E-2</v>
      </c>
      <c r="O18" s="55">
        <v>1.9800000000000002E-2</v>
      </c>
      <c r="P18" s="55">
        <v>1.9800000000000002E-2</v>
      </c>
      <c r="Q18" s="55">
        <v>1.9800000000000002E-2</v>
      </c>
      <c r="R18" s="55">
        <v>1.9800000000000002E-2</v>
      </c>
      <c r="S18" s="55">
        <v>1.9800000000000002E-2</v>
      </c>
      <c r="T18" s="55">
        <v>1.9800000000000002E-2</v>
      </c>
      <c r="U18" s="55">
        <v>1.9800000000000002E-2</v>
      </c>
      <c r="V18" s="55">
        <v>1.9800000000000002E-2</v>
      </c>
      <c r="W18" s="55">
        <v>1.9800000000000002E-2</v>
      </c>
      <c r="X18" s="55">
        <v>1.9800000000000002E-2</v>
      </c>
      <c r="Y18" s="55">
        <v>1.9800000000000002E-2</v>
      </c>
      <c r="Z18" s="55">
        <v>1.9800000000000002E-2</v>
      </c>
      <c r="AA18" s="55">
        <v>1.9800000000000002E-2</v>
      </c>
      <c r="AB18" s="55">
        <v>1.9800000000000002E-2</v>
      </c>
      <c r="AC18" s="55">
        <v>1.9800000000000002E-2</v>
      </c>
      <c r="AD18" s="55">
        <v>1.9800000000000002E-2</v>
      </c>
      <c r="AE18" s="55">
        <v>1.9800000000000002E-2</v>
      </c>
      <c r="AF18" s="55">
        <v>1.9800000000000002E-2</v>
      </c>
      <c r="AG18" s="55">
        <v>1.9800000000000002E-2</v>
      </c>
      <c r="AH18" s="55">
        <v>1.9800000000000002E-2</v>
      </c>
      <c r="AI18" s="55">
        <v>1.9800000000000002E-2</v>
      </c>
      <c r="AJ18" s="55">
        <v>1.9800000000000002E-2</v>
      </c>
      <c r="AK18" s="55">
        <v>1.9800000000000002E-2</v>
      </c>
      <c r="AL18" s="55">
        <v>1.9800000000000002E-2</v>
      </c>
      <c r="AM18" s="55">
        <v>1.9800000000000002E-2</v>
      </c>
      <c r="AN18" s="55">
        <v>1.9800000000000002E-2</v>
      </c>
      <c r="AO18" s="55">
        <v>1.9800000000000002E-2</v>
      </c>
      <c r="AP18" s="55">
        <v>1.9800000000000002E-2</v>
      </c>
      <c r="AQ18" s="55">
        <v>1.9800000000000002E-2</v>
      </c>
      <c r="AR18" s="55">
        <v>1.9800000000000002E-2</v>
      </c>
      <c r="AS18" s="55">
        <v>1.9800000000000002E-2</v>
      </c>
      <c r="AT18" s="55">
        <v>1.9800000000000002E-2</v>
      </c>
      <c r="AU18" s="55">
        <v>1.9800000000000002E-2</v>
      </c>
      <c r="AV18" s="55">
        <v>1.9800000000000002E-2</v>
      </c>
      <c r="AW18" s="55">
        <v>1.9800000000000002E-2</v>
      </c>
      <c r="AX18" s="55">
        <v>1.9800000000000002E-2</v>
      </c>
      <c r="AY18" s="55">
        <v>1.9800000000000002E-2</v>
      </c>
      <c r="AZ18" s="55">
        <v>1.9800000000000002E-2</v>
      </c>
      <c r="BA18" s="55">
        <v>1.9800000000000002E-2</v>
      </c>
      <c r="BB18" s="55">
        <v>1.9800000000000002E-2</v>
      </c>
      <c r="BC18" s="55">
        <v>1.9800000000000002E-2</v>
      </c>
      <c r="BD18" s="55">
        <v>1.9800000000000002E-2</v>
      </c>
      <c r="BE18" s="55">
        <v>1.9800000000000002E-2</v>
      </c>
      <c r="BF18" s="55">
        <v>1.9800000000000002E-2</v>
      </c>
      <c r="BG18" s="55">
        <v>1.9800000000000002E-2</v>
      </c>
      <c r="BI18" s="104"/>
      <c r="BJ18" s="5" t="s">
        <v>227</v>
      </c>
      <c r="BK18" s="55">
        <v>1.9800000000000002E-2</v>
      </c>
      <c r="BL18" s="55">
        <v>1.9800000000000002E-2</v>
      </c>
      <c r="BM18" s="55">
        <v>1.9800000000000002E-2</v>
      </c>
      <c r="BO18" s="55">
        <v>1.9800000000000002E-2</v>
      </c>
      <c r="BP18" s="55">
        <v>1.9800000000000002E-2</v>
      </c>
      <c r="BQ18" s="55">
        <v>1.9800000000000002E-2</v>
      </c>
      <c r="BR18" s="55">
        <v>1.9800000000000002E-2</v>
      </c>
      <c r="BS18" s="55">
        <v>1.9800000000000002E-2</v>
      </c>
      <c r="BT18" s="55">
        <v>1.9800000000000002E-2</v>
      </c>
      <c r="BU18" s="55">
        <v>1.9800000000000002E-2</v>
      </c>
      <c r="BV18" s="55">
        <v>1.9800000000000002E-2</v>
      </c>
    </row>
    <row r="19" spans="8:74" x14ac:dyDescent="0.2">
      <c r="H19" s="104"/>
      <c r="I19" s="5" t="s">
        <v>226</v>
      </c>
      <c r="J19" s="68">
        <v>2.5000000000000001E-2</v>
      </c>
      <c r="K19" s="68">
        <v>2.5000000000000001E-2</v>
      </c>
      <c r="L19" s="68">
        <v>2.5000000000000001E-2</v>
      </c>
      <c r="M19" s="68">
        <v>2.5000000000000001E-2</v>
      </c>
      <c r="N19" s="68">
        <v>2.5000000000000001E-2</v>
      </c>
      <c r="O19" s="68">
        <v>2.5000000000000001E-2</v>
      </c>
      <c r="P19" s="68">
        <v>2.5000000000000001E-2</v>
      </c>
      <c r="Q19" s="68">
        <v>2.5000000000000001E-2</v>
      </c>
      <c r="R19" s="68">
        <v>2.5000000000000001E-2</v>
      </c>
      <c r="S19" s="68">
        <v>2.5000000000000001E-2</v>
      </c>
      <c r="T19" s="68">
        <v>2.5000000000000001E-2</v>
      </c>
      <c r="U19" s="68">
        <v>2.5000000000000001E-2</v>
      </c>
      <c r="V19" s="68">
        <v>2.5000000000000001E-2</v>
      </c>
      <c r="W19" s="68">
        <v>2.5000000000000001E-2</v>
      </c>
      <c r="X19" s="68">
        <v>2.5000000000000001E-2</v>
      </c>
      <c r="Y19" s="68">
        <v>2.5000000000000001E-2</v>
      </c>
      <c r="Z19" s="68">
        <v>2.5000000000000001E-2</v>
      </c>
      <c r="AA19" s="68">
        <v>2.5000000000000001E-2</v>
      </c>
      <c r="AB19" s="68">
        <v>2.5000000000000001E-2</v>
      </c>
      <c r="AC19" s="68">
        <v>2.5000000000000001E-2</v>
      </c>
      <c r="AD19" s="68">
        <v>2.5000000000000001E-2</v>
      </c>
      <c r="AE19" s="68">
        <v>2.5000000000000001E-2</v>
      </c>
      <c r="AF19" s="68">
        <v>2.5000000000000001E-2</v>
      </c>
      <c r="AG19" s="68">
        <v>2.5000000000000001E-2</v>
      </c>
      <c r="AH19" s="68">
        <v>2.5000000000000001E-2</v>
      </c>
      <c r="AI19" s="68">
        <v>2.5000000000000001E-2</v>
      </c>
      <c r="AJ19" s="68">
        <v>2.5000000000000001E-2</v>
      </c>
      <c r="AK19" s="68">
        <v>2.5000000000000001E-2</v>
      </c>
      <c r="AL19" s="68">
        <v>2.5000000000000001E-2</v>
      </c>
      <c r="AM19" s="68">
        <v>2.5000000000000001E-2</v>
      </c>
      <c r="AN19" s="68">
        <v>2.5000000000000001E-2</v>
      </c>
      <c r="AO19" s="68">
        <v>2.5000000000000001E-2</v>
      </c>
      <c r="AP19" s="68">
        <v>2.5000000000000001E-2</v>
      </c>
      <c r="AQ19" s="68">
        <v>2.5000000000000001E-2</v>
      </c>
      <c r="AR19" s="68">
        <v>2.5000000000000001E-2</v>
      </c>
      <c r="AS19" s="68">
        <v>2.5000000000000001E-2</v>
      </c>
      <c r="AT19" s="68">
        <v>2.5000000000000001E-2</v>
      </c>
      <c r="AU19" s="68">
        <v>2.5000000000000001E-2</v>
      </c>
      <c r="AV19" s="68">
        <v>2.5000000000000001E-2</v>
      </c>
      <c r="AW19" s="68">
        <v>2.5000000000000001E-2</v>
      </c>
      <c r="AX19" s="68">
        <v>2.5000000000000001E-2</v>
      </c>
      <c r="AY19" s="68">
        <v>2.5000000000000001E-2</v>
      </c>
      <c r="AZ19" s="68">
        <v>2.5000000000000001E-2</v>
      </c>
      <c r="BA19" s="68">
        <v>2.5000000000000001E-2</v>
      </c>
      <c r="BB19" s="68">
        <v>2.5000000000000001E-2</v>
      </c>
      <c r="BC19" s="68">
        <v>2.5000000000000001E-2</v>
      </c>
      <c r="BD19" s="68">
        <v>2.5000000000000001E-2</v>
      </c>
      <c r="BE19" s="68">
        <v>2.5000000000000001E-2</v>
      </c>
      <c r="BF19" s="68">
        <v>2.5000000000000001E-2</v>
      </c>
      <c r="BG19" s="68">
        <v>2.5000000000000001E-2</v>
      </c>
      <c r="BI19" s="104"/>
      <c r="BJ19" s="5" t="s">
        <v>226</v>
      </c>
      <c r="BK19" s="68">
        <v>2.5000000000000001E-2</v>
      </c>
      <c r="BL19" s="68">
        <v>2.5000000000000001E-2</v>
      </c>
      <c r="BM19" s="68">
        <v>2.5000000000000001E-2</v>
      </c>
      <c r="BO19" s="68">
        <v>2.5000000000000001E-2</v>
      </c>
      <c r="BP19" s="68">
        <v>2.5000000000000001E-2</v>
      </c>
      <c r="BQ19" s="68">
        <v>2.5000000000000001E-2</v>
      </c>
      <c r="BR19" s="68">
        <v>2.5000000000000001E-2</v>
      </c>
      <c r="BS19" s="68">
        <v>2.5000000000000001E-2</v>
      </c>
      <c r="BT19" s="68">
        <v>2.5000000000000001E-2</v>
      </c>
      <c r="BU19" s="68">
        <v>2.5000000000000001E-2</v>
      </c>
      <c r="BV19" s="68">
        <v>2.5000000000000001E-2</v>
      </c>
    </row>
    <row r="20" spans="8:74" x14ac:dyDescent="0.2">
      <c r="H20" s="104"/>
      <c r="I20" s="5" t="s">
        <v>264</v>
      </c>
      <c r="J20" s="68">
        <f t="shared" ref="J20:BG20" si="10">((J17/J11))/(3.14159265*(J18/2)^2)/J23</f>
        <v>0.45216912085207178</v>
      </c>
      <c r="K20" s="68">
        <f t="shared" si="10"/>
        <v>0.71961370023097981</v>
      </c>
      <c r="L20" s="68">
        <f t="shared" si="10"/>
        <v>0.43527190555180972</v>
      </c>
      <c r="M20" s="68">
        <f>((M17/M11))/(3.14159265*(M18/2)^2)/M23</f>
        <v>0.60763518971796038</v>
      </c>
      <c r="N20" s="68">
        <f t="shared" si="10"/>
        <v>0.66674684457875999</v>
      </c>
      <c r="O20" s="68">
        <f t="shared" si="10"/>
        <v>0.19826491614614633</v>
      </c>
      <c r="P20" s="68">
        <f t="shared" si="10"/>
        <v>0.58973096643946665</v>
      </c>
      <c r="Q20" s="68">
        <f t="shared" si="10"/>
        <v>0.4961315197399509</v>
      </c>
      <c r="R20" s="68">
        <f t="shared" si="10"/>
        <v>0.53742930653495247</v>
      </c>
      <c r="S20" s="68">
        <f t="shared" si="10"/>
        <v>0.45739501361896062</v>
      </c>
      <c r="T20" s="68">
        <f t="shared" si="10"/>
        <v>0.51539876322499756</v>
      </c>
      <c r="U20" s="68">
        <f t="shared" si="10"/>
        <v>0.37922341719362451</v>
      </c>
      <c r="V20" s="68">
        <f t="shared" si="10"/>
        <v>0.21629906945227617</v>
      </c>
      <c r="W20" s="68">
        <f t="shared" si="10"/>
        <v>0.22672801847031054</v>
      </c>
      <c r="X20" s="68">
        <f t="shared" si="10"/>
        <v>0.74747162246161625</v>
      </c>
      <c r="Y20" s="68">
        <f t="shared" si="10"/>
        <v>0.17181116580412226</v>
      </c>
      <c r="Z20" s="68">
        <f t="shared" si="10"/>
        <v>0.21574829421035738</v>
      </c>
      <c r="AA20" s="68">
        <f t="shared" si="10"/>
        <v>0.16413774242495108</v>
      </c>
      <c r="AB20" s="68">
        <f t="shared" si="10"/>
        <v>0.15895204884234521</v>
      </c>
      <c r="AC20" s="68">
        <f t="shared" si="10"/>
        <v>0.53226301260409981</v>
      </c>
      <c r="AD20" s="68">
        <f t="shared" si="10"/>
        <v>0.61840362669838711</v>
      </c>
      <c r="AE20" s="68">
        <f t="shared" si="10"/>
        <v>0.47233005433283054</v>
      </c>
      <c r="AF20" s="68">
        <f t="shared" si="10"/>
        <v>0.57763235291376691</v>
      </c>
      <c r="AG20" s="68">
        <f t="shared" si="10"/>
        <v>0.64503792703238361</v>
      </c>
      <c r="AH20" s="68">
        <f t="shared" si="10"/>
        <v>0.42892241091446115</v>
      </c>
      <c r="AI20" s="68">
        <f t="shared" si="10"/>
        <v>0.37252130089657076</v>
      </c>
      <c r="AJ20" s="68">
        <f t="shared" si="10"/>
        <v>0.40913342431643779</v>
      </c>
      <c r="AK20" s="68">
        <f t="shared" si="10"/>
        <v>0.61632319628155963</v>
      </c>
      <c r="AL20" s="68">
        <f t="shared" si="10"/>
        <v>0.7403301861468724</v>
      </c>
      <c r="AM20" s="68">
        <f t="shared" si="10"/>
        <v>0.48304269474037925</v>
      </c>
      <c r="AN20" s="68">
        <f t="shared" si="10"/>
        <v>0.38681705571735936</v>
      </c>
      <c r="AO20" s="68">
        <f t="shared" si="10"/>
        <v>0.3430061561998809</v>
      </c>
      <c r="AP20" s="68">
        <f t="shared" si="10"/>
        <v>0.60687681005073579</v>
      </c>
      <c r="AQ20" s="68">
        <f t="shared" si="10"/>
        <v>0.17963127751711716</v>
      </c>
      <c r="AR20" s="68">
        <f t="shared" si="10"/>
        <v>0.17427049064267033</v>
      </c>
      <c r="AS20" s="68">
        <f t="shared" si="10"/>
        <v>0.27883865588195966</v>
      </c>
      <c r="AT20" s="68">
        <f t="shared" si="10"/>
        <v>0.48923745318634337</v>
      </c>
      <c r="AU20" s="68">
        <f t="shared" si="10"/>
        <v>0.16810081886013864</v>
      </c>
      <c r="AV20" s="68">
        <f t="shared" si="10"/>
        <v>0.1615225312205652</v>
      </c>
      <c r="AW20" s="68">
        <f t="shared" si="10"/>
        <v>0.14424802191849964</v>
      </c>
      <c r="AX20" s="68">
        <f t="shared" si="10"/>
        <v>0.17985231682497252</v>
      </c>
      <c r="AY20" s="68">
        <f t="shared" si="10"/>
        <v>0.16233963135244445</v>
      </c>
      <c r="AZ20" s="68">
        <f t="shared" si="10"/>
        <v>0.60699708405637454</v>
      </c>
      <c r="BA20" s="68">
        <f t="shared" si="10"/>
        <v>0.330203813750167</v>
      </c>
      <c r="BB20" s="68">
        <f t="shared" si="10"/>
        <v>0.48923745318634337</v>
      </c>
      <c r="BC20" s="68">
        <f t="shared" si="10"/>
        <v>0.23405285688510663</v>
      </c>
      <c r="BD20" s="68">
        <f t="shared" si="10"/>
        <v>0.28675521078081656</v>
      </c>
      <c r="BE20" s="68">
        <f t="shared" si="10"/>
        <v>0.17867968558242991</v>
      </c>
      <c r="BF20" s="68">
        <f t="shared" si="10"/>
        <v>0.6476433796284895</v>
      </c>
      <c r="BG20" s="68">
        <f t="shared" si="10"/>
        <v>0.43088568141822658</v>
      </c>
      <c r="BI20" s="104"/>
      <c r="BJ20" s="5" t="s">
        <v>264</v>
      </c>
      <c r="BK20" s="68">
        <f>((BK17/BK11))/(3.14159265*(BK18/2)^2)/BK23</f>
        <v>0.15118295334620924</v>
      </c>
      <c r="BL20" s="68">
        <f>((BL17/BL11))/(3.14159265*(BL18/2)^2)/BL23</f>
        <v>0.60994644013283839</v>
      </c>
      <c r="BM20" s="68">
        <f>((BM17/BM11))/(3.14159265*(BM18/2)^2)/BM23</f>
        <v>1.1860446088475347</v>
      </c>
      <c r="BO20" s="68">
        <f t="shared" ref="BO20:BV20" si="11">((BO17/BO11))/(3.14159265*(BO18/2)^2)/BO23</f>
        <v>0.15018112455997298</v>
      </c>
      <c r="BP20" s="68">
        <f t="shared" si="11"/>
        <v>0.15097684161703923</v>
      </c>
      <c r="BQ20" s="68">
        <f t="shared" si="11"/>
        <v>0.14963263955269643</v>
      </c>
      <c r="BR20" s="68">
        <f t="shared" si="11"/>
        <v>0.14914681929440843</v>
      </c>
      <c r="BS20" s="68">
        <f t="shared" si="11"/>
        <v>0.15025058853988046</v>
      </c>
      <c r="BT20" s="68">
        <f t="shared" si="11"/>
        <v>0.24965880621020545</v>
      </c>
      <c r="BU20" s="68">
        <f t="shared" si="11"/>
        <v>0.2597835468737128</v>
      </c>
      <c r="BV20" s="68">
        <f t="shared" si="11"/>
        <v>0.26187170045280173</v>
      </c>
    </row>
    <row r="21" spans="8:74" x14ac:dyDescent="0.2">
      <c r="H21" s="104"/>
      <c r="I21" s="5" t="s">
        <v>229</v>
      </c>
      <c r="J21" s="55">
        <v>1</v>
      </c>
      <c r="K21" s="55">
        <v>1</v>
      </c>
      <c r="L21" s="55">
        <v>1</v>
      </c>
      <c r="M21" s="55">
        <v>1</v>
      </c>
      <c r="N21" s="55">
        <v>1</v>
      </c>
      <c r="O21" s="55">
        <v>1</v>
      </c>
      <c r="P21" s="55">
        <v>1</v>
      </c>
      <c r="Q21" s="55">
        <v>1</v>
      </c>
      <c r="R21" s="55">
        <v>1</v>
      </c>
      <c r="S21" s="55">
        <v>1</v>
      </c>
      <c r="T21" s="55">
        <v>1</v>
      </c>
      <c r="U21" s="55">
        <v>1</v>
      </c>
      <c r="V21" s="55">
        <v>1</v>
      </c>
      <c r="W21" s="55">
        <v>1</v>
      </c>
      <c r="X21" s="55">
        <v>1</v>
      </c>
      <c r="Y21" s="55">
        <v>1</v>
      </c>
      <c r="Z21" s="55">
        <v>1</v>
      </c>
      <c r="AA21" s="55">
        <v>1</v>
      </c>
      <c r="AB21" s="55">
        <v>1</v>
      </c>
      <c r="AC21" s="55">
        <v>1</v>
      </c>
      <c r="AD21" s="55">
        <v>1</v>
      </c>
      <c r="AE21" s="55">
        <v>1</v>
      </c>
      <c r="AF21" s="55">
        <v>1</v>
      </c>
      <c r="AG21" s="55">
        <v>1</v>
      </c>
      <c r="AH21" s="55">
        <v>1</v>
      </c>
      <c r="AI21" s="55">
        <v>1</v>
      </c>
      <c r="AJ21" s="55">
        <v>1</v>
      </c>
      <c r="AK21" s="55">
        <v>1</v>
      </c>
      <c r="AL21" s="55">
        <v>1</v>
      </c>
      <c r="AM21" s="55">
        <v>1</v>
      </c>
      <c r="AN21" s="55">
        <v>1</v>
      </c>
      <c r="AO21" s="55">
        <v>1</v>
      </c>
      <c r="AP21" s="55">
        <v>1</v>
      </c>
      <c r="AQ21" s="55">
        <v>1</v>
      </c>
      <c r="AR21" s="55">
        <v>1</v>
      </c>
      <c r="AS21" s="55">
        <v>1</v>
      </c>
      <c r="AT21" s="55">
        <v>1</v>
      </c>
      <c r="AU21" s="55">
        <v>1</v>
      </c>
      <c r="AV21" s="55">
        <v>1</v>
      </c>
      <c r="AW21" s="55">
        <v>1</v>
      </c>
      <c r="AX21" s="55">
        <v>1</v>
      </c>
      <c r="AY21" s="55">
        <v>1</v>
      </c>
      <c r="AZ21" s="55">
        <v>1</v>
      </c>
      <c r="BA21" s="55">
        <v>1</v>
      </c>
      <c r="BB21" s="55">
        <v>1</v>
      </c>
      <c r="BC21" s="55">
        <v>1</v>
      </c>
      <c r="BD21" s="55">
        <v>1</v>
      </c>
      <c r="BE21" s="55">
        <v>1</v>
      </c>
      <c r="BF21" s="55">
        <v>1</v>
      </c>
      <c r="BG21" s="55">
        <v>1</v>
      </c>
      <c r="BI21" s="104"/>
      <c r="BJ21" s="5" t="s">
        <v>229</v>
      </c>
      <c r="BK21" s="55">
        <v>1</v>
      </c>
      <c r="BL21" s="55">
        <v>1</v>
      </c>
      <c r="BM21" s="55">
        <v>1</v>
      </c>
      <c r="BO21" s="55">
        <v>1</v>
      </c>
      <c r="BP21" s="55">
        <v>1</v>
      </c>
      <c r="BQ21" s="55">
        <v>1</v>
      </c>
      <c r="BR21" s="55">
        <v>1</v>
      </c>
      <c r="BS21" s="55">
        <v>1</v>
      </c>
      <c r="BT21" s="55">
        <v>1</v>
      </c>
      <c r="BU21" s="55">
        <v>1</v>
      </c>
      <c r="BV21" s="55">
        <v>1</v>
      </c>
    </row>
    <row r="22" spans="8:74" x14ac:dyDescent="0.2">
      <c r="H22" s="104"/>
      <c r="I22" s="5" t="s">
        <v>187</v>
      </c>
      <c r="J22" s="55">
        <v>4.5</v>
      </c>
      <c r="K22" s="55">
        <v>3.5</v>
      </c>
      <c r="L22" s="55">
        <v>5.5</v>
      </c>
      <c r="M22" s="55">
        <v>5</v>
      </c>
      <c r="N22" s="55">
        <v>2.75</v>
      </c>
      <c r="O22" s="55">
        <v>10</v>
      </c>
      <c r="P22" s="55">
        <v>3.75</v>
      </c>
      <c r="Q22" s="55">
        <v>5</v>
      </c>
      <c r="R22" s="55">
        <v>5</v>
      </c>
      <c r="S22" s="55">
        <v>5</v>
      </c>
      <c r="T22" s="55">
        <v>5</v>
      </c>
      <c r="U22" s="55">
        <v>6</v>
      </c>
      <c r="V22" s="55">
        <v>10</v>
      </c>
      <c r="W22" s="55">
        <v>10</v>
      </c>
      <c r="X22" s="55">
        <v>2.5</v>
      </c>
      <c r="Y22" s="55">
        <v>12</v>
      </c>
      <c r="Z22" s="55">
        <v>10.5</v>
      </c>
      <c r="AA22" s="55">
        <v>13</v>
      </c>
      <c r="AB22" s="55">
        <v>11</v>
      </c>
      <c r="AC22" s="55">
        <v>3.5</v>
      </c>
      <c r="AD22" s="55">
        <v>4</v>
      </c>
      <c r="AE22" s="55">
        <v>6</v>
      </c>
      <c r="AF22" s="55">
        <v>5</v>
      </c>
      <c r="AG22" s="55">
        <v>3.5</v>
      </c>
      <c r="AH22" s="55">
        <v>5.6</v>
      </c>
      <c r="AI22" s="55">
        <v>4.5</v>
      </c>
      <c r="AJ22" s="55">
        <v>5</v>
      </c>
      <c r="AK22" s="55">
        <v>3.25</v>
      </c>
      <c r="AL22" s="55">
        <v>3.25</v>
      </c>
      <c r="AM22" s="55">
        <v>6</v>
      </c>
      <c r="AN22" s="55">
        <v>5</v>
      </c>
      <c r="AO22" s="55">
        <v>6</v>
      </c>
      <c r="AP22" s="55">
        <v>4</v>
      </c>
      <c r="AQ22" s="55">
        <v>12.5</v>
      </c>
      <c r="AR22" s="55">
        <v>12</v>
      </c>
      <c r="AS22" s="55">
        <v>8.5</v>
      </c>
      <c r="AT22" s="55">
        <v>4</v>
      </c>
      <c r="AU22" s="55">
        <v>12.5</v>
      </c>
      <c r="AV22" s="55">
        <v>14</v>
      </c>
      <c r="AW22" s="55">
        <v>14</v>
      </c>
      <c r="AX22" s="55">
        <v>12.5</v>
      </c>
      <c r="AY22" s="55">
        <v>15</v>
      </c>
      <c r="AZ22" s="55">
        <v>3.75</v>
      </c>
      <c r="BA22" s="55">
        <v>6</v>
      </c>
      <c r="BB22" s="55">
        <v>4</v>
      </c>
      <c r="BC22" s="55">
        <v>9.5</v>
      </c>
      <c r="BD22" s="55">
        <v>8.5</v>
      </c>
      <c r="BE22" s="55">
        <v>12.5</v>
      </c>
      <c r="BF22" s="55">
        <v>3.25</v>
      </c>
      <c r="BG22" s="55">
        <v>5.75</v>
      </c>
      <c r="BI22" s="104"/>
      <c r="BJ22" s="5" t="s">
        <v>187</v>
      </c>
      <c r="BK22" s="55">
        <v>3.5</v>
      </c>
      <c r="BL22" s="55">
        <v>5</v>
      </c>
      <c r="BM22" s="55">
        <v>6.15</v>
      </c>
      <c r="BO22" s="55">
        <v>3.5</v>
      </c>
      <c r="BP22" s="55">
        <v>3.5</v>
      </c>
      <c r="BQ22" s="55">
        <v>3.5</v>
      </c>
      <c r="BR22" s="55">
        <v>3.5</v>
      </c>
      <c r="BS22" s="55">
        <v>3.5</v>
      </c>
      <c r="BT22" s="55">
        <v>4</v>
      </c>
      <c r="BU22" s="55">
        <v>4</v>
      </c>
      <c r="BV22" s="55">
        <v>4</v>
      </c>
    </row>
    <row r="23" spans="8:74" x14ac:dyDescent="0.2">
      <c r="H23" s="104"/>
      <c r="I23" s="5" t="s">
        <v>230</v>
      </c>
      <c r="J23" s="55">
        <v>1087</v>
      </c>
      <c r="K23" s="55">
        <v>703</v>
      </c>
      <c r="L23" s="55">
        <v>1100</v>
      </c>
      <c r="M23" s="56">
        <v>810</v>
      </c>
      <c r="N23" s="55">
        <v>755</v>
      </c>
      <c r="O23" s="55">
        <v>2266</v>
      </c>
      <c r="P23" s="55">
        <v>829</v>
      </c>
      <c r="Q23" s="55">
        <v>963</v>
      </c>
      <c r="R23" s="55">
        <v>889</v>
      </c>
      <c r="S23" s="55">
        <v>1045</v>
      </c>
      <c r="T23" s="55">
        <v>927</v>
      </c>
      <c r="U23" s="55">
        <v>1236</v>
      </c>
      <c r="V23" s="55">
        <v>2076</v>
      </c>
      <c r="W23" s="55">
        <v>1980</v>
      </c>
      <c r="X23" s="55">
        <v>673</v>
      </c>
      <c r="Y23" s="55">
        <v>2551</v>
      </c>
      <c r="Z23" s="55">
        <v>2053</v>
      </c>
      <c r="AA23" s="55">
        <v>2641</v>
      </c>
      <c r="AB23" s="55">
        <v>2755</v>
      </c>
      <c r="AC23" s="55">
        <v>895</v>
      </c>
      <c r="AD23" s="55">
        <v>755</v>
      </c>
      <c r="AE23" s="55">
        <v>992</v>
      </c>
      <c r="AF23" s="55">
        <v>810</v>
      </c>
      <c r="AG23" s="55">
        <v>786</v>
      </c>
      <c r="AH23" s="55">
        <v>1092</v>
      </c>
      <c r="AI23" s="55">
        <v>1282</v>
      </c>
      <c r="AJ23" s="55">
        <v>1144</v>
      </c>
      <c r="AK23" s="55">
        <v>792</v>
      </c>
      <c r="AL23" s="55">
        <v>659</v>
      </c>
      <c r="AM23" s="55">
        <v>970</v>
      </c>
      <c r="AN23" s="55">
        <v>1210</v>
      </c>
      <c r="AO23" s="55">
        <v>1367</v>
      </c>
      <c r="AP23" s="55">
        <v>806</v>
      </c>
      <c r="AQ23" s="55">
        <v>2441</v>
      </c>
      <c r="AR23" s="55">
        <v>2515</v>
      </c>
      <c r="AS23" s="55">
        <v>1630</v>
      </c>
      <c r="AT23" s="55">
        <v>955</v>
      </c>
      <c r="AU23" s="55">
        <v>2609</v>
      </c>
      <c r="AV23" s="55">
        <v>2687</v>
      </c>
      <c r="AW23" s="55">
        <v>3010</v>
      </c>
      <c r="AX23" s="55">
        <v>2438</v>
      </c>
      <c r="AY23" s="55">
        <v>2645</v>
      </c>
      <c r="AZ23" s="55">
        <v>805</v>
      </c>
      <c r="BA23" s="55">
        <v>1420</v>
      </c>
      <c r="BB23" s="55">
        <v>955</v>
      </c>
      <c r="BC23" s="55">
        <v>1869</v>
      </c>
      <c r="BD23" s="55">
        <v>1585</v>
      </c>
      <c r="BE23" s="55">
        <v>2454</v>
      </c>
      <c r="BF23" s="55">
        <v>780</v>
      </c>
      <c r="BG23" s="55">
        <v>1068</v>
      </c>
      <c r="BI23" s="104"/>
      <c r="BJ23" s="5" t="s">
        <v>230</v>
      </c>
      <c r="BK23" s="56">
        <v>586</v>
      </c>
      <c r="BL23" s="56">
        <v>815</v>
      </c>
      <c r="BM23" s="56">
        <v>1025</v>
      </c>
      <c r="BO23" s="56">
        <v>721</v>
      </c>
      <c r="BP23" s="56">
        <v>815</v>
      </c>
      <c r="BQ23" s="56">
        <v>921</v>
      </c>
      <c r="BR23" s="56">
        <v>990</v>
      </c>
      <c r="BS23" s="56">
        <v>1081</v>
      </c>
      <c r="BT23" s="56">
        <v>690</v>
      </c>
      <c r="BU23" s="56">
        <v>701</v>
      </c>
      <c r="BV23" s="56">
        <v>733</v>
      </c>
    </row>
    <row r="24" spans="8:74" x14ac:dyDescent="0.2">
      <c r="H24" s="6"/>
      <c r="I24" s="5" t="s">
        <v>274</v>
      </c>
      <c r="J24" s="65">
        <f t="shared" ref="J24:BG24" si="12">J22/J36</f>
        <v>6.6589047521619156</v>
      </c>
      <c r="K24" s="65">
        <f t="shared" si="12"/>
        <v>8.0081565132290216</v>
      </c>
      <c r="L24" s="65">
        <f t="shared" si="12"/>
        <v>8.0424771839999991</v>
      </c>
      <c r="M24" s="65">
        <f>M22/M36</f>
        <v>9.9289841777777816</v>
      </c>
      <c r="N24" s="65">
        <f t="shared" si="12"/>
        <v>5.858758213509935</v>
      </c>
      <c r="O24" s="65">
        <f t="shared" si="12"/>
        <v>7.0983911597528682</v>
      </c>
      <c r="P24" s="65">
        <f t="shared" si="12"/>
        <v>7.2760650036188173</v>
      </c>
      <c r="Q24" s="65">
        <f t="shared" si="12"/>
        <v>8.3514820186915895</v>
      </c>
      <c r="R24" s="65">
        <f t="shared" si="12"/>
        <v>9.0466560000000005</v>
      </c>
      <c r="S24" s="65">
        <f t="shared" si="12"/>
        <v>7.6961504153110054</v>
      </c>
      <c r="T24" s="65">
        <f t="shared" si="12"/>
        <v>8.6758114174757281</v>
      </c>
      <c r="U24" s="65">
        <f t="shared" si="12"/>
        <v>7.8082302757281576</v>
      </c>
      <c r="V24" s="65">
        <f t="shared" si="12"/>
        <v>7.7480512369942218</v>
      </c>
      <c r="W24" s="65">
        <f t="shared" si="12"/>
        <v>8.1237143272727259</v>
      </c>
      <c r="X24" s="65">
        <f t="shared" si="12"/>
        <v>5.9750944903417542</v>
      </c>
      <c r="Y24" s="75">
        <f t="shared" si="12"/>
        <v>7.5664230660917315</v>
      </c>
      <c r="Z24" s="75">
        <f t="shared" si="12"/>
        <v>8.2265962427666821</v>
      </c>
      <c r="AA24" s="75">
        <f t="shared" si="12"/>
        <v>7.9176223697084458</v>
      </c>
      <c r="AB24" s="75">
        <f t="shared" si="12"/>
        <v>6.4223048293284943</v>
      </c>
      <c r="AC24" s="75">
        <f t="shared" si="12"/>
        <v>6.2902056187709494</v>
      </c>
      <c r="AD24" s="75">
        <f t="shared" si="12"/>
        <v>8.5218301287417226</v>
      </c>
      <c r="AE24" s="75">
        <f t="shared" si="12"/>
        <v>9.7288030451612943</v>
      </c>
      <c r="AF24" s="75">
        <f t="shared" si="12"/>
        <v>9.9289841777777781</v>
      </c>
      <c r="AG24" s="75">
        <f t="shared" si="12"/>
        <v>7.1625114870229014</v>
      </c>
      <c r="AH24" s="75">
        <f t="shared" si="12"/>
        <v>8.2486945476923079</v>
      </c>
      <c r="AI24" s="75">
        <f t="shared" si="12"/>
        <v>5.6460448249610007</v>
      </c>
      <c r="AJ24" s="75">
        <f t="shared" si="12"/>
        <v>7.0301373986013989</v>
      </c>
      <c r="AK24" s="75">
        <f t="shared" si="12"/>
        <v>6.6005178909090914</v>
      </c>
      <c r="AL24" s="75">
        <f t="shared" si="12"/>
        <v>7.9326406215478</v>
      </c>
      <c r="AM24" s="75">
        <f t="shared" si="12"/>
        <v>9.9494563101030966</v>
      </c>
      <c r="AN24" s="75">
        <f t="shared" si="12"/>
        <v>6.6466753586776859</v>
      </c>
      <c r="AO24" s="75">
        <f t="shared" si="12"/>
        <v>7.0599653407461611</v>
      </c>
      <c r="AP24" s="75">
        <f t="shared" si="12"/>
        <v>7.982607626799008</v>
      </c>
      <c r="AQ24" s="75">
        <f t="shared" si="12"/>
        <v>8.2368672511265881</v>
      </c>
      <c r="AR24" s="75">
        <f t="shared" si="12"/>
        <v>7.6747297183300223</v>
      </c>
      <c r="AS24" s="75">
        <f t="shared" si="12"/>
        <v>8.3878596397546019</v>
      </c>
      <c r="AT24" s="75">
        <f t="shared" si="12"/>
        <v>6.7371536619895309</v>
      </c>
      <c r="AU24" s="75">
        <f t="shared" si="12"/>
        <v>7.7064748792640865</v>
      </c>
      <c r="AV24" s="75">
        <f t="shared" si="12"/>
        <v>8.3806982192780062</v>
      </c>
      <c r="AW24" s="75">
        <f t="shared" si="12"/>
        <v>7.4813741246511647</v>
      </c>
      <c r="AX24" s="75">
        <f t="shared" si="12"/>
        <v>8.2470028547990193</v>
      </c>
      <c r="AY24" s="75">
        <f t="shared" si="12"/>
        <v>9.1219022880907357</v>
      </c>
      <c r="AZ24" s="75">
        <f t="shared" si="12"/>
        <v>7.4929911652173926</v>
      </c>
      <c r="BA24" s="75">
        <f t="shared" si="12"/>
        <v>6.7964595921126758</v>
      </c>
      <c r="BB24" s="75">
        <f t="shared" si="12"/>
        <v>6.7371536619895309</v>
      </c>
      <c r="BC24" s="75">
        <f t="shared" si="12"/>
        <v>8.1758730067415755</v>
      </c>
      <c r="BD24" s="75">
        <f t="shared" si="12"/>
        <v>8.6260007651735009</v>
      </c>
      <c r="BE24" s="75">
        <f t="shared" si="12"/>
        <v>8.1932326650366765</v>
      </c>
      <c r="BF24" s="75">
        <f t="shared" si="12"/>
        <v>6.7020643200000016</v>
      </c>
      <c r="BG24" s="75">
        <f t="shared" si="12"/>
        <v>8.6599707505617989</v>
      </c>
      <c r="BI24" s="6"/>
      <c r="BJ24" s="5" t="s">
        <v>274</v>
      </c>
      <c r="BK24" s="65">
        <f>BK22/BK36</f>
        <v>9.6070546566552917</v>
      </c>
      <c r="BL24" s="65">
        <f>BL22/BL36</f>
        <v>9.8680701644171762</v>
      </c>
      <c r="BM24" s="65">
        <f>BM22/BM36</f>
        <v>9.6509726207999993</v>
      </c>
      <c r="BO24" s="65">
        <f t="shared" ref="BO24:BV24" si="13">BO22/BO36</f>
        <v>7.8082302757281559</v>
      </c>
      <c r="BP24" s="65">
        <f t="shared" si="13"/>
        <v>6.9076491150920249</v>
      </c>
      <c r="BQ24" s="65">
        <f t="shared" si="13"/>
        <v>6.1126319530944642</v>
      </c>
      <c r="BR24" s="65">
        <f t="shared" si="13"/>
        <v>5.6866000290909096</v>
      </c>
      <c r="BS24" s="65">
        <f t="shared" si="13"/>
        <v>5.2078945687326561</v>
      </c>
      <c r="BT24" s="65">
        <f t="shared" si="13"/>
        <v>9.3246112278260878</v>
      </c>
      <c r="BU24" s="65">
        <f t="shared" si="13"/>
        <v>9.1782906522111247</v>
      </c>
      <c r="BV24" s="65">
        <f t="shared" si="13"/>
        <v>8.777601292223741</v>
      </c>
    </row>
    <row r="25" spans="8:74" x14ac:dyDescent="0.2">
      <c r="I25" s="5"/>
      <c r="BJ25" s="5"/>
    </row>
    <row r="26" spans="8:74" x14ac:dyDescent="0.2">
      <c r="H26" s="112" t="s">
        <v>262</v>
      </c>
      <c r="I26" s="5" t="s">
        <v>218</v>
      </c>
      <c r="J26" s="65">
        <f t="shared" ref="J26:BG26" si="14">AVERAGE(J6,J7)</f>
        <v>13.143660242363021</v>
      </c>
      <c r="K26" s="65">
        <f t="shared" si="14"/>
        <v>12.524643482611959</v>
      </c>
      <c r="L26" s="65">
        <f t="shared" si="14"/>
        <v>13.212034025519142</v>
      </c>
      <c r="M26" s="65">
        <f>AVERAGE(M6,M7)</f>
        <v>13.272220189091819</v>
      </c>
      <c r="N26" s="65">
        <f t="shared" si="14"/>
        <v>11.690565565565567</v>
      </c>
      <c r="O26" s="65">
        <f t="shared" si="14"/>
        <v>14.539904928696522</v>
      </c>
      <c r="P26" s="65">
        <f t="shared" si="14"/>
        <v>12.092217217217218</v>
      </c>
      <c r="Q26" s="65">
        <f t="shared" si="14"/>
        <v>12.674130597948462</v>
      </c>
      <c r="R26" s="65">
        <f t="shared" si="14"/>
        <v>12.596572429321991</v>
      </c>
      <c r="S26" s="65">
        <f t="shared" si="14"/>
        <v>12.757317988491369</v>
      </c>
      <c r="T26" s="65">
        <f t="shared" si="14"/>
        <v>12.639729797348011</v>
      </c>
      <c r="U26" s="65">
        <f t="shared" si="14"/>
        <v>13.093194896172129</v>
      </c>
      <c r="V26" s="65">
        <f t="shared" si="14"/>
        <v>14.441080810607954</v>
      </c>
      <c r="W26" s="65">
        <f t="shared" si="14"/>
        <v>14.389166875156366</v>
      </c>
      <c r="X26" s="65">
        <f t="shared" si="14"/>
        <v>11.287662662662663</v>
      </c>
      <c r="Y26" s="65">
        <f t="shared" si="14"/>
        <v>14.65248936702527</v>
      </c>
      <c r="Z26" s="65">
        <f t="shared" si="14"/>
        <v>14.225293970477859</v>
      </c>
      <c r="AA26" s="65">
        <f t="shared" si="14"/>
        <v>14.66249687265449</v>
      </c>
      <c r="AB26" s="65">
        <f t="shared" si="14"/>
        <v>14.336002001501127</v>
      </c>
      <c r="AC26" s="65">
        <f t="shared" si="14"/>
        <v>11.404654654654657</v>
      </c>
      <c r="AD26" s="65">
        <f t="shared" si="14"/>
        <v>11.271396396396398</v>
      </c>
      <c r="AE26" s="65">
        <f t="shared" si="14"/>
        <v>12.880535401551164</v>
      </c>
      <c r="AF26" s="65">
        <f t="shared" si="14"/>
        <v>12.033408408408409</v>
      </c>
      <c r="AG26" s="65">
        <f t="shared" si="14"/>
        <v>12.694771078308731</v>
      </c>
      <c r="AH26" s="65">
        <f t="shared" si="14"/>
        <v>12.70728046034526</v>
      </c>
      <c r="AI26" s="65">
        <f t="shared" si="14"/>
        <v>12.552164123092318</v>
      </c>
      <c r="AJ26" s="65">
        <f t="shared" si="14"/>
        <v>12.335751813860396</v>
      </c>
      <c r="AK26" s="65">
        <f t="shared" si="14"/>
        <v>11.569819819819818</v>
      </c>
      <c r="AL26" s="65">
        <f t="shared" si="14"/>
        <v>11.409034034034033</v>
      </c>
      <c r="AM26" s="65">
        <f t="shared" si="14"/>
        <v>12.858643982987241</v>
      </c>
      <c r="AN26" s="65">
        <f t="shared" si="14"/>
        <v>12.38516387290468</v>
      </c>
      <c r="AO26" s="65">
        <f t="shared" si="14"/>
        <v>13.199524643482615</v>
      </c>
      <c r="AP26" s="65">
        <f t="shared" si="14"/>
        <v>12.292594445834375</v>
      </c>
      <c r="AQ26" s="65">
        <f t="shared" si="14"/>
        <v>14.797148574287146</v>
      </c>
      <c r="AR26" s="65">
        <f t="shared" si="14"/>
        <v>14.639354515886914</v>
      </c>
      <c r="AS26" s="65">
        <f t="shared" si="14"/>
        <v>13.892544408306231</v>
      </c>
      <c r="AT26" s="65">
        <f t="shared" si="14"/>
        <v>11.460335335335335</v>
      </c>
      <c r="AU26" s="65">
        <f t="shared" si="14"/>
        <v>14.865932966483243</v>
      </c>
      <c r="AV26" s="65">
        <f t="shared" si="14"/>
        <v>15.024762381190593</v>
      </c>
      <c r="AW26" s="65">
        <f t="shared" si="14"/>
        <v>15.144822411205602</v>
      </c>
      <c r="AX26" s="65">
        <f t="shared" si="14"/>
        <v>14.795897948974488</v>
      </c>
      <c r="AY26" s="65">
        <f t="shared" si="14"/>
        <v>14.933466733366682</v>
      </c>
      <c r="AZ26" s="65">
        <f t="shared" si="14"/>
        <v>12.054679679679678</v>
      </c>
      <c r="BA26" s="65">
        <f t="shared" si="14"/>
        <v>13.232674505879409</v>
      </c>
      <c r="BB26" s="65">
        <f t="shared" si="14"/>
        <v>11.458458458458459</v>
      </c>
      <c r="BC26" s="65">
        <f t="shared" si="14"/>
        <v>13.38091068301226</v>
      </c>
      <c r="BD26" s="65">
        <f t="shared" si="14"/>
        <v>13.863772829622217</v>
      </c>
      <c r="BE26" s="65">
        <f t="shared" si="14"/>
        <v>14.800900450225111</v>
      </c>
      <c r="BF26" s="65">
        <f t="shared" si="14"/>
        <v>12.335751813860394</v>
      </c>
      <c r="BG26" s="65">
        <f t="shared" si="14"/>
        <v>12.363897923442583</v>
      </c>
      <c r="BI26" s="112" t="s">
        <v>262</v>
      </c>
      <c r="BJ26" s="5" t="s">
        <v>218</v>
      </c>
      <c r="BK26" s="65">
        <f>AVERAGE(BK6,BK7)</f>
        <v>13.272220189091819</v>
      </c>
      <c r="BL26" s="65">
        <f>AVERAGE(BL6,BL7)</f>
        <v>13.272282736002001</v>
      </c>
      <c r="BM26" s="65">
        <f>AVERAGE(BM6,BM7)</f>
        <v>13.272345282912184</v>
      </c>
      <c r="BO26" s="65">
        <f t="shared" ref="BO26:BV26" si="15">AVERAGE(BO6,BO7)</f>
        <v>13.272220189091819</v>
      </c>
      <c r="BP26" s="65">
        <f t="shared" si="15"/>
        <v>13.272282736002001</v>
      </c>
      <c r="BQ26" s="65">
        <f t="shared" si="15"/>
        <v>13.272345282912184</v>
      </c>
      <c r="BR26" s="65">
        <f t="shared" si="15"/>
        <v>13.272407829822367</v>
      </c>
      <c r="BS26" s="65">
        <f t="shared" si="15"/>
        <v>13.272470376732549</v>
      </c>
      <c r="BT26" s="65">
        <f t="shared" si="15"/>
        <v>13.272532923642732</v>
      </c>
      <c r="BU26" s="65">
        <f t="shared" si="15"/>
        <v>13.272595470552915</v>
      </c>
      <c r="BV26" s="65">
        <f t="shared" si="15"/>
        <v>13.272658017463097</v>
      </c>
    </row>
    <row r="27" spans="8:74" x14ac:dyDescent="0.2">
      <c r="H27" s="104"/>
      <c r="I27" s="6" t="s">
        <v>219</v>
      </c>
      <c r="J27" s="55">
        <v>1026.4100000000001</v>
      </c>
      <c r="K27" s="55">
        <v>1026.53</v>
      </c>
      <c r="L27" s="55">
        <v>1026.3962899999999</v>
      </c>
      <c r="M27" s="55">
        <v>1026.38409</v>
      </c>
      <c r="N27" s="55">
        <v>1026.6939400000001</v>
      </c>
      <c r="O27" s="55">
        <v>1026.11779</v>
      </c>
      <c r="P27" s="55">
        <v>1026.61779</v>
      </c>
      <c r="Q27" s="55">
        <v>1026.50459</v>
      </c>
      <c r="R27" s="55">
        <v>1026.5184300000001</v>
      </c>
      <c r="S27" s="55">
        <v>1026.4867400000001</v>
      </c>
      <c r="T27" s="65">
        <v>1026.51053</v>
      </c>
      <c r="U27" s="55">
        <v>1026.4205999999999</v>
      </c>
      <c r="V27" s="55">
        <v>1026.1393</v>
      </c>
      <c r="W27" s="55">
        <v>1026.15002</v>
      </c>
      <c r="X27" s="55">
        <v>1026.7685300000001</v>
      </c>
      <c r="Y27" s="55">
        <v>1026.09401</v>
      </c>
      <c r="Z27" s="55">
        <v>1026.18418</v>
      </c>
      <c r="AA27" s="55">
        <v>1026.09185</v>
      </c>
      <c r="AB27" s="55">
        <v>1026.1607200000001</v>
      </c>
      <c r="AC27" s="55">
        <v>1026.7481700000001</v>
      </c>
      <c r="AD27" s="55">
        <v>1026.7722100000001</v>
      </c>
      <c r="AE27" s="55">
        <v>1026.46281</v>
      </c>
      <c r="AF27" s="55">
        <v>1026.62931</v>
      </c>
      <c r="AG27" s="65">
        <v>1026.50063</v>
      </c>
      <c r="AH27" s="55">
        <v>1026.49666</v>
      </c>
      <c r="AI27" s="65">
        <v>1026.52828</v>
      </c>
      <c r="AJ27" s="55">
        <v>1026.5693900000001</v>
      </c>
      <c r="AK27" s="55">
        <v>1026.71648</v>
      </c>
      <c r="AL27" s="55">
        <v>1026.7053000000001</v>
      </c>
      <c r="AM27" s="55">
        <v>1026.4260200000001</v>
      </c>
      <c r="AN27" s="65">
        <v>1026.5187800000001</v>
      </c>
      <c r="AO27" s="55">
        <v>1026.3575900000001</v>
      </c>
      <c r="AP27" s="65">
        <v>1026.5382500000001</v>
      </c>
      <c r="AQ27" s="55">
        <v>1026.0209199999999</v>
      </c>
      <c r="AR27" s="55">
        <v>1026.05566</v>
      </c>
      <c r="AS27" s="55">
        <v>1026.21534</v>
      </c>
      <c r="AT27" s="55">
        <v>1026.6960099999999</v>
      </c>
      <c r="AU27" s="55">
        <v>1026.0056400000001</v>
      </c>
      <c r="AV27" s="55">
        <v>1025.9727600000001</v>
      </c>
      <c r="AW27" s="55">
        <v>1025.94631</v>
      </c>
      <c r="AX27" s="55">
        <v>1026.0209199999999</v>
      </c>
      <c r="AY27" s="55">
        <v>1025.99252</v>
      </c>
      <c r="AZ27" s="55">
        <v>1026.58456</v>
      </c>
      <c r="BA27" s="55">
        <v>1026.3515</v>
      </c>
      <c r="BB27" s="55">
        <v>1026.6960099999999</v>
      </c>
      <c r="BC27" s="55">
        <v>1026.3209199999999</v>
      </c>
      <c r="BD27" s="55">
        <v>1026.22162</v>
      </c>
      <c r="BE27" s="65">
        <v>1026.0209199999999</v>
      </c>
      <c r="BF27" s="55">
        <v>1026.52853</v>
      </c>
      <c r="BG27" s="55">
        <v>1026.5246299999999</v>
      </c>
      <c r="BI27" s="104"/>
      <c r="BJ27" s="6" t="s">
        <v>219</v>
      </c>
      <c r="BK27" s="55">
        <v>1026.38409</v>
      </c>
      <c r="BL27" s="55">
        <v>1026.38409</v>
      </c>
      <c r="BM27" s="55">
        <v>1026.38409</v>
      </c>
      <c r="BO27" s="55">
        <v>1026.38409</v>
      </c>
      <c r="BP27" s="55">
        <v>1026.38409</v>
      </c>
      <c r="BQ27" s="55">
        <v>1026.38409</v>
      </c>
      <c r="BR27" s="55">
        <v>1026.38409</v>
      </c>
      <c r="BS27" s="55">
        <v>1026.38409</v>
      </c>
      <c r="BT27" s="55">
        <v>1026.38409</v>
      </c>
      <c r="BU27" s="55">
        <v>1026.38409</v>
      </c>
      <c r="BV27" s="55">
        <v>1026.38409</v>
      </c>
    </row>
    <row r="28" spans="8:74" x14ac:dyDescent="0.2">
      <c r="H28" s="104"/>
      <c r="I28" s="5" t="s">
        <v>217</v>
      </c>
      <c r="J28" s="55">
        <v>3997</v>
      </c>
      <c r="K28" s="55">
        <v>3997</v>
      </c>
      <c r="L28" s="55">
        <v>3997</v>
      </c>
      <c r="M28" s="55">
        <v>3997</v>
      </c>
      <c r="N28" s="55">
        <v>3996</v>
      </c>
      <c r="O28" s="55">
        <v>3997</v>
      </c>
      <c r="P28" s="55">
        <v>3996</v>
      </c>
      <c r="Q28" s="55">
        <v>3997</v>
      </c>
      <c r="R28" s="55">
        <v>3997</v>
      </c>
      <c r="S28" s="55">
        <v>3997</v>
      </c>
      <c r="T28" s="55">
        <v>3997</v>
      </c>
      <c r="U28" s="55">
        <v>3997</v>
      </c>
      <c r="V28" s="55">
        <v>3997</v>
      </c>
      <c r="W28" s="55">
        <v>3997</v>
      </c>
      <c r="X28" s="55">
        <v>3996</v>
      </c>
      <c r="Y28" s="55">
        <v>3997</v>
      </c>
      <c r="Z28" s="55">
        <v>3997</v>
      </c>
      <c r="AA28" s="55">
        <v>3997</v>
      </c>
      <c r="AB28" s="55">
        <v>3997</v>
      </c>
      <c r="AC28" s="55">
        <v>3996</v>
      </c>
      <c r="AD28" s="55">
        <v>3996</v>
      </c>
      <c r="AE28" s="55">
        <v>3997</v>
      </c>
      <c r="AF28" s="55">
        <v>3996</v>
      </c>
      <c r="AG28" s="55">
        <v>3997</v>
      </c>
      <c r="AH28" s="55">
        <v>3997</v>
      </c>
      <c r="AI28" s="55">
        <v>3997</v>
      </c>
      <c r="AJ28" s="55">
        <v>3997</v>
      </c>
      <c r="AK28" s="55">
        <v>3996</v>
      </c>
      <c r="AL28" s="55">
        <v>3996</v>
      </c>
      <c r="AM28" s="55">
        <v>3997</v>
      </c>
      <c r="AN28" s="55">
        <v>3997</v>
      </c>
      <c r="AO28" s="55">
        <v>3997</v>
      </c>
      <c r="AP28" s="55">
        <v>3997</v>
      </c>
      <c r="AQ28" s="55">
        <v>3998</v>
      </c>
      <c r="AR28" s="55">
        <v>3997</v>
      </c>
      <c r="AS28" s="55">
        <v>3997</v>
      </c>
      <c r="AT28" s="55">
        <v>3996</v>
      </c>
      <c r="AU28" s="55">
        <v>3998</v>
      </c>
      <c r="AV28" s="55">
        <v>3998</v>
      </c>
      <c r="AW28" s="55">
        <v>3998</v>
      </c>
      <c r="AX28" s="55">
        <v>3998</v>
      </c>
      <c r="AY28" s="55">
        <v>3998</v>
      </c>
      <c r="AZ28" s="55">
        <v>3996</v>
      </c>
      <c r="BA28" s="55">
        <v>3997</v>
      </c>
      <c r="BB28" s="55">
        <v>3996</v>
      </c>
      <c r="BC28" s="55">
        <v>3997</v>
      </c>
      <c r="BD28" s="55">
        <v>3997</v>
      </c>
      <c r="BE28" s="55">
        <v>3998</v>
      </c>
      <c r="BF28" s="55">
        <v>3997</v>
      </c>
      <c r="BG28" s="55">
        <v>3997</v>
      </c>
      <c r="BI28" s="104"/>
      <c r="BJ28" s="5" t="s">
        <v>217</v>
      </c>
      <c r="BK28" s="55">
        <v>3997</v>
      </c>
      <c r="BL28" s="55">
        <v>3997</v>
      </c>
      <c r="BM28" s="55">
        <v>3997</v>
      </c>
      <c r="BO28" s="55">
        <v>3997</v>
      </c>
      <c r="BP28" s="55">
        <v>3997</v>
      </c>
      <c r="BQ28" s="55">
        <v>3997</v>
      </c>
      <c r="BR28" s="55">
        <v>3997</v>
      </c>
      <c r="BS28" s="55">
        <v>3997</v>
      </c>
      <c r="BT28" s="55">
        <v>3997</v>
      </c>
      <c r="BU28" s="55">
        <v>3997</v>
      </c>
      <c r="BV28" s="55">
        <v>3997</v>
      </c>
    </row>
    <row r="29" spans="8:74" x14ac:dyDescent="0.2">
      <c r="H29" s="104"/>
      <c r="I29" s="5" t="s">
        <v>220</v>
      </c>
      <c r="J29" s="55">
        <v>0.59130000000000005</v>
      </c>
      <c r="K29" s="55">
        <v>0.59033999999999998</v>
      </c>
      <c r="L29" s="55">
        <v>0.59140999999999999</v>
      </c>
      <c r="M29" s="55">
        <v>0.59150999999999998</v>
      </c>
      <c r="N29" s="55">
        <v>0.58903000000000005</v>
      </c>
      <c r="O29" s="55">
        <v>0.59347000000000005</v>
      </c>
      <c r="P29" s="55">
        <v>0.58965999999999996</v>
      </c>
      <c r="Q29" s="55">
        <v>0.59057000000000004</v>
      </c>
      <c r="R29" s="55">
        <v>0.59045999999999998</v>
      </c>
      <c r="S29" s="55">
        <v>0.59070999999999996</v>
      </c>
      <c r="T29" s="55">
        <v>0.59052000000000004</v>
      </c>
      <c r="U29" s="55">
        <v>0.59123000000000003</v>
      </c>
      <c r="V29" s="55">
        <v>0.59331</v>
      </c>
      <c r="W29" s="55">
        <v>0.59323999999999999</v>
      </c>
      <c r="X29" s="55">
        <v>0.58840000000000003</v>
      </c>
      <c r="Y29" s="55">
        <v>0.59363999999999995</v>
      </c>
      <c r="Z29" s="55">
        <v>0.59299000000000002</v>
      </c>
      <c r="AA29" s="55">
        <v>0.59365000000000001</v>
      </c>
      <c r="AB29" s="55">
        <v>0.59316000000000002</v>
      </c>
      <c r="AC29" s="55">
        <v>0.58857000000000004</v>
      </c>
      <c r="AD29" s="55">
        <v>0.58836999999999995</v>
      </c>
      <c r="AE29" s="55">
        <v>0.59089999999999998</v>
      </c>
      <c r="AF29" s="55">
        <v>0.58957000000000004</v>
      </c>
      <c r="AG29" s="55">
        <v>0.59060000000000001</v>
      </c>
      <c r="AH29" s="55">
        <v>0.59062999999999999</v>
      </c>
      <c r="AI29" s="55">
        <v>0.59038000000000002</v>
      </c>
      <c r="AJ29" s="55">
        <v>0.59004999999999996</v>
      </c>
      <c r="AK29" s="55">
        <v>0.58884000000000003</v>
      </c>
      <c r="AL29" s="55">
        <v>0.58858999999999995</v>
      </c>
      <c r="AM29" s="55">
        <v>0.59087000000000001</v>
      </c>
      <c r="AN29" s="55">
        <v>0.59013000000000004</v>
      </c>
      <c r="AO29" s="55">
        <v>0.59140000000000004</v>
      </c>
      <c r="AP29" s="55">
        <v>0.58997999999999995</v>
      </c>
      <c r="AQ29" s="55">
        <v>0.59387000000000001</v>
      </c>
      <c r="AR29" s="55">
        <v>0.59362000000000004</v>
      </c>
      <c r="AS29" s="55">
        <v>0.59247000000000005</v>
      </c>
      <c r="AT29" s="55">
        <v>0.58867000000000003</v>
      </c>
      <c r="AU29" s="55">
        <v>0.59397</v>
      </c>
      <c r="AV29" s="65">
        <v>0.59419999999999995</v>
      </c>
      <c r="AW29" s="55">
        <v>0.59438999999999997</v>
      </c>
      <c r="AX29" s="55">
        <v>0.59387000000000001</v>
      </c>
      <c r="AY29" s="55">
        <v>0.59406999999999999</v>
      </c>
      <c r="AZ29" s="55">
        <v>0.58960000000000001</v>
      </c>
      <c r="BA29" s="55">
        <v>0.59143999999999997</v>
      </c>
      <c r="BB29" s="68">
        <v>0.58867000000000003</v>
      </c>
      <c r="BC29" s="55">
        <v>0.59167999999999998</v>
      </c>
      <c r="BD29" s="55">
        <v>0.59241999999999995</v>
      </c>
      <c r="BE29" s="55">
        <v>0.59387000000000001</v>
      </c>
      <c r="BF29" s="55">
        <v>0.59004999999999996</v>
      </c>
      <c r="BG29" s="55">
        <v>0.59009</v>
      </c>
      <c r="BI29" s="104"/>
      <c r="BJ29" s="5" t="s">
        <v>220</v>
      </c>
      <c r="BK29" s="55">
        <v>0.59150999999999998</v>
      </c>
      <c r="BL29" s="55">
        <v>0.59150999999999998</v>
      </c>
      <c r="BM29" s="55">
        <v>0.59150999999999998</v>
      </c>
      <c r="BO29" s="55">
        <v>0.59150999999999998</v>
      </c>
      <c r="BP29" s="55">
        <v>0.59150999999999998</v>
      </c>
      <c r="BQ29" s="55">
        <v>0.59150999999999998</v>
      </c>
      <c r="BR29" s="55">
        <v>0.59150999999999998</v>
      </c>
      <c r="BS29" s="55">
        <v>0.59150999999999998</v>
      </c>
      <c r="BT29" s="55">
        <v>0.59150999999999998</v>
      </c>
      <c r="BU29" s="55">
        <v>0.59150999999999998</v>
      </c>
      <c r="BV29" s="55">
        <v>0.59150999999999998</v>
      </c>
    </row>
    <row r="30" spans="8:74" x14ac:dyDescent="0.2">
      <c r="H30" s="104"/>
      <c r="I30" s="5" t="s">
        <v>238</v>
      </c>
      <c r="J30" s="67">
        <f>J33/J27</f>
        <v>0.19485390828226534</v>
      </c>
      <c r="K30" s="67">
        <f t="shared" ref="K30:BG30" si="16">K33/K27</f>
        <v>0.19483113011797026</v>
      </c>
      <c r="L30" s="67">
        <f t="shared" si="16"/>
        <v>0.19485651102655488</v>
      </c>
      <c r="M30" s="67">
        <f>M33/M27</f>
        <v>0.19485882716673833</v>
      </c>
      <c r="N30" s="67">
        <f t="shared" si="16"/>
        <v>0.19480001995531401</v>
      </c>
      <c r="O30" s="67">
        <f t="shared" si="16"/>
        <v>0.19490939729248821</v>
      </c>
      <c r="P30" s="67">
        <f t="shared" si="16"/>
        <v>0.19481446936546853</v>
      </c>
      <c r="Q30" s="67">
        <f t="shared" si="16"/>
        <v>0.1948359529498061</v>
      </c>
      <c r="R30" s="67">
        <f t="shared" si="16"/>
        <v>0.19483332608066276</v>
      </c>
      <c r="S30" s="67">
        <f t="shared" si="16"/>
        <v>0.19483934103230596</v>
      </c>
      <c r="T30" s="67">
        <f t="shared" si="16"/>
        <v>0.19483482551318787</v>
      </c>
      <c r="U30" s="67">
        <f t="shared" si="16"/>
        <v>0.19485189599663141</v>
      </c>
      <c r="V30" s="67">
        <f t="shared" si="16"/>
        <v>0.19490531158878721</v>
      </c>
      <c r="W30" s="67">
        <f t="shared" si="16"/>
        <v>0.19490327544894459</v>
      </c>
      <c r="X30" s="67">
        <f t="shared" si="16"/>
        <v>0.19478586863194958</v>
      </c>
      <c r="Y30" s="67">
        <f t="shared" si="16"/>
        <v>0.19491391436930813</v>
      </c>
      <c r="Z30" s="67">
        <f t="shared" si="16"/>
        <v>0.194896787436345</v>
      </c>
      <c r="AA30" s="67">
        <f t="shared" si="16"/>
        <v>0.19491432467765921</v>
      </c>
      <c r="AB30" s="67">
        <f t="shared" si="16"/>
        <v>0.19490124315029325</v>
      </c>
      <c r="AC30" s="67">
        <f t="shared" si="16"/>
        <v>0.19478973115676454</v>
      </c>
      <c r="AD30" s="67">
        <f t="shared" si="16"/>
        <v>0.19478517051021471</v>
      </c>
      <c r="AE30" s="67">
        <f t="shared" si="16"/>
        <v>0.19484388333562713</v>
      </c>
      <c r="AF30" s="67">
        <f t="shared" si="16"/>
        <v>0.19481228331577635</v>
      </c>
      <c r="AG30" s="67">
        <f t="shared" si="16"/>
        <v>0.19483670458146723</v>
      </c>
      <c r="AH30" s="67">
        <f t="shared" si="16"/>
        <v>0.19483745811700937</v>
      </c>
      <c r="AI30" s="67">
        <f t="shared" si="16"/>
        <v>0.19483145656737288</v>
      </c>
      <c r="AJ30" s="67">
        <f t="shared" si="16"/>
        <v>0.19482365434644411</v>
      </c>
      <c r="AK30" s="67">
        <f>AK33/AK27</f>
        <v>0.1947957434169168</v>
      </c>
      <c r="AL30" s="67">
        <f t="shared" si="16"/>
        <v>0.19479786458684881</v>
      </c>
      <c r="AM30" s="67">
        <f t="shared" si="16"/>
        <v>0.19485086708928129</v>
      </c>
      <c r="AN30" s="67">
        <f t="shared" si="16"/>
        <v>0.19483325965064174</v>
      </c>
      <c r="AO30" s="67">
        <f t="shared" si="16"/>
        <v>0.19486385831667108</v>
      </c>
      <c r="AP30" s="67">
        <f t="shared" si="16"/>
        <v>0.19482956431482215</v>
      </c>
      <c r="AQ30" s="67">
        <f t="shared" si="16"/>
        <v>0.19492779932791235</v>
      </c>
      <c r="AR30" s="67">
        <f t="shared" si="16"/>
        <v>0.19492119949906031</v>
      </c>
      <c r="AS30" s="67">
        <f t="shared" si="16"/>
        <v>0.194890869590782</v>
      </c>
      <c r="AT30" s="67">
        <f t="shared" si="16"/>
        <v>0.19479962720416147</v>
      </c>
      <c r="AU30" s="67">
        <f t="shared" si="16"/>
        <v>0.19493070233025228</v>
      </c>
      <c r="AV30" s="67">
        <f t="shared" si="16"/>
        <v>0.19493694939814971</v>
      </c>
      <c r="AW30" s="67">
        <f t="shared" si="16"/>
        <v>0.19494197508249725</v>
      </c>
      <c r="AX30" s="67">
        <f t="shared" si="16"/>
        <v>0.19492779932791235</v>
      </c>
      <c r="AY30" s="67">
        <f t="shared" si="16"/>
        <v>0.19493319502953102</v>
      </c>
      <c r="AZ30" s="67">
        <f t="shared" si="16"/>
        <v>0.19482077540694748</v>
      </c>
      <c r="BA30" s="67">
        <f t="shared" si="16"/>
        <v>0.19486501456859565</v>
      </c>
      <c r="BB30" s="67">
        <f t="shared" si="16"/>
        <v>0.19479962720416147</v>
      </c>
      <c r="BC30" s="67">
        <f t="shared" si="16"/>
        <v>0.19487082071755882</v>
      </c>
      <c r="BD30" s="67">
        <f t="shared" si="16"/>
        <v>0.19488967694911746</v>
      </c>
      <c r="BE30" s="67">
        <f t="shared" si="16"/>
        <v>0.19492779932791235</v>
      </c>
      <c r="BF30" s="67">
        <f t="shared" si="16"/>
        <v>0.19483140911826385</v>
      </c>
      <c r="BG30" s="67">
        <f t="shared" si="16"/>
        <v>0.19483214932699669</v>
      </c>
      <c r="BI30" s="104"/>
      <c r="BJ30" s="5" t="s">
        <v>238</v>
      </c>
      <c r="BK30" s="67">
        <f>BK33/BK27</f>
        <v>3.50745888900129E-2</v>
      </c>
      <c r="BL30" s="67">
        <f>BL33/BL27</f>
        <v>0.19680741543840571</v>
      </c>
      <c r="BM30" s="67">
        <f>BM33/BM27</f>
        <v>0.48130130310184366</v>
      </c>
      <c r="BO30" s="67">
        <f t="shared" ref="BO30:BV30" si="17">BO33/BO27</f>
        <v>4.286894197668243E-2</v>
      </c>
      <c r="BP30" s="67">
        <f t="shared" si="17"/>
        <v>4.8714706791684582E-2</v>
      </c>
      <c r="BQ30" s="67">
        <f t="shared" si="17"/>
        <v>5.4560471606686735E-2</v>
      </c>
      <c r="BR30" s="67">
        <f t="shared" si="17"/>
        <v>5.8457648150021496E-2</v>
      </c>
      <c r="BS30" s="67">
        <f t="shared" si="17"/>
        <v>6.4303412965023649E-2</v>
      </c>
      <c r="BT30" s="67">
        <f t="shared" si="17"/>
        <v>6.8200589508358417E-2</v>
      </c>
      <c r="BU30" s="67">
        <f t="shared" si="17"/>
        <v>7.2097766051693185E-2</v>
      </c>
      <c r="BV30" s="67">
        <f t="shared" si="17"/>
        <v>7.5994942595027953E-2</v>
      </c>
    </row>
    <row r="31" spans="8:74" x14ac:dyDescent="0.2">
      <c r="H31" s="104"/>
      <c r="I31" s="5" t="s">
        <v>243</v>
      </c>
      <c r="J31" s="55">
        <v>1.2811999999999999E-3</v>
      </c>
      <c r="K31" s="55">
        <v>1.3027E-3</v>
      </c>
      <c r="L31" s="55">
        <v>1.2788000000000001E-3</v>
      </c>
      <c r="M31" s="67">
        <v>1.2767E-3</v>
      </c>
      <c r="N31" s="55">
        <v>1.3324999999999999E-3</v>
      </c>
      <c r="O31" s="55">
        <v>1.2346E-3</v>
      </c>
      <c r="P31" s="55">
        <v>1.3179999999999999E-3</v>
      </c>
      <c r="Q31" s="55">
        <v>1.2975E-3</v>
      </c>
      <c r="R31" s="55">
        <v>1.2999000000000001E-3</v>
      </c>
      <c r="S31" s="55">
        <v>1.2943E-3</v>
      </c>
      <c r="T31" s="55">
        <v>1.2985E-3</v>
      </c>
      <c r="U31" s="55">
        <v>1.2829E-3</v>
      </c>
      <c r="V31" s="55">
        <v>1.2378000000000001E-3</v>
      </c>
      <c r="W31" s="55">
        <v>1.2394000000000001E-3</v>
      </c>
      <c r="X31" s="55">
        <v>1.3473000000000001E-3</v>
      </c>
      <c r="Y31" s="55">
        <v>1.2310000000000001E-3</v>
      </c>
      <c r="Z31" s="55">
        <v>1.2446E-3</v>
      </c>
      <c r="AA31" s="55">
        <v>1.2306999999999999E-3</v>
      </c>
      <c r="AB31" s="55">
        <v>1.2411E-3</v>
      </c>
      <c r="AC31" s="55">
        <v>1.3431999999999999E-3</v>
      </c>
      <c r="AD31" s="55">
        <v>1.348E-3</v>
      </c>
      <c r="AE31" s="55">
        <v>1.2902E-3</v>
      </c>
      <c r="AF31" s="55">
        <v>1.3202000000000001E-3</v>
      </c>
      <c r="AG31" s="55">
        <v>1.2968000000000001E-3</v>
      </c>
      <c r="AH31" s="55">
        <v>1.2960999999999999E-3</v>
      </c>
      <c r="AI31" s="55">
        <v>1.3017E-3</v>
      </c>
      <c r="AJ31" s="55">
        <v>1.3091000000000001E-3</v>
      </c>
      <c r="AK31" s="55">
        <v>1.3369E-3</v>
      </c>
      <c r="AL31" s="55">
        <v>1.3427999999999999E-3</v>
      </c>
      <c r="AM31" s="55">
        <v>1.2907999999999999E-3</v>
      </c>
      <c r="AN31" s="55">
        <v>1.3073E-3</v>
      </c>
      <c r="AO31" s="55">
        <v>1.2791E-3</v>
      </c>
      <c r="AP31" s="55">
        <v>1.3109E-3</v>
      </c>
      <c r="AQ31" s="55">
        <v>1.2262E-3</v>
      </c>
      <c r="AR31" s="55">
        <v>1.2313000000000001E-3</v>
      </c>
      <c r="AS31" s="55">
        <v>1.2558999999999999E-3</v>
      </c>
      <c r="AT31" s="55">
        <v>1.341E-3</v>
      </c>
      <c r="AU31" s="55">
        <v>1.224E-3</v>
      </c>
      <c r="AV31" s="55">
        <v>1.2191999999999999E-3</v>
      </c>
      <c r="AW31" s="55">
        <v>1.2153999999999999E-3</v>
      </c>
      <c r="AX31" s="55">
        <v>1.2262E-3</v>
      </c>
      <c r="AY31" s="55">
        <v>1.2221000000000001E-3</v>
      </c>
      <c r="AZ31" s="55">
        <v>1.3194999999999999E-3</v>
      </c>
      <c r="BA31" s="55">
        <v>1.2780999999999999E-3</v>
      </c>
      <c r="BB31" s="55">
        <v>1.341E-3</v>
      </c>
      <c r="BC31" s="55">
        <v>1.273E-3</v>
      </c>
      <c r="BD31" s="55">
        <v>1.2569E-3</v>
      </c>
      <c r="BE31" s="55">
        <v>1.2262E-3</v>
      </c>
      <c r="BF31" s="55">
        <v>1.3091000000000001E-3</v>
      </c>
      <c r="BG31" s="55">
        <v>1.3083999999999999E-3</v>
      </c>
      <c r="BI31" s="104"/>
      <c r="BJ31" s="5" t="s">
        <v>243</v>
      </c>
      <c r="BK31" s="67">
        <v>1.2767E-3</v>
      </c>
      <c r="BL31" s="67">
        <v>1.2767E-3</v>
      </c>
      <c r="BM31" s="67">
        <v>1.2767E-3</v>
      </c>
      <c r="BO31" s="67">
        <v>1.2767E-3</v>
      </c>
      <c r="BP31" s="67">
        <v>1.2767E-3</v>
      </c>
      <c r="BQ31" s="67">
        <v>1.2767E-3</v>
      </c>
      <c r="BR31" s="67">
        <v>1.2767E-3</v>
      </c>
      <c r="BS31" s="67">
        <v>1.2767E-3</v>
      </c>
      <c r="BT31" s="67">
        <v>1.2767E-3</v>
      </c>
      <c r="BU31" s="67">
        <v>1.2767E-3</v>
      </c>
      <c r="BV31" s="67">
        <v>1.2767E-3</v>
      </c>
    </row>
    <row r="32" spans="8:74" x14ac:dyDescent="0.2">
      <c r="I32" s="5"/>
      <c r="BJ32" s="5"/>
    </row>
    <row r="33" spans="8:74" x14ac:dyDescent="0.2">
      <c r="H33" s="112" t="s">
        <v>263</v>
      </c>
      <c r="I33" s="5" t="s">
        <v>221</v>
      </c>
      <c r="J33" s="55">
        <v>200</v>
      </c>
      <c r="K33" s="55">
        <v>200</v>
      </c>
      <c r="L33" s="55">
        <v>200</v>
      </c>
      <c r="M33" s="55">
        <v>200</v>
      </c>
      <c r="N33" s="55">
        <v>200</v>
      </c>
      <c r="O33" s="55">
        <v>200</v>
      </c>
      <c r="P33" s="55">
        <v>200</v>
      </c>
      <c r="Q33" s="55">
        <v>200</v>
      </c>
      <c r="R33" s="55">
        <v>200</v>
      </c>
      <c r="S33" s="55">
        <v>200</v>
      </c>
      <c r="T33" s="55">
        <v>200</v>
      </c>
      <c r="U33" s="55">
        <v>200</v>
      </c>
      <c r="V33" s="55">
        <v>200</v>
      </c>
      <c r="W33" s="55">
        <v>200</v>
      </c>
      <c r="X33" s="55">
        <v>200</v>
      </c>
      <c r="Y33" s="55">
        <v>200</v>
      </c>
      <c r="Z33" s="55">
        <v>200</v>
      </c>
      <c r="AA33" s="55">
        <v>200</v>
      </c>
      <c r="AB33" s="55">
        <v>200</v>
      </c>
      <c r="AC33" s="55">
        <v>200</v>
      </c>
      <c r="AD33" s="55">
        <v>200</v>
      </c>
      <c r="AE33" s="55">
        <v>200</v>
      </c>
      <c r="AF33" s="55">
        <v>200</v>
      </c>
      <c r="AG33" s="55">
        <v>200</v>
      </c>
      <c r="AH33" s="55">
        <v>200</v>
      </c>
      <c r="AI33" s="55">
        <v>200</v>
      </c>
      <c r="AJ33" s="55">
        <v>200</v>
      </c>
      <c r="AK33" s="55">
        <v>200</v>
      </c>
      <c r="AL33" s="55">
        <v>200</v>
      </c>
      <c r="AM33" s="55">
        <v>200</v>
      </c>
      <c r="AN33" s="55">
        <v>200</v>
      </c>
      <c r="AO33" s="55">
        <v>200</v>
      </c>
      <c r="AP33" s="55">
        <v>200</v>
      </c>
      <c r="AQ33" s="55">
        <v>200</v>
      </c>
      <c r="AR33" s="55">
        <v>200</v>
      </c>
      <c r="AS33" s="55">
        <v>200</v>
      </c>
      <c r="AT33" s="55">
        <v>200</v>
      </c>
      <c r="AU33" s="55">
        <v>200</v>
      </c>
      <c r="AV33" s="55">
        <v>200</v>
      </c>
      <c r="AW33" s="55">
        <v>200</v>
      </c>
      <c r="AX33" s="55">
        <v>200</v>
      </c>
      <c r="AY33" s="55">
        <v>200</v>
      </c>
      <c r="AZ33" s="55">
        <v>200</v>
      </c>
      <c r="BA33" s="55">
        <v>200</v>
      </c>
      <c r="BB33" s="55">
        <v>200</v>
      </c>
      <c r="BC33" s="55">
        <v>200</v>
      </c>
      <c r="BD33" s="55">
        <v>200</v>
      </c>
      <c r="BE33" s="55">
        <v>200</v>
      </c>
      <c r="BF33" s="55">
        <v>200</v>
      </c>
      <c r="BG33" s="55">
        <v>200</v>
      </c>
      <c r="BI33" s="112" t="s">
        <v>263</v>
      </c>
      <c r="BJ33" s="5" t="s">
        <v>221</v>
      </c>
      <c r="BK33" s="55">
        <f>2*BK17</f>
        <v>36</v>
      </c>
      <c r="BL33" s="55">
        <f>2*BL17</f>
        <v>202</v>
      </c>
      <c r="BM33" s="55">
        <f>2*BM17</f>
        <v>494</v>
      </c>
      <c r="BO33" s="55">
        <f t="shared" ref="BO33:BV33" si="18">2*BO17</f>
        <v>44</v>
      </c>
      <c r="BP33" s="55">
        <f t="shared" si="18"/>
        <v>50</v>
      </c>
      <c r="BQ33" s="55">
        <f t="shared" si="18"/>
        <v>56</v>
      </c>
      <c r="BR33" s="55">
        <f t="shared" si="18"/>
        <v>60</v>
      </c>
      <c r="BS33" s="55">
        <f t="shared" si="18"/>
        <v>66</v>
      </c>
      <c r="BT33" s="55">
        <f t="shared" si="18"/>
        <v>70</v>
      </c>
      <c r="BU33" s="55">
        <f t="shared" si="18"/>
        <v>74</v>
      </c>
      <c r="BV33" s="55">
        <f t="shared" si="18"/>
        <v>78</v>
      </c>
    </row>
    <row r="34" spans="8:74" x14ac:dyDescent="0.2">
      <c r="H34" s="104"/>
      <c r="I34" s="5" t="s">
        <v>234</v>
      </c>
      <c r="J34" s="55">
        <v>1</v>
      </c>
      <c r="K34" s="55">
        <v>1</v>
      </c>
      <c r="L34" s="55">
        <v>1</v>
      </c>
      <c r="M34" s="55">
        <v>1</v>
      </c>
      <c r="N34" s="55">
        <v>1</v>
      </c>
      <c r="O34" s="55">
        <v>1</v>
      </c>
      <c r="P34" s="55">
        <v>1</v>
      </c>
      <c r="Q34" s="55">
        <v>1</v>
      </c>
      <c r="R34" s="55">
        <v>1</v>
      </c>
      <c r="S34" s="55">
        <v>1</v>
      </c>
      <c r="T34" s="55">
        <v>1</v>
      </c>
      <c r="U34" s="55">
        <v>1</v>
      </c>
      <c r="V34" s="55">
        <v>1</v>
      </c>
      <c r="W34" s="55">
        <v>1</v>
      </c>
      <c r="X34" s="55">
        <v>1</v>
      </c>
      <c r="Y34" s="55">
        <v>1</v>
      </c>
      <c r="Z34" s="55">
        <v>1</v>
      </c>
      <c r="AA34" s="55">
        <v>1</v>
      </c>
      <c r="AB34" s="55">
        <v>1</v>
      </c>
      <c r="AC34" s="55">
        <v>1</v>
      </c>
      <c r="AD34" s="55">
        <v>1</v>
      </c>
      <c r="AE34" s="55">
        <v>1</v>
      </c>
      <c r="AF34" s="55">
        <v>1</v>
      </c>
      <c r="AG34" s="55">
        <v>1</v>
      </c>
      <c r="AH34" s="55">
        <v>1</v>
      </c>
      <c r="AI34" s="55">
        <v>1</v>
      </c>
      <c r="AJ34" s="55">
        <v>1</v>
      </c>
      <c r="AK34" s="55">
        <v>1</v>
      </c>
      <c r="AL34" s="55">
        <v>1</v>
      </c>
      <c r="AM34" s="55">
        <v>1</v>
      </c>
      <c r="AN34" s="55">
        <v>1</v>
      </c>
      <c r="AO34" s="55">
        <v>1</v>
      </c>
      <c r="AP34" s="55">
        <v>1</v>
      </c>
      <c r="AQ34" s="55">
        <v>1</v>
      </c>
      <c r="AR34" s="55">
        <v>1</v>
      </c>
      <c r="AS34" s="55">
        <v>1</v>
      </c>
      <c r="AT34" s="55">
        <v>1</v>
      </c>
      <c r="AU34" s="55">
        <v>1</v>
      </c>
      <c r="AV34" s="55">
        <v>1</v>
      </c>
      <c r="AW34" s="55">
        <v>1</v>
      </c>
      <c r="AX34" s="55">
        <v>1</v>
      </c>
      <c r="AY34" s="55">
        <v>1</v>
      </c>
      <c r="AZ34" s="55">
        <v>1</v>
      </c>
      <c r="BA34" s="55">
        <v>1</v>
      </c>
      <c r="BB34" s="55">
        <v>1</v>
      </c>
      <c r="BC34" s="55">
        <v>1</v>
      </c>
      <c r="BD34" s="55">
        <v>1</v>
      </c>
      <c r="BE34" s="55">
        <v>1</v>
      </c>
      <c r="BF34" s="55">
        <v>1</v>
      </c>
      <c r="BG34" s="55">
        <v>1</v>
      </c>
      <c r="BI34" s="104"/>
      <c r="BJ34" s="5" t="s">
        <v>234</v>
      </c>
      <c r="BK34" s="55">
        <v>1</v>
      </c>
      <c r="BL34" s="55">
        <v>1</v>
      </c>
      <c r="BM34" s="55">
        <v>1</v>
      </c>
      <c r="BO34" s="55">
        <v>1</v>
      </c>
      <c r="BP34" s="55">
        <v>1</v>
      </c>
      <c r="BQ34" s="55">
        <v>1</v>
      </c>
      <c r="BR34" s="55">
        <v>1</v>
      </c>
      <c r="BS34" s="55">
        <v>1</v>
      </c>
      <c r="BT34" s="55">
        <v>1</v>
      </c>
      <c r="BU34" s="55">
        <v>1</v>
      </c>
      <c r="BV34" s="55">
        <v>1</v>
      </c>
    </row>
    <row r="35" spans="8:74" x14ac:dyDescent="0.2">
      <c r="H35" s="104"/>
      <c r="I35" s="5" t="s">
        <v>236</v>
      </c>
      <c r="J35" s="68">
        <f t="shared" ref="J35:BG35" si="19">1.25*J19</f>
        <v>3.125E-2</v>
      </c>
      <c r="K35" s="68">
        <f t="shared" si="19"/>
        <v>3.125E-2</v>
      </c>
      <c r="L35" s="68">
        <f t="shared" si="19"/>
        <v>3.125E-2</v>
      </c>
      <c r="M35" s="68">
        <f>1.25*M19</f>
        <v>3.125E-2</v>
      </c>
      <c r="N35" s="68">
        <f t="shared" si="19"/>
        <v>3.125E-2</v>
      </c>
      <c r="O35" s="68">
        <f t="shared" si="19"/>
        <v>3.125E-2</v>
      </c>
      <c r="P35" s="68">
        <f t="shared" si="19"/>
        <v>3.125E-2</v>
      </c>
      <c r="Q35" s="68">
        <f t="shared" si="19"/>
        <v>3.125E-2</v>
      </c>
      <c r="R35" s="68">
        <f t="shared" si="19"/>
        <v>3.125E-2</v>
      </c>
      <c r="S35" s="68">
        <f t="shared" si="19"/>
        <v>3.125E-2</v>
      </c>
      <c r="T35" s="68">
        <f t="shared" si="19"/>
        <v>3.125E-2</v>
      </c>
      <c r="U35" s="68">
        <f t="shared" si="19"/>
        <v>3.125E-2</v>
      </c>
      <c r="V35" s="68">
        <f t="shared" si="19"/>
        <v>3.125E-2</v>
      </c>
      <c r="W35" s="68">
        <f t="shared" si="19"/>
        <v>3.125E-2</v>
      </c>
      <c r="X35" s="68">
        <f t="shared" si="19"/>
        <v>3.125E-2</v>
      </c>
      <c r="Y35" s="68">
        <f t="shared" si="19"/>
        <v>3.125E-2</v>
      </c>
      <c r="Z35" s="68">
        <f t="shared" si="19"/>
        <v>3.125E-2</v>
      </c>
      <c r="AA35" s="68">
        <f t="shared" si="19"/>
        <v>3.125E-2</v>
      </c>
      <c r="AB35" s="68">
        <f t="shared" si="19"/>
        <v>3.125E-2</v>
      </c>
      <c r="AC35" s="68">
        <f t="shared" si="19"/>
        <v>3.125E-2</v>
      </c>
      <c r="AD35" s="68">
        <f t="shared" si="19"/>
        <v>3.125E-2</v>
      </c>
      <c r="AE35" s="68">
        <f t="shared" si="19"/>
        <v>3.125E-2</v>
      </c>
      <c r="AF35" s="68">
        <f t="shared" si="19"/>
        <v>3.125E-2</v>
      </c>
      <c r="AG35" s="68">
        <f t="shared" si="19"/>
        <v>3.125E-2</v>
      </c>
      <c r="AH35" s="68">
        <f t="shared" si="19"/>
        <v>3.125E-2</v>
      </c>
      <c r="AI35" s="68">
        <f t="shared" si="19"/>
        <v>3.125E-2</v>
      </c>
      <c r="AJ35" s="68">
        <f t="shared" si="19"/>
        <v>3.125E-2</v>
      </c>
      <c r="AK35" s="68">
        <f t="shared" si="19"/>
        <v>3.125E-2</v>
      </c>
      <c r="AL35" s="68">
        <f t="shared" si="19"/>
        <v>3.125E-2</v>
      </c>
      <c r="AM35" s="68">
        <f t="shared" si="19"/>
        <v>3.125E-2</v>
      </c>
      <c r="AN35" s="68">
        <f t="shared" si="19"/>
        <v>3.125E-2</v>
      </c>
      <c r="AO35" s="68">
        <f t="shared" si="19"/>
        <v>3.125E-2</v>
      </c>
      <c r="AP35" s="68">
        <f t="shared" si="19"/>
        <v>3.125E-2</v>
      </c>
      <c r="AQ35" s="68">
        <f t="shared" si="19"/>
        <v>3.125E-2</v>
      </c>
      <c r="AR35" s="68">
        <f t="shared" si="19"/>
        <v>3.125E-2</v>
      </c>
      <c r="AS35" s="68">
        <f t="shared" si="19"/>
        <v>3.125E-2</v>
      </c>
      <c r="AT35" s="68">
        <f t="shared" si="19"/>
        <v>3.125E-2</v>
      </c>
      <c r="AU35" s="68">
        <f t="shared" si="19"/>
        <v>3.125E-2</v>
      </c>
      <c r="AV35" s="68">
        <f t="shared" si="19"/>
        <v>3.125E-2</v>
      </c>
      <c r="AW35" s="68">
        <f t="shared" si="19"/>
        <v>3.125E-2</v>
      </c>
      <c r="AX35" s="68">
        <f t="shared" si="19"/>
        <v>3.125E-2</v>
      </c>
      <c r="AY35" s="68">
        <f t="shared" si="19"/>
        <v>3.125E-2</v>
      </c>
      <c r="AZ35" s="68">
        <f t="shared" si="19"/>
        <v>3.125E-2</v>
      </c>
      <c r="BA35" s="68">
        <f t="shared" si="19"/>
        <v>3.125E-2</v>
      </c>
      <c r="BB35" s="68">
        <f t="shared" si="19"/>
        <v>3.125E-2</v>
      </c>
      <c r="BC35" s="68">
        <f t="shared" si="19"/>
        <v>3.125E-2</v>
      </c>
      <c r="BD35" s="68">
        <f t="shared" si="19"/>
        <v>3.125E-2</v>
      </c>
      <c r="BE35" s="68">
        <f t="shared" si="19"/>
        <v>3.125E-2</v>
      </c>
      <c r="BF35" s="68">
        <f t="shared" si="19"/>
        <v>3.125E-2</v>
      </c>
      <c r="BG35" s="68">
        <f t="shared" si="19"/>
        <v>3.125E-2</v>
      </c>
      <c r="BI35" s="104"/>
      <c r="BJ35" s="5" t="s">
        <v>236</v>
      </c>
      <c r="BK35" s="68">
        <f>1.25*BK19</f>
        <v>3.125E-2</v>
      </c>
      <c r="BL35" s="68">
        <f>1.25*BL19</f>
        <v>3.125E-2</v>
      </c>
      <c r="BM35" s="68">
        <f>1.25*BM19</f>
        <v>3.125E-2</v>
      </c>
      <c r="BO35" s="68">
        <f t="shared" ref="BO35:BV35" si="20">1.25*BO19</f>
        <v>3.125E-2</v>
      </c>
      <c r="BP35" s="68">
        <f t="shared" si="20"/>
        <v>3.125E-2</v>
      </c>
      <c r="BQ35" s="68">
        <f t="shared" si="20"/>
        <v>3.125E-2</v>
      </c>
      <c r="BR35" s="68">
        <f t="shared" si="20"/>
        <v>3.125E-2</v>
      </c>
      <c r="BS35" s="68">
        <f t="shared" si="20"/>
        <v>3.125E-2</v>
      </c>
      <c r="BT35" s="68">
        <f t="shared" si="20"/>
        <v>3.125E-2</v>
      </c>
      <c r="BU35" s="68">
        <f t="shared" si="20"/>
        <v>3.125E-2</v>
      </c>
      <c r="BV35" s="68">
        <f t="shared" si="20"/>
        <v>3.125E-2</v>
      </c>
    </row>
    <row r="36" spans="8:74" x14ac:dyDescent="0.2">
      <c r="H36" s="104"/>
      <c r="I36" s="5" t="s">
        <v>235</v>
      </c>
      <c r="J36" s="68">
        <f t="shared" ref="J36:X36" si="21">((4*J34*(J35^2)*J45)/((3.14159265^2)*J19*J22))^1/2</f>
        <v>0.67578680991630136</v>
      </c>
      <c r="K36" s="68">
        <f t="shared" si="21"/>
        <v>0.43705439500566678</v>
      </c>
      <c r="L36" s="68">
        <f t="shared" si="21"/>
        <v>0.68386889687942198</v>
      </c>
      <c r="M36" s="68">
        <f t="shared" si="21"/>
        <v>0.50357618770211965</v>
      </c>
      <c r="N36" s="68">
        <f t="shared" si="21"/>
        <v>0.46938274285814863</v>
      </c>
      <c r="O36" s="68">
        <f t="shared" si="21"/>
        <v>1.4087699275716092</v>
      </c>
      <c r="P36" s="68">
        <f t="shared" si="21"/>
        <v>0.51538846864821897</v>
      </c>
      <c r="Q36" s="68">
        <f t="shared" si="21"/>
        <v>0.59869613426807577</v>
      </c>
      <c r="R36" s="68">
        <f t="shared" si="21"/>
        <v>0.55269040847800555</v>
      </c>
      <c r="S36" s="68">
        <f t="shared" si="21"/>
        <v>0.64967545203545085</v>
      </c>
      <c r="T36" s="68">
        <f t="shared" si="21"/>
        <v>0.57631497037020374</v>
      </c>
      <c r="U36" s="68">
        <f t="shared" si="21"/>
        <v>0.76841996049360484</v>
      </c>
      <c r="V36" s="68">
        <f t="shared" si="21"/>
        <v>1.2906471181106178</v>
      </c>
      <c r="W36" s="68">
        <f t="shared" si="21"/>
        <v>1.2309640143829597</v>
      </c>
      <c r="X36" s="68">
        <f t="shared" si="21"/>
        <v>0.41840342509077355</v>
      </c>
      <c r="Y36" s="68">
        <f t="shared" ref="Y36:BG36" si="22">((4*Y34*(Y35^2)*Y45)/((3.14159265^2)*Y19*Y22))^1/2</f>
        <v>1.5859541417630953</v>
      </c>
      <c r="Z36" s="68">
        <f t="shared" si="22"/>
        <v>1.2763480411758668</v>
      </c>
      <c r="AA36" s="68">
        <f t="shared" si="22"/>
        <v>1.6419070515077754</v>
      </c>
      <c r="AB36" s="68">
        <f t="shared" si="22"/>
        <v>1.7127807371843704</v>
      </c>
      <c r="AC36" s="68">
        <f t="shared" si="22"/>
        <v>0.55642060246098424</v>
      </c>
      <c r="AD36" s="68">
        <f t="shared" si="22"/>
        <v>0.46938274285814868</v>
      </c>
      <c r="AE36" s="68">
        <f t="shared" si="22"/>
        <v>0.61672540518580576</v>
      </c>
      <c r="AF36" s="68">
        <f t="shared" si="22"/>
        <v>0.50357618770211976</v>
      </c>
      <c r="AG36" s="68">
        <f t="shared" si="22"/>
        <v>0.48865541177020511</v>
      </c>
      <c r="AH36" s="68">
        <f t="shared" si="22"/>
        <v>0.67889530490211702</v>
      </c>
      <c r="AI36" s="68">
        <f t="shared" si="22"/>
        <v>0.79701811436310788</v>
      </c>
      <c r="AJ36" s="68">
        <f t="shared" si="22"/>
        <v>0.71122365275459887</v>
      </c>
      <c r="AK36" s="68">
        <f t="shared" si="22"/>
        <v>0.4923856057531838</v>
      </c>
      <c r="AL36" s="68">
        <f t="shared" si="22"/>
        <v>0.40969963913049007</v>
      </c>
      <c r="AM36" s="68">
        <f t="shared" si="22"/>
        <v>0.60304802724821738</v>
      </c>
      <c r="AN36" s="68">
        <f t="shared" si="22"/>
        <v>0.75225578656736414</v>
      </c>
      <c r="AO36" s="68">
        <f t="shared" si="22"/>
        <v>0.84986252912197235</v>
      </c>
      <c r="AP36" s="68">
        <f t="shared" si="22"/>
        <v>0.50108939171346734</v>
      </c>
      <c r="AQ36" s="68">
        <f t="shared" si="22"/>
        <v>1.5175672520751535</v>
      </c>
      <c r="AR36" s="68">
        <f t="shared" si="22"/>
        <v>1.5635729778652234</v>
      </c>
      <c r="AS36" s="68">
        <f t="shared" si="22"/>
        <v>1.0133693653758706</v>
      </c>
      <c r="AT36" s="68">
        <f t="shared" si="22"/>
        <v>0.59372254229077071</v>
      </c>
      <c r="AU36" s="68">
        <f t="shared" si="22"/>
        <v>1.6220126835985562</v>
      </c>
      <c r="AV36" s="68">
        <f t="shared" si="22"/>
        <v>1.6705052053772786</v>
      </c>
      <c r="AW36" s="68">
        <f t="shared" si="22"/>
        <v>1.8713139814609632</v>
      </c>
      <c r="AX36" s="68">
        <f t="shared" si="22"/>
        <v>1.5157021550836638</v>
      </c>
      <c r="AY36" s="68">
        <f t="shared" si="22"/>
        <v>1.6443938474964286</v>
      </c>
      <c r="AZ36" s="68">
        <f t="shared" si="22"/>
        <v>0.5004676927163042</v>
      </c>
      <c r="BA36" s="68">
        <f t="shared" si="22"/>
        <v>0.88281257597161744</v>
      </c>
      <c r="BB36" s="68">
        <f t="shared" si="22"/>
        <v>0.59372254229077071</v>
      </c>
      <c r="BC36" s="68">
        <f t="shared" si="22"/>
        <v>1.1619554256978539</v>
      </c>
      <c r="BD36" s="68">
        <f t="shared" si="22"/>
        <v>0.98539291050353073</v>
      </c>
      <c r="BE36" s="68">
        <f t="shared" si="22"/>
        <v>1.5256493390382739</v>
      </c>
      <c r="BF36" s="68">
        <f t="shared" si="22"/>
        <v>0.48492521778722636</v>
      </c>
      <c r="BG36" s="68">
        <f t="shared" si="22"/>
        <v>0.66397452897020237</v>
      </c>
      <c r="BI36" s="104"/>
      <c r="BJ36" s="5" t="s">
        <v>235</v>
      </c>
      <c r="BK36" s="68">
        <f>((4*BK34*(BK35^2)*BK45)/((3.14159265^2)*BK19*BK22))^1/2</f>
        <v>0.36431561233758292</v>
      </c>
      <c r="BL36" s="68">
        <f>((4*BL34*(BL35^2)*BL45)/((3.14159265^2)*BL19*BL22))^1/2</f>
        <v>0.50668468268793543</v>
      </c>
      <c r="BM36" s="68">
        <f>((4*BM34*(BM35^2)*BM45)/((3.14159265^2)*BM19*BM22))^1/2</f>
        <v>0.63724147209218873</v>
      </c>
      <c r="BO36" s="68">
        <f t="shared" ref="BO36:BV36" si="23">((4*BO34*(BO35^2)*BO45)/((3.14159265^2)*BO19*BO22))^1/2</f>
        <v>0.44824497695460291</v>
      </c>
      <c r="BP36" s="68">
        <f t="shared" si="23"/>
        <v>0.50668468268793532</v>
      </c>
      <c r="BQ36" s="68">
        <f t="shared" si="23"/>
        <v>0.57258477638722494</v>
      </c>
      <c r="BR36" s="68">
        <f t="shared" si="23"/>
        <v>0.61548200719147972</v>
      </c>
      <c r="BS36" s="68">
        <f t="shared" si="23"/>
        <v>0.67205661593332267</v>
      </c>
      <c r="BT36" s="68">
        <f t="shared" si="23"/>
        <v>0.42897230804254644</v>
      </c>
      <c r="BU36" s="68">
        <f t="shared" si="23"/>
        <v>0.43581099701134079</v>
      </c>
      <c r="BV36" s="68">
        <f t="shared" si="23"/>
        <v>0.45570536492056013</v>
      </c>
    </row>
    <row r="37" spans="8:74" x14ac:dyDescent="0.2">
      <c r="H37" s="104"/>
      <c r="I37" s="5" t="s">
        <v>237</v>
      </c>
      <c r="J37" s="55">
        <v>0.25</v>
      </c>
      <c r="K37" s="55">
        <v>0.25</v>
      </c>
      <c r="L37" s="55">
        <v>0.25</v>
      </c>
      <c r="M37" s="55">
        <v>0.25</v>
      </c>
      <c r="N37" s="55">
        <v>0.25</v>
      </c>
      <c r="O37" s="55">
        <v>0.25</v>
      </c>
      <c r="P37" s="55">
        <v>0.25</v>
      </c>
      <c r="Q37" s="55">
        <v>0.25</v>
      </c>
      <c r="R37" s="55">
        <v>0.25</v>
      </c>
      <c r="S37" s="55">
        <v>0.25</v>
      </c>
      <c r="T37" s="55">
        <v>0.25</v>
      </c>
      <c r="U37" s="55">
        <v>0.25</v>
      </c>
      <c r="V37" s="55">
        <v>0.25</v>
      </c>
      <c r="W37" s="55">
        <v>0.25</v>
      </c>
      <c r="X37" s="55">
        <v>0.25</v>
      </c>
      <c r="Y37" s="55">
        <v>0.25</v>
      </c>
      <c r="Z37" s="55">
        <v>0.25</v>
      </c>
      <c r="AA37" s="55">
        <v>0.25</v>
      </c>
      <c r="AB37" s="55">
        <v>0.25</v>
      </c>
      <c r="AC37" s="55">
        <v>0.25</v>
      </c>
      <c r="AD37" s="55">
        <v>0.25</v>
      </c>
      <c r="AE37" s="55">
        <v>0.25</v>
      </c>
      <c r="AF37" s="55">
        <v>0.25</v>
      </c>
      <c r="AG37" s="55">
        <v>0.25</v>
      </c>
      <c r="AH37" s="55">
        <v>0.25</v>
      </c>
      <c r="AI37" s="55">
        <v>0.25</v>
      </c>
      <c r="AJ37" s="55">
        <v>0.25</v>
      </c>
      <c r="AK37" s="55">
        <v>0.25</v>
      </c>
      <c r="AL37" s="55">
        <v>0.25</v>
      </c>
      <c r="AM37" s="55">
        <v>0.25</v>
      </c>
      <c r="AN37" s="55">
        <v>0.25</v>
      </c>
      <c r="AO37" s="55">
        <v>0.25</v>
      </c>
      <c r="AP37" s="55">
        <v>0.25</v>
      </c>
      <c r="AQ37" s="55">
        <v>0.25</v>
      </c>
      <c r="AR37" s="55">
        <v>0.25</v>
      </c>
      <c r="AS37" s="55">
        <v>0.25</v>
      </c>
      <c r="AT37" s="55">
        <v>0.25</v>
      </c>
      <c r="AU37" s="55">
        <v>0.25</v>
      </c>
      <c r="AV37" s="55">
        <v>0.25</v>
      </c>
      <c r="AW37" s="55">
        <v>0.25</v>
      </c>
      <c r="AX37" s="55">
        <v>0.25</v>
      </c>
      <c r="AY37" s="55">
        <v>0.25</v>
      </c>
      <c r="AZ37" s="55">
        <v>0.25</v>
      </c>
      <c r="BA37" s="55">
        <v>0.25</v>
      </c>
      <c r="BB37" s="55">
        <v>0.25</v>
      </c>
      <c r="BC37" s="55">
        <v>0.25</v>
      </c>
      <c r="BD37" s="55">
        <v>0.25</v>
      </c>
      <c r="BE37" s="55">
        <v>0.25</v>
      </c>
      <c r="BF37" s="55">
        <v>0.25</v>
      </c>
      <c r="BG37" s="55">
        <v>0.25</v>
      </c>
      <c r="BI37" s="104"/>
      <c r="BJ37" s="5" t="s">
        <v>237</v>
      </c>
      <c r="BK37" s="55">
        <v>0.25</v>
      </c>
      <c r="BL37" s="55">
        <v>0.25</v>
      </c>
      <c r="BM37" s="55">
        <v>0.25</v>
      </c>
      <c r="BO37" s="55">
        <v>0.25</v>
      </c>
      <c r="BP37" s="55">
        <v>0.25</v>
      </c>
      <c r="BQ37" s="55">
        <v>0.25</v>
      </c>
      <c r="BR37" s="55">
        <v>0.25</v>
      </c>
      <c r="BS37" s="55">
        <v>0.25</v>
      </c>
      <c r="BT37" s="55">
        <v>0.25</v>
      </c>
      <c r="BU37" s="55">
        <v>0.25</v>
      </c>
      <c r="BV37" s="55">
        <v>0.25</v>
      </c>
    </row>
    <row r="38" spans="8:74" x14ac:dyDescent="0.2">
      <c r="H38" s="104"/>
      <c r="I38" s="5" t="s">
        <v>240</v>
      </c>
      <c r="J38" s="55">
        <v>1</v>
      </c>
      <c r="K38" s="55">
        <v>1</v>
      </c>
      <c r="L38" s="55">
        <v>1</v>
      </c>
      <c r="M38" s="55">
        <v>1</v>
      </c>
      <c r="N38" s="55">
        <v>1</v>
      </c>
      <c r="O38" s="55">
        <v>1</v>
      </c>
      <c r="P38" s="55">
        <v>1</v>
      </c>
      <c r="Q38" s="55">
        <v>1</v>
      </c>
      <c r="R38" s="55">
        <v>1</v>
      </c>
      <c r="S38" s="55">
        <v>1</v>
      </c>
      <c r="T38" s="55">
        <v>1</v>
      </c>
      <c r="U38" s="55">
        <v>1</v>
      </c>
      <c r="V38" s="55">
        <v>1</v>
      </c>
      <c r="W38" s="55">
        <v>1</v>
      </c>
      <c r="X38" s="55">
        <v>1</v>
      </c>
      <c r="Y38" s="55">
        <v>1</v>
      </c>
      <c r="Z38" s="55">
        <v>1</v>
      </c>
      <c r="AA38" s="55">
        <v>1</v>
      </c>
      <c r="AB38" s="55">
        <v>1</v>
      </c>
      <c r="AC38" s="55">
        <v>1</v>
      </c>
      <c r="AD38" s="55">
        <v>1</v>
      </c>
      <c r="AE38" s="55">
        <v>1</v>
      </c>
      <c r="AF38" s="55">
        <v>1</v>
      </c>
      <c r="AG38" s="55">
        <v>1</v>
      </c>
      <c r="AH38" s="55">
        <v>1</v>
      </c>
      <c r="AI38" s="55">
        <v>1</v>
      </c>
      <c r="AJ38" s="55">
        <v>1</v>
      </c>
      <c r="AK38" s="55">
        <v>1</v>
      </c>
      <c r="AL38" s="55">
        <v>1</v>
      </c>
      <c r="AM38" s="55">
        <v>1</v>
      </c>
      <c r="AN38" s="55">
        <v>1</v>
      </c>
      <c r="AO38" s="55">
        <v>1</v>
      </c>
      <c r="AP38" s="55">
        <v>1</v>
      </c>
      <c r="AQ38" s="55">
        <v>1</v>
      </c>
      <c r="AR38" s="55">
        <v>1</v>
      </c>
      <c r="AS38" s="55">
        <v>1</v>
      </c>
      <c r="AT38" s="55">
        <v>1</v>
      </c>
      <c r="AU38" s="55">
        <v>1</v>
      </c>
      <c r="AV38" s="55">
        <v>1</v>
      </c>
      <c r="AW38" s="55">
        <v>1</v>
      </c>
      <c r="AX38" s="55">
        <v>1</v>
      </c>
      <c r="AY38" s="55">
        <v>1</v>
      </c>
      <c r="AZ38" s="55">
        <v>1</v>
      </c>
      <c r="BA38" s="55">
        <v>1</v>
      </c>
      <c r="BB38" s="55">
        <v>1</v>
      </c>
      <c r="BC38" s="55">
        <v>1</v>
      </c>
      <c r="BD38" s="55">
        <v>1</v>
      </c>
      <c r="BE38" s="55">
        <v>1</v>
      </c>
      <c r="BF38" s="55">
        <v>1</v>
      </c>
      <c r="BG38" s="55">
        <v>1</v>
      </c>
      <c r="BI38" s="104"/>
      <c r="BJ38" s="5" t="s">
        <v>240</v>
      </c>
      <c r="BK38" s="55">
        <v>1</v>
      </c>
      <c r="BL38" s="55">
        <v>1</v>
      </c>
      <c r="BM38" s="55">
        <v>1</v>
      </c>
      <c r="BO38" s="55">
        <v>1</v>
      </c>
      <c r="BP38" s="55">
        <v>1</v>
      </c>
      <c r="BQ38" s="55">
        <v>1</v>
      </c>
      <c r="BR38" s="55">
        <v>1</v>
      </c>
      <c r="BS38" s="55">
        <v>1</v>
      </c>
      <c r="BT38" s="55">
        <v>1</v>
      </c>
      <c r="BU38" s="55">
        <v>1</v>
      </c>
      <c r="BV38" s="55">
        <v>1</v>
      </c>
    </row>
    <row r="39" spans="8:74" x14ac:dyDescent="0.2">
      <c r="H39" s="104"/>
      <c r="I39" s="5" t="s">
        <v>239</v>
      </c>
      <c r="J39" s="68">
        <f t="shared" ref="J39:BG39" si="24">(J36/J35)*((J35-J19)*J38)</f>
        <v>0.13515736198326025</v>
      </c>
      <c r="K39" s="68">
        <f t="shared" si="24"/>
        <v>8.741087900113334E-2</v>
      </c>
      <c r="L39" s="68">
        <f t="shared" si="24"/>
        <v>0.13677377937588436</v>
      </c>
      <c r="M39" s="68">
        <f>(M36/M35)*((M35-M19)*M38)</f>
        <v>0.10071523754042391</v>
      </c>
      <c r="N39" s="68">
        <f t="shared" si="24"/>
        <v>9.3876548571629706E-2</v>
      </c>
      <c r="O39" s="68">
        <f>(O36/O35)*((O35-O19)*O38)</f>
        <v>0.28175398551432179</v>
      </c>
      <c r="P39" s="68">
        <f t="shared" si="24"/>
        <v>0.10307769372964377</v>
      </c>
      <c r="Q39" s="68">
        <f t="shared" si="24"/>
        <v>0.11973922685361513</v>
      </c>
      <c r="R39" s="68">
        <f t="shared" si="24"/>
        <v>0.11053808169560109</v>
      </c>
      <c r="S39" s="68">
        <f t="shared" si="24"/>
        <v>0.12993509040709014</v>
      </c>
      <c r="T39" s="68">
        <f t="shared" si="24"/>
        <v>0.11526299407404073</v>
      </c>
      <c r="U39" s="68">
        <f t="shared" si="24"/>
        <v>0.15368399209872094</v>
      </c>
      <c r="V39" s="68">
        <f t="shared" si="24"/>
        <v>0.25812942362212349</v>
      </c>
      <c r="W39" s="68">
        <f t="shared" si="24"/>
        <v>0.24619280287659187</v>
      </c>
      <c r="X39" s="68">
        <f t="shared" si="24"/>
        <v>8.3680685018154691E-2</v>
      </c>
      <c r="Y39" s="68">
        <f t="shared" si="24"/>
        <v>0.31719082835261903</v>
      </c>
      <c r="Z39" s="68">
        <f t="shared" si="24"/>
        <v>0.25526960823517331</v>
      </c>
      <c r="AA39" s="68">
        <f t="shared" si="24"/>
        <v>0.32838141030155499</v>
      </c>
      <c r="AB39" s="68">
        <f t="shared" si="24"/>
        <v>0.34255614743687401</v>
      </c>
      <c r="AC39" s="68">
        <f t="shared" si="24"/>
        <v>0.11128412049219683</v>
      </c>
      <c r="AD39" s="68">
        <f t="shared" si="24"/>
        <v>9.387654857162972E-2</v>
      </c>
      <c r="AE39" s="68">
        <f t="shared" si="24"/>
        <v>0.12334508103716113</v>
      </c>
      <c r="AF39" s="68">
        <f t="shared" si="24"/>
        <v>0.10071523754042393</v>
      </c>
      <c r="AG39" s="68">
        <f t="shared" si="24"/>
        <v>9.7731082354041002E-2</v>
      </c>
      <c r="AH39" s="68">
        <f t="shared" si="24"/>
        <v>0.13577906098042339</v>
      </c>
      <c r="AI39" s="68">
        <f t="shared" si="24"/>
        <v>0.15940362287262155</v>
      </c>
      <c r="AJ39" s="68">
        <f t="shared" si="24"/>
        <v>0.14224473055091974</v>
      </c>
      <c r="AK39" s="68">
        <f t="shared" si="24"/>
        <v>9.847712115063674E-2</v>
      </c>
      <c r="AL39" s="68">
        <f t="shared" si="24"/>
        <v>8.1939927826097991E-2</v>
      </c>
      <c r="AM39" s="68">
        <f t="shared" si="24"/>
        <v>0.12060960544964344</v>
      </c>
      <c r="AN39" s="68">
        <f t="shared" si="24"/>
        <v>0.15045115731347281</v>
      </c>
      <c r="AO39" s="68">
        <f t="shared" si="24"/>
        <v>0.16997250582439444</v>
      </c>
      <c r="AP39" s="68">
        <f t="shared" si="24"/>
        <v>0.10021787834269344</v>
      </c>
      <c r="AQ39" s="68">
        <f t="shared" si="24"/>
        <v>0.30351345041503064</v>
      </c>
      <c r="AR39" s="68">
        <f t="shared" si="24"/>
        <v>0.3127145955730446</v>
      </c>
      <c r="AS39" s="68">
        <f t="shared" si="24"/>
        <v>0.20267387307517409</v>
      </c>
      <c r="AT39" s="68">
        <f t="shared" si="24"/>
        <v>0.11874450845815411</v>
      </c>
      <c r="AU39" s="68">
        <f t="shared" si="24"/>
        <v>0.3244025367197112</v>
      </c>
      <c r="AV39" s="68">
        <f t="shared" si="24"/>
        <v>0.33410104107545563</v>
      </c>
      <c r="AW39" s="68">
        <f t="shared" si="24"/>
        <v>0.37426279629219256</v>
      </c>
      <c r="AX39" s="68">
        <f t="shared" si="24"/>
        <v>0.30314043101673271</v>
      </c>
      <c r="AY39" s="68">
        <f t="shared" si="24"/>
        <v>0.32887876949928563</v>
      </c>
      <c r="AZ39" s="68">
        <f t="shared" si="24"/>
        <v>0.10009353854326082</v>
      </c>
      <c r="BA39" s="68">
        <f t="shared" si="24"/>
        <v>0.17656251519432345</v>
      </c>
      <c r="BB39" s="68">
        <f t="shared" si="24"/>
        <v>0.11874450845815411</v>
      </c>
      <c r="BC39" s="68">
        <f t="shared" si="24"/>
        <v>0.23239108513957074</v>
      </c>
      <c r="BD39" s="68">
        <f t="shared" si="24"/>
        <v>0.19707858210070611</v>
      </c>
      <c r="BE39" s="68">
        <f t="shared" si="24"/>
        <v>0.30512986780765472</v>
      </c>
      <c r="BF39" s="68">
        <f t="shared" si="24"/>
        <v>9.698504355744525E-2</v>
      </c>
      <c r="BG39" s="68">
        <f t="shared" si="24"/>
        <v>0.13279490579404044</v>
      </c>
      <c r="BI39" s="104"/>
      <c r="BJ39" s="5" t="s">
        <v>239</v>
      </c>
      <c r="BK39" s="68">
        <f>(BK36/BK35)*((BK35-BK19)*BK38)</f>
        <v>7.286312246751657E-2</v>
      </c>
      <c r="BL39" s="68">
        <f>(BL36/BL35)*((BL35-BL19)*BL38)</f>
        <v>0.10133693653758706</v>
      </c>
      <c r="BM39" s="68">
        <f>(BM36/BM35)*((BM35-BM19)*BM38)</f>
        <v>0.12744829441843772</v>
      </c>
      <c r="BO39" s="68">
        <f t="shared" ref="BO39:BV39" si="25">(BO36/BO35)*((BO35-BO19)*BO38)</f>
        <v>8.9648995390920569E-2</v>
      </c>
      <c r="BP39" s="68">
        <f t="shared" si="25"/>
        <v>0.10133693653758705</v>
      </c>
      <c r="BQ39" s="68">
        <f t="shared" si="25"/>
        <v>0.11451695527744496</v>
      </c>
      <c r="BR39" s="68">
        <f t="shared" si="25"/>
        <v>0.12309640143829592</v>
      </c>
      <c r="BS39" s="68">
        <f t="shared" si="25"/>
        <v>0.13441132318666452</v>
      </c>
      <c r="BT39" s="68">
        <f t="shared" si="25"/>
        <v>8.5794461608509273E-2</v>
      </c>
      <c r="BU39" s="68">
        <f t="shared" si="25"/>
        <v>8.7162199402268145E-2</v>
      </c>
      <c r="BV39" s="68">
        <f t="shared" si="25"/>
        <v>9.1141072984112004E-2</v>
      </c>
    </row>
    <row r="40" spans="8:74" x14ac:dyDescent="0.2">
      <c r="H40" s="104"/>
      <c r="I40" s="5" t="s">
        <v>265</v>
      </c>
      <c r="J40" s="68">
        <f>J30/J39</f>
        <v>1.4416817953756653</v>
      </c>
      <c r="K40" s="68">
        <f t="shared" ref="K40:BG40" si="26">K30/K39</f>
        <v>2.228911690905707</v>
      </c>
      <c r="L40" s="68">
        <f t="shared" si="26"/>
        <v>1.4246627673499204</v>
      </c>
      <c r="M40" s="68">
        <f>M30/M39</f>
        <v>1.9347502118388804</v>
      </c>
      <c r="N40" s="68">
        <f t="shared" si="26"/>
        <v>2.0750658489183555</v>
      </c>
      <c r="O40" s="68">
        <f t="shared" si="26"/>
        <v>0.69177157134687917</v>
      </c>
      <c r="P40" s="68">
        <f t="shared" si="26"/>
        <v>1.8899769903315413</v>
      </c>
      <c r="Q40" s="68">
        <f t="shared" si="26"/>
        <v>1.6271689576549464</v>
      </c>
      <c r="R40" s="68">
        <f t="shared" si="26"/>
        <v>1.7625900783875847</v>
      </c>
      <c r="S40" s="68">
        <f t="shared" si="26"/>
        <v>1.4995128754047045</v>
      </c>
      <c r="T40" s="68">
        <f t="shared" si="26"/>
        <v>1.6903502037092071</v>
      </c>
      <c r="U40" s="68">
        <f t="shared" si="26"/>
        <v>1.2678737280032766</v>
      </c>
      <c r="V40" s="68">
        <f t="shared" si="26"/>
        <v>0.75506817027612372</v>
      </c>
      <c r="W40" s="68">
        <f t="shared" si="26"/>
        <v>0.79166926559848716</v>
      </c>
      <c r="X40" s="68">
        <f t="shared" si="26"/>
        <v>2.3277279409183897</v>
      </c>
      <c r="Y40" s="68">
        <f t="shared" si="26"/>
        <v>0.61450047399423413</v>
      </c>
      <c r="Z40" s="68">
        <f t="shared" si="26"/>
        <v>0.76349389488149177</v>
      </c>
      <c r="AA40" s="68">
        <f t="shared" si="26"/>
        <v>0.59356077586324996</v>
      </c>
      <c r="AB40" s="68">
        <f t="shared" si="26"/>
        <v>0.56896145233011619</v>
      </c>
      <c r="AC40" s="68">
        <f t="shared" si="26"/>
        <v>1.7503820877159475</v>
      </c>
      <c r="AD40" s="68">
        <f t="shared" si="26"/>
        <v>2.074907668357552</v>
      </c>
      <c r="AE40" s="68">
        <f t="shared" si="26"/>
        <v>1.5796648046055846</v>
      </c>
      <c r="AF40" s="68">
        <f t="shared" si="26"/>
        <v>1.9342880786791059</v>
      </c>
      <c r="AG40" s="68">
        <f t="shared" si="26"/>
        <v>1.9936001923692099</v>
      </c>
      <c r="AH40" s="68">
        <f t="shared" si="26"/>
        <v>1.4349595343357178</v>
      </c>
      <c r="AI40" s="68">
        <f t="shared" si="26"/>
        <v>1.2222523745464775</v>
      </c>
      <c r="AJ40" s="68">
        <f t="shared" si="26"/>
        <v>1.369637058553129</v>
      </c>
      <c r="AK40" s="68">
        <f t="shared" si="26"/>
        <v>1.9780812146096869</v>
      </c>
      <c r="AL40" s="68">
        <f t="shared" si="26"/>
        <v>2.3773253132498535</v>
      </c>
      <c r="AM40" s="68">
        <f t="shared" si="26"/>
        <v>1.615550157575425</v>
      </c>
      <c r="AN40" s="68">
        <f t="shared" si="26"/>
        <v>1.2949934259707723</v>
      </c>
      <c r="AO40" s="68">
        <f t="shared" si="26"/>
        <v>1.1464434048998073</v>
      </c>
      <c r="AP40" s="68">
        <f t="shared" si="26"/>
        <v>1.9440599575317845</v>
      </c>
      <c r="AQ40" s="68">
        <f t="shared" si="26"/>
        <v>0.64223776264730281</v>
      </c>
      <c r="AR40" s="68">
        <f t="shared" si="26"/>
        <v>0.6233198010533223</v>
      </c>
      <c r="AS40" s="68">
        <f t="shared" si="26"/>
        <v>0.96159838776305773</v>
      </c>
      <c r="AT40" s="68">
        <f t="shared" si="26"/>
        <v>1.6404937772158903</v>
      </c>
      <c r="AU40" s="68">
        <f t="shared" si="26"/>
        <v>0.60089142428215792</v>
      </c>
      <c r="AV40" s="68">
        <f t="shared" si="26"/>
        <v>0.58346705167591451</v>
      </c>
      <c r="AW40" s="68">
        <f t="shared" si="26"/>
        <v>0.52086923149663833</v>
      </c>
      <c r="AX40" s="68">
        <f t="shared" si="26"/>
        <v>0.64302804701479344</v>
      </c>
      <c r="AY40" s="68">
        <f t="shared" si="26"/>
        <v>0.59272051925490565</v>
      </c>
      <c r="AZ40" s="68">
        <f t="shared" si="26"/>
        <v>1.9463871319000794</v>
      </c>
      <c r="BA40" s="68">
        <f t="shared" si="26"/>
        <v>1.1036601645265904</v>
      </c>
      <c r="BB40" s="68">
        <f t="shared" si="26"/>
        <v>1.6404937772158903</v>
      </c>
      <c r="BC40" s="68">
        <f t="shared" si="26"/>
        <v>0.83854688574014025</v>
      </c>
      <c r="BD40" s="68">
        <f t="shared" si="26"/>
        <v>0.9888932367573553</v>
      </c>
      <c r="BE40" s="68">
        <f t="shared" si="26"/>
        <v>0.63883552511086639</v>
      </c>
      <c r="BF40" s="68">
        <f t="shared" si="26"/>
        <v>2.0088809776412915</v>
      </c>
      <c r="BG40" s="68">
        <f t="shared" si="26"/>
        <v>1.4671658386442439</v>
      </c>
      <c r="BI40" s="104"/>
      <c r="BJ40" s="5" t="s">
        <v>265</v>
      </c>
      <c r="BK40" s="68">
        <f>BK30/BK39</f>
        <v>0.48137641789438351</v>
      </c>
      <c r="BL40" s="68">
        <f>BL30/BL39</f>
        <v>1.9421093844237884</v>
      </c>
      <c r="BM40" s="68">
        <f>BM30/BM39</f>
        <v>3.776443657391265</v>
      </c>
      <c r="BO40" s="68">
        <f t="shared" ref="BO40:BV40" si="27">BO30/BO39</f>
        <v>0.47818652947252205</v>
      </c>
      <c r="BP40" s="68">
        <f t="shared" si="27"/>
        <v>0.48072014465935364</v>
      </c>
      <c r="BQ40" s="68">
        <f t="shared" si="27"/>
        <v>0.4764401173127667</v>
      </c>
      <c r="BR40" s="68">
        <f t="shared" si="27"/>
        <v>0.47489323381499782</v>
      </c>
      <c r="BS40" s="68">
        <f t="shared" si="27"/>
        <v>0.47840770733074256</v>
      </c>
      <c r="BT40" s="68">
        <f t="shared" si="27"/>
        <v>0.79492997834249646</v>
      </c>
      <c r="BU40" s="68">
        <f t="shared" si="27"/>
        <v>0.82716781524695038</v>
      </c>
      <c r="BV40" s="68">
        <f t="shared" si="27"/>
        <v>0.83381663290573316</v>
      </c>
    </row>
    <row r="41" spans="8:74" x14ac:dyDescent="0.2">
      <c r="H41" s="104"/>
      <c r="I41" s="5" t="s">
        <v>242</v>
      </c>
      <c r="J41" s="55">
        <v>0.8</v>
      </c>
      <c r="K41" s="55">
        <v>0.8</v>
      </c>
      <c r="L41" s="55">
        <v>0.8</v>
      </c>
      <c r="M41" s="55">
        <v>0.8</v>
      </c>
      <c r="N41" s="55">
        <v>0.8</v>
      </c>
      <c r="O41" s="55">
        <v>0.8</v>
      </c>
      <c r="P41" s="55">
        <v>0.8</v>
      </c>
      <c r="Q41" s="55">
        <v>0.8</v>
      </c>
      <c r="R41" s="55">
        <v>0.8</v>
      </c>
      <c r="S41" s="55">
        <v>0.8</v>
      </c>
      <c r="T41" s="55">
        <v>0.8</v>
      </c>
      <c r="U41" s="55">
        <v>0.8</v>
      </c>
      <c r="V41" s="55">
        <v>0.8</v>
      </c>
      <c r="W41" s="55">
        <v>0.8</v>
      </c>
      <c r="X41" s="55">
        <v>0.8</v>
      </c>
      <c r="Y41" s="55">
        <v>0.8</v>
      </c>
      <c r="Z41" s="55">
        <v>0.8</v>
      </c>
      <c r="AA41" s="55">
        <v>0.8</v>
      </c>
      <c r="AB41" s="55">
        <v>0.8</v>
      </c>
      <c r="AC41" s="55">
        <v>0.8</v>
      </c>
      <c r="AD41" s="55">
        <v>0.8</v>
      </c>
      <c r="AE41" s="55">
        <v>0.8</v>
      </c>
      <c r="AF41" s="55">
        <v>0.8</v>
      </c>
      <c r="AG41" s="55">
        <v>0.8</v>
      </c>
      <c r="AH41" s="55">
        <v>0.8</v>
      </c>
      <c r="AI41" s="55">
        <v>0.8</v>
      </c>
      <c r="AJ41" s="55">
        <v>0.8</v>
      </c>
      <c r="AK41" s="55">
        <v>0.8</v>
      </c>
      <c r="AL41" s="55">
        <v>0.8</v>
      </c>
      <c r="AM41" s="55">
        <v>0.8</v>
      </c>
      <c r="AN41" s="55">
        <v>0.8</v>
      </c>
      <c r="AO41" s="55">
        <v>0.8</v>
      </c>
      <c r="AP41" s="55">
        <v>0.8</v>
      </c>
      <c r="AQ41" s="55">
        <v>0.8</v>
      </c>
      <c r="AR41" s="55">
        <v>0.8</v>
      </c>
      <c r="AS41" s="55">
        <v>0.8</v>
      </c>
      <c r="AT41" s="55">
        <v>0.8</v>
      </c>
      <c r="AU41" s="55">
        <v>0.8</v>
      </c>
      <c r="AV41" s="55">
        <v>0.8</v>
      </c>
      <c r="AW41" s="55">
        <v>0.8</v>
      </c>
      <c r="AX41" s="55">
        <v>0.8</v>
      </c>
      <c r="AY41" s="55">
        <v>0.8</v>
      </c>
      <c r="AZ41" s="55">
        <v>0.8</v>
      </c>
      <c r="BA41" s="55">
        <v>0.8</v>
      </c>
      <c r="BB41" s="55">
        <v>0.8</v>
      </c>
      <c r="BC41" s="55">
        <v>0.8</v>
      </c>
      <c r="BD41" s="55">
        <v>0.8</v>
      </c>
      <c r="BE41" s="55">
        <v>0.8</v>
      </c>
      <c r="BF41" s="55">
        <v>0.8</v>
      </c>
      <c r="BG41" s="55">
        <v>0.8</v>
      </c>
      <c r="BI41" s="104"/>
      <c r="BJ41" s="5" t="s">
        <v>242</v>
      </c>
      <c r="BK41" s="55">
        <v>0.8</v>
      </c>
      <c r="BL41" s="55">
        <v>0.8</v>
      </c>
      <c r="BM41" s="55">
        <v>0.8</v>
      </c>
      <c r="BO41" s="55">
        <v>0.8</v>
      </c>
      <c r="BP41" s="55">
        <v>0.8</v>
      </c>
      <c r="BQ41" s="55">
        <v>0.8</v>
      </c>
      <c r="BR41" s="55">
        <v>0.8</v>
      </c>
      <c r="BS41" s="55">
        <v>0.8</v>
      </c>
      <c r="BT41" s="55">
        <v>0.8</v>
      </c>
      <c r="BU41" s="55">
        <v>0.8</v>
      </c>
      <c r="BV41" s="55">
        <v>0.8</v>
      </c>
    </row>
    <row r="42" spans="8:74" x14ac:dyDescent="0.2">
      <c r="H42" s="104"/>
      <c r="I42" s="5" t="s">
        <v>246</v>
      </c>
      <c r="J42" s="55">
        <v>0.5</v>
      </c>
      <c r="K42" s="55">
        <v>0.5</v>
      </c>
      <c r="L42" s="55">
        <v>0.5</v>
      </c>
      <c r="M42" s="55">
        <v>0.5</v>
      </c>
      <c r="N42" s="55">
        <v>0.5</v>
      </c>
      <c r="O42" s="55">
        <v>0.5</v>
      </c>
      <c r="P42" s="55">
        <v>0.5</v>
      </c>
      <c r="Q42" s="55">
        <v>0.5</v>
      </c>
      <c r="R42" s="55">
        <v>0.5</v>
      </c>
      <c r="S42" s="55">
        <v>0.5</v>
      </c>
      <c r="T42" s="55">
        <v>0.5</v>
      </c>
      <c r="U42" s="55">
        <v>0.5</v>
      </c>
      <c r="V42" s="55">
        <v>0.5</v>
      </c>
      <c r="W42" s="55">
        <v>0.5</v>
      </c>
      <c r="X42" s="55">
        <v>0.5</v>
      </c>
      <c r="Y42" s="55">
        <v>0.5</v>
      </c>
      <c r="Z42" s="55">
        <v>0.5</v>
      </c>
      <c r="AA42" s="55">
        <v>0.5</v>
      </c>
      <c r="AB42" s="55">
        <v>0.5</v>
      </c>
      <c r="AC42" s="55">
        <v>0.5</v>
      </c>
      <c r="AD42" s="55">
        <v>0.5</v>
      </c>
      <c r="AE42" s="55">
        <v>0.5</v>
      </c>
      <c r="AF42" s="55">
        <v>0.5</v>
      </c>
      <c r="AG42" s="55">
        <v>0.5</v>
      </c>
      <c r="AH42" s="55">
        <v>0.5</v>
      </c>
      <c r="AI42" s="55">
        <v>0.5</v>
      </c>
      <c r="AJ42" s="55">
        <v>0.5</v>
      </c>
      <c r="AK42" s="55">
        <v>0.5</v>
      </c>
      <c r="AL42" s="55">
        <v>0.5</v>
      </c>
      <c r="AM42" s="55">
        <v>0.5</v>
      </c>
      <c r="AN42" s="55">
        <v>0.5</v>
      </c>
      <c r="AO42" s="55">
        <v>0.5</v>
      </c>
      <c r="AP42" s="55">
        <v>0.5</v>
      </c>
      <c r="AQ42" s="55">
        <v>0.5</v>
      </c>
      <c r="AR42" s="55">
        <v>0.5</v>
      </c>
      <c r="AS42" s="55">
        <v>0.5</v>
      </c>
      <c r="AT42" s="55">
        <v>0.5</v>
      </c>
      <c r="AU42" s="55">
        <v>0.5</v>
      </c>
      <c r="AV42" s="55">
        <v>0.5</v>
      </c>
      <c r="AW42" s="55">
        <v>0.5</v>
      </c>
      <c r="AX42" s="55">
        <v>0.5</v>
      </c>
      <c r="AY42" s="55">
        <v>0.5</v>
      </c>
      <c r="AZ42" s="55">
        <v>0.5</v>
      </c>
      <c r="BA42" s="55">
        <v>0.5</v>
      </c>
      <c r="BB42" s="55">
        <v>0.5</v>
      </c>
      <c r="BC42" s="55">
        <v>0.5</v>
      </c>
      <c r="BD42" s="55">
        <v>0.5</v>
      </c>
      <c r="BE42" s="55">
        <v>0.5</v>
      </c>
      <c r="BF42" s="55">
        <v>0.5</v>
      </c>
      <c r="BG42" s="55">
        <v>0.5</v>
      </c>
      <c r="BI42" s="104"/>
      <c r="BJ42" s="5" t="s">
        <v>246</v>
      </c>
      <c r="BK42" s="55">
        <v>0.5</v>
      </c>
      <c r="BL42" s="55">
        <v>0.5</v>
      </c>
      <c r="BM42" s="55">
        <v>0.5</v>
      </c>
      <c r="BO42" s="55">
        <v>0.5</v>
      </c>
      <c r="BP42" s="55">
        <v>0.5</v>
      </c>
      <c r="BQ42" s="55">
        <v>0.5</v>
      </c>
      <c r="BR42" s="55">
        <v>0.5</v>
      </c>
      <c r="BS42" s="55">
        <v>0.5</v>
      </c>
      <c r="BT42" s="55">
        <v>0.5</v>
      </c>
      <c r="BU42" s="55">
        <v>0.5</v>
      </c>
      <c r="BV42" s="55">
        <v>0.5</v>
      </c>
    </row>
    <row r="43" spans="8:74" x14ac:dyDescent="0.2">
      <c r="H43" s="104"/>
      <c r="I43" s="5" t="s">
        <v>251</v>
      </c>
      <c r="J43" s="55">
        <v>2</v>
      </c>
      <c r="K43" s="55">
        <v>2</v>
      </c>
      <c r="L43" s="55">
        <v>2</v>
      </c>
      <c r="M43" s="55">
        <v>2</v>
      </c>
      <c r="N43" s="55">
        <v>2</v>
      </c>
      <c r="O43" s="55">
        <v>2</v>
      </c>
      <c r="P43" s="55">
        <v>2</v>
      </c>
      <c r="Q43" s="55">
        <v>2</v>
      </c>
      <c r="R43" s="55">
        <v>2</v>
      </c>
      <c r="S43" s="55">
        <v>2</v>
      </c>
      <c r="T43" s="55">
        <v>2</v>
      </c>
      <c r="U43" s="55">
        <v>2</v>
      </c>
      <c r="V43" s="55">
        <v>2</v>
      </c>
      <c r="W43" s="55">
        <v>2</v>
      </c>
      <c r="X43" s="55">
        <v>2</v>
      </c>
      <c r="Y43" s="55">
        <v>2</v>
      </c>
      <c r="Z43" s="55">
        <v>2</v>
      </c>
      <c r="AA43" s="55">
        <v>2</v>
      </c>
      <c r="AB43" s="55">
        <v>2</v>
      </c>
      <c r="AC43" s="55">
        <v>2</v>
      </c>
      <c r="AD43" s="55">
        <v>2</v>
      </c>
      <c r="AE43" s="55">
        <v>2</v>
      </c>
      <c r="AF43" s="55">
        <v>2</v>
      </c>
      <c r="AG43" s="55">
        <v>2</v>
      </c>
      <c r="AH43" s="55">
        <v>2</v>
      </c>
      <c r="AI43" s="55">
        <v>2</v>
      </c>
      <c r="AJ43" s="55">
        <v>2</v>
      </c>
      <c r="AK43" s="55">
        <v>2</v>
      </c>
      <c r="AL43" s="55">
        <v>2</v>
      </c>
      <c r="AM43" s="55">
        <v>2</v>
      </c>
      <c r="AN43" s="55">
        <v>2</v>
      </c>
      <c r="AO43" s="55">
        <v>2</v>
      </c>
      <c r="AP43" s="55">
        <v>2</v>
      </c>
      <c r="AQ43" s="55">
        <v>2</v>
      </c>
      <c r="AR43" s="55">
        <v>2</v>
      </c>
      <c r="AS43" s="55">
        <v>2</v>
      </c>
      <c r="AT43" s="55">
        <v>2</v>
      </c>
      <c r="AU43" s="55">
        <v>2</v>
      </c>
      <c r="AV43" s="55">
        <v>2</v>
      </c>
      <c r="AW43" s="55">
        <v>2</v>
      </c>
      <c r="AX43" s="55">
        <v>2</v>
      </c>
      <c r="AY43" s="55">
        <v>2</v>
      </c>
      <c r="AZ43" s="55">
        <v>2</v>
      </c>
      <c r="BA43" s="55">
        <v>2</v>
      </c>
      <c r="BB43" s="55">
        <v>2</v>
      </c>
      <c r="BC43" s="55">
        <v>2</v>
      </c>
      <c r="BD43" s="55">
        <v>2</v>
      </c>
      <c r="BE43" s="55">
        <v>2</v>
      </c>
      <c r="BF43" s="55">
        <v>2</v>
      </c>
      <c r="BG43" s="55">
        <v>2</v>
      </c>
      <c r="BI43" s="104"/>
      <c r="BJ43" s="5" t="s">
        <v>251</v>
      </c>
      <c r="BK43" s="55">
        <v>2</v>
      </c>
      <c r="BL43" s="55">
        <v>2</v>
      </c>
      <c r="BM43" s="55">
        <v>2</v>
      </c>
      <c r="BO43" s="55">
        <v>2</v>
      </c>
      <c r="BP43" s="55">
        <v>2</v>
      </c>
      <c r="BQ43" s="55">
        <v>2</v>
      </c>
      <c r="BR43" s="55">
        <v>2</v>
      </c>
      <c r="BS43" s="55">
        <v>2</v>
      </c>
      <c r="BT43" s="55">
        <v>2</v>
      </c>
      <c r="BU43" s="55">
        <v>2</v>
      </c>
      <c r="BV43" s="55">
        <v>2</v>
      </c>
    </row>
    <row r="44" spans="8:74" x14ac:dyDescent="0.2">
      <c r="I44" s="5"/>
      <c r="BJ44" s="5"/>
    </row>
    <row r="45" spans="8:74" ht="16" customHeight="1" x14ac:dyDescent="0.2">
      <c r="H45" s="59" t="s">
        <v>285</v>
      </c>
      <c r="I45" s="5" t="s">
        <v>272</v>
      </c>
      <c r="J45" s="62">
        <f t="shared" ref="J45:X45" si="28">((4*J14*J21)/(J18^2*J20))*J19*J22</f>
        <v>384.17751118687505</v>
      </c>
      <c r="K45" s="62">
        <f t="shared" si="28"/>
        <v>193.24721788312499</v>
      </c>
      <c r="L45" s="62">
        <f t="shared" si="28"/>
        <v>475.1658883125001</v>
      </c>
      <c r="M45" s="62">
        <f t="shared" si="28"/>
        <v>318.08625581249999</v>
      </c>
      <c r="N45" s="62">
        <f t="shared" si="28"/>
        <v>163.06829348906251</v>
      </c>
      <c r="O45" s="62">
        <f t="shared" si="28"/>
        <v>1779.7122362250004</v>
      </c>
      <c r="P45" s="62">
        <f t="shared" si="28"/>
        <v>244.16065376718757</v>
      </c>
      <c r="Q45" s="62">
        <f t="shared" si="28"/>
        <v>378.16921524375005</v>
      </c>
      <c r="R45" s="62">
        <f t="shared" si="28"/>
        <v>349.10948323125007</v>
      </c>
      <c r="S45" s="62">
        <f t="shared" si="28"/>
        <v>410.37053990625003</v>
      </c>
      <c r="T45" s="62">
        <f t="shared" si="28"/>
        <v>364.03204831875001</v>
      </c>
      <c r="U45" s="62">
        <f t="shared" si="28"/>
        <v>582.45127731000002</v>
      </c>
      <c r="V45" s="62">
        <f t="shared" si="28"/>
        <v>1630.4865853499998</v>
      </c>
      <c r="W45" s="62">
        <f t="shared" si="28"/>
        <v>1555.0883617500003</v>
      </c>
      <c r="X45" s="62">
        <f t="shared" si="28"/>
        <v>132.143240840625</v>
      </c>
      <c r="Y45" s="62">
        <f t="shared" ref="Y45:BG45" si="29">((4*Y14*Y21)/(Y18^2*Y20))*Y19*Y22</f>
        <v>2404.260855045</v>
      </c>
      <c r="Z45" s="62">
        <f t="shared" si="29"/>
        <v>1693.0435489931256</v>
      </c>
      <c r="AA45" s="62">
        <f t="shared" si="29"/>
        <v>2696.5075113112498</v>
      </c>
      <c r="AB45" s="62">
        <f t="shared" si="29"/>
        <v>2380.1491314562504</v>
      </c>
      <c r="AC45" s="62">
        <f t="shared" si="29"/>
        <v>246.02597440312505</v>
      </c>
      <c r="AD45" s="62">
        <f t="shared" si="29"/>
        <v>237.19024507500004</v>
      </c>
      <c r="AE45" s="62">
        <f t="shared" si="29"/>
        <v>467.46898632</v>
      </c>
      <c r="AF45" s="62">
        <f t="shared" si="29"/>
        <v>318.08625581250004</v>
      </c>
      <c r="AG45" s="62">
        <f t="shared" si="29"/>
        <v>216.06303450375003</v>
      </c>
      <c r="AH45" s="62">
        <f t="shared" si="29"/>
        <v>480.28668433200005</v>
      </c>
      <c r="AI45" s="62">
        <f t="shared" si="29"/>
        <v>453.09619994625001</v>
      </c>
      <c r="AJ45" s="62">
        <f t="shared" si="29"/>
        <v>449.24774895000007</v>
      </c>
      <c r="AK45" s="62">
        <f t="shared" si="29"/>
        <v>202.16148702750004</v>
      </c>
      <c r="AL45" s="62">
        <f t="shared" si="29"/>
        <v>168.21265145343753</v>
      </c>
      <c r="AM45" s="62">
        <f t="shared" si="29"/>
        <v>457.10173057500003</v>
      </c>
      <c r="AN45" s="62">
        <f t="shared" si="29"/>
        <v>475.16588831250004</v>
      </c>
      <c r="AO45" s="62">
        <f t="shared" si="29"/>
        <v>644.18357288250002</v>
      </c>
      <c r="AP45" s="62">
        <f t="shared" si="29"/>
        <v>253.21236759000004</v>
      </c>
      <c r="AQ45" s="62">
        <f t="shared" si="29"/>
        <v>2396.4461433281253</v>
      </c>
      <c r="AR45" s="62">
        <f t="shared" si="29"/>
        <v>2370.3316544250001</v>
      </c>
      <c r="AS45" s="62">
        <f t="shared" si="29"/>
        <v>1088.1691541437501</v>
      </c>
      <c r="AT45" s="62">
        <f t="shared" si="29"/>
        <v>300.02209807499997</v>
      </c>
      <c r="AU45" s="62">
        <f t="shared" si="29"/>
        <v>2561.3797574531254</v>
      </c>
      <c r="AV45" s="62">
        <f t="shared" si="29"/>
        <v>2954.5108076925003</v>
      </c>
      <c r="AW45" s="62">
        <f t="shared" si="29"/>
        <v>3309.667856775</v>
      </c>
      <c r="AX45" s="62">
        <f t="shared" si="29"/>
        <v>2393.5009002187498</v>
      </c>
      <c r="AY45" s="62">
        <f t="shared" si="29"/>
        <v>3116.0672097187512</v>
      </c>
      <c r="AZ45" s="62">
        <f t="shared" si="29"/>
        <v>237.09207030468752</v>
      </c>
      <c r="BA45" s="62">
        <f t="shared" si="29"/>
        <v>669.15923445000021</v>
      </c>
      <c r="BB45" s="62">
        <f t="shared" si="29"/>
        <v>300.02209807499997</v>
      </c>
      <c r="BC45" s="62">
        <f t="shared" si="29"/>
        <v>1394.513707426875</v>
      </c>
      <c r="BD45" s="62">
        <f t="shared" si="29"/>
        <v>1058.1276744281251</v>
      </c>
      <c r="BE45" s="62">
        <f t="shared" si="29"/>
        <v>2409.2088634687502</v>
      </c>
      <c r="BF45" s="62">
        <f t="shared" si="29"/>
        <v>199.09843419374999</v>
      </c>
      <c r="BG45" s="62">
        <f t="shared" si="29"/>
        <v>482.31301159125007</v>
      </c>
      <c r="BI45" s="59" t="s">
        <v>285</v>
      </c>
      <c r="BJ45" s="5" t="s">
        <v>272</v>
      </c>
      <c r="BK45" s="62">
        <f>((4*BK14*BK21)/(BK18^2*BK20))*BK19*BK22</f>
        <v>161.08516312875003</v>
      </c>
      <c r="BL45" s="62">
        <f>((4*BL14*BL21)/(BL18^2*BL20))*BL19*BL22</f>
        <v>320.04975121875009</v>
      </c>
      <c r="BM45" s="62">
        <f>((4*BM14*BM21)/(BM18^2*BM20))*BM19*BM22</f>
        <v>495.09536668593773</v>
      </c>
      <c r="BO45" s="62">
        <f t="shared" ref="BO45:BV45" si="30">((4*BO14*BO21)/(BO18^2*BO20))*BO19*BO22</f>
        <v>198.19522630687504</v>
      </c>
      <c r="BP45" s="62">
        <f t="shared" si="30"/>
        <v>224.03482585312503</v>
      </c>
      <c r="BQ45" s="62">
        <f t="shared" si="30"/>
        <v>253.17309768187499</v>
      </c>
      <c r="BR45" s="62">
        <f t="shared" si="30"/>
        <v>272.14046330625007</v>
      </c>
      <c r="BS45" s="62">
        <f t="shared" si="30"/>
        <v>297.15539478187497</v>
      </c>
      <c r="BT45" s="62">
        <f t="shared" si="30"/>
        <v>216.76989285000002</v>
      </c>
      <c r="BU45" s="62">
        <f t="shared" si="30"/>
        <v>220.22564476500008</v>
      </c>
      <c r="BV45" s="62">
        <f t="shared" si="30"/>
        <v>230.27874124499999</v>
      </c>
    </row>
    <row r="46" spans="8:74" ht="16" customHeight="1" x14ac:dyDescent="0.2">
      <c r="H46" s="5" t="s">
        <v>286</v>
      </c>
      <c r="I46" s="5" t="s">
        <v>272</v>
      </c>
      <c r="J46" s="56">
        <f t="shared" ref="J46:Z46" si="31">J3/(J73*J8)</f>
        <v>384.295335536381</v>
      </c>
      <c r="K46" s="56">
        <f t="shared" si="31"/>
        <v>193.48607564001375</v>
      </c>
      <c r="L46" s="56">
        <f t="shared" si="31"/>
        <v>475.27644128914466</v>
      </c>
      <c r="M46" s="56">
        <f t="shared" si="31"/>
        <v>318.02335140070278</v>
      </c>
      <c r="N46" s="56">
        <f t="shared" si="31"/>
        <v>163.43908774178487</v>
      </c>
      <c r="O46" s="56">
        <f t="shared" si="31"/>
        <v>1779.2900556455977</v>
      </c>
      <c r="P46" s="56">
        <f t="shared" si="31"/>
        <v>244.13608479614962</v>
      </c>
      <c r="Q46" s="56">
        <f t="shared" si="31"/>
        <v>378.31957824836314</v>
      </c>
      <c r="R46" s="56">
        <f t="shared" si="31"/>
        <v>349.16632763593969</v>
      </c>
      <c r="S46" s="56">
        <f t="shared" si="31"/>
        <v>410.12489071872244</v>
      </c>
      <c r="T46" s="56">
        <f t="shared" si="31"/>
        <v>364.45783723420612</v>
      </c>
      <c r="U46" s="56">
        <f t="shared" si="31"/>
        <v>582.10762932124476</v>
      </c>
      <c r="V46" s="56">
        <f t="shared" si="31"/>
        <v>1630.1973140580556</v>
      </c>
      <c r="W46" s="56">
        <f t="shared" si="31"/>
        <v>1555.16328806449</v>
      </c>
      <c r="X46" s="56">
        <f t="shared" si="31"/>
        <v>132.09742960217346</v>
      </c>
      <c r="Y46" s="56">
        <f t="shared" si="31"/>
        <v>2404.3581779463248</v>
      </c>
      <c r="Z46" s="56">
        <f t="shared" si="31"/>
        <v>1693.2006056619614</v>
      </c>
      <c r="AA46" s="56">
        <f t="shared" ref="AA46:BG46" si="32">AA3/(AA73*AA8)</f>
        <v>2696.4425323353657</v>
      </c>
      <c r="AB46" s="56">
        <f t="shared" si="32"/>
        <v>2380.4607953794648</v>
      </c>
      <c r="AC46" s="56">
        <f t="shared" si="32"/>
        <v>246.42306071653442</v>
      </c>
      <c r="AD46" s="56">
        <f t="shared" si="32"/>
        <v>237.30960466018746</v>
      </c>
      <c r="AE46" s="56">
        <f t="shared" si="32"/>
        <v>467.68956390273797</v>
      </c>
      <c r="AF46" s="56">
        <f t="shared" si="32"/>
        <v>317.93363753493418</v>
      </c>
      <c r="AG46" s="56">
        <f t="shared" si="32"/>
        <v>215.72700755737446</v>
      </c>
      <c r="AH46" s="56">
        <f t="shared" si="32"/>
        <v>480.1593954008913</v>
      </c>
      <c r="AI46" s="56">
        <f t="shared" si="32"/>
        <v>453.3835618307844</v>
      </c>
      <c r="AJ46" s="56">
        <f t="shared" si="32"/>
        <v>449.02909853341794</v>
      </c>
      <c r="AK46" s="56">
        <f t="shared" si="32"/>
        <v>201.94346834330443</v>
      </c>
      <c r="AL46" s="56">
        <f t="shared" si="32"/>
        <v>168.24255984852417</v>
      </c>
      <c r="AM46" s="56">
        <f t="shared" si="32"/>
        <v>457.21471622535478</v>
      </c>
      <c r="AN46" s="56">
        <f t="shared" si="32"/>
        <v>475.177748899074</v>
      </c>
      <c r="AO46" s="56">
        <f t="shared" si="32"/>
        <v>644.2473100278329</v>
      </c>
      <c r="AP46" s="56">
        <f t="shared" si="32"/>
        <v>253.20783611584829</v>
      </c>
      <c r="AQ46" s="56">
        <f t="shared" si="32"/>
        <v>2396.4724605811721</v>
      </c>
      <c r="AR46" s="56">
        <f t="shared" si="32"/>
        <v>2370.360433824701</v>
      </c>
      <c r="AS46" s="56">
        <f t="shared" si="32"/>
        <v>1088.2403302296036</v>
      </c>
      <c r="AT46" s="56">
        <f t="shared" si="32"/>
        <v>300.43955538198293</v>
      </c>
      <c r="AU46" s="56">
        <f t="shared" si="32"/>
        <v>2561.3443683512528</v>
      </c>
      <c r="AV46" s="56">
        <f t="shared" si="32"/>
        <v>2954.4374604016839</v>
      </c>
      <c r="AW46" s="56">
        <f t="shared" si="32"/>
        <v>3309.4511945714803</v>
      </c>
      <c r="AX46" s="56">
        <f t="shared" si="32"/>
        <v>2393.4615250294219</v>
      </c>
      <c r="AY46" s="56">
        <f t="shared" si="32"/>
        <v>3116.117832382964</v>
      </c>
      <c r="AZ46" s="56">
        <f t="shared" si="32"/>
        <v>237.11363808840821</v>
      </c>
      <c r="BA46" s="56">
        <f t="shared" si="32"/>
        <v>668.82937792029372</v>
      </c>
      <c r="BB46" s="56">
        <f t="shared" si="32"/>
        <v>300.24332543071381</v>
      </c>
      <c r="BC46" s="56">
        <f t="shared" si="32"/>
        <v>1394.3634429574943</v>
      </c>
      <c r="BD46" s="56">
        <f t="shared" si="32"/>
        <v>1057.982611673993</v>
      </c>
      <c r="BE46" s="56">
        <f t="shared" si="32"/>
        <v>2408.5681961911855</v>
      </c>
      <c r="BF46" s="56">
        <f t="shared" si="32"/>
        <v>199.06270240097624</v>
      </c>
      <c r="BG46" s="56">
        <f t="shared" si="32"/>
        <v>482.20757845041595</v>
      </c>
      <c r="BI46" s="5" t="s">
        <v>286</v>
      </c>
      <c r="BJ46" s="5" t="s">
        <v>272</v>
      </c>
      <c r="BK46" s="56">
        <f>BK3/(BK73*BK8)</f>
        <v>161.43894533542334</v>
      </c>
      <c r="BL46" s="56">
        <f>BL3/(BL73*BL8)</f>
        <v>320.33927618058652</v>
      </c>
      <c r="BM46" s="56">
        <f>BM3/(BM73*BM8)</f>
        <v>494.76024738329147</v>
      </c>
      <c r="BO46" s="56">
        <f t="shared" ref="BO46:BV46" si="33">BO3/(BO73*BO8)</f>
        <v>198.32458407899762</v>
      </c>
      <c r="BP46" s="56">
        <f t="shared" si="33"/>
        <v>224.45947509708463</v>
      </c>
      <c r="BQ46" s="56">
        <f t="shared" si="33"/>
        <v>253.13184514138999</v>
      </c>
      <c r="BR46" s="56">
        <f t="shared" si="33"/>
        <v>271.89563346398512</v>
      </c>
      <c r="BS46" s="56">
        <f t="shared" si="33"/>
        <v>297.40047282886667</v>
      </c>
      <c r="BT46" s="56">
        <f t="shared" si="33"/>
        <v>214.2562695313072</v>
      </c>
      <c r="BU46" s="56">
        <f t="shared" si="33"/>
        <v>219.81831724484005</v>
      </c>
      <c r="BV46" s="56">
        <f t="shared" si="33"/>
        <v>230.31193006057649</v>
      </c>
    </row>
    <row r="47" spans="8:74" x14ac:dyDescent="0.2">
      <c r="I47" s="5"/>
      <c r="M47" s="56"/>
      <c r="BJ47" s="5"/>
      <c r="BK47" s="56"/>
      <c r="BL47" s="56"/>
      <c r="BM47" s="56"/>
      <c r="BO47" s="56"/>
      <c r="BP47" s="56"/>
      <c r="BQ47" s="56"/>
      <c r="BR47" s="56"/>
      <c r="BS47" s="56"/>
      <c r="BT47" s="56"/>
      <c r="BU47" s="56"/>
      <c r="BV47" s="56"/>
    </row>
    <row r="48" spans="8:74" x14ac:dyDescent="0.2">
      <c r="H48" s="112" t="s">
        <v>276</v>
      </c>
      <c r="I48" s="102" t="s">
        <v>222</v>
      </c>
      <c r="J48" s="65">
        <f t="shared" ref="J48:BG48" si="34">0.022*(J13/J18)*((J49)^1/3)*((J18*J11)/J15)^0.8</f>
        <v>3402.2826074585628</v>
      </c>
      <c r="K48" s="65">
        <f t="shared" si="34"/>
        <v>4107.4524733571743</v>
      </c>
      <c r="L48" s="65">
        <f t="shared" si="34"/>
        <v>2925.9511933565818</v>
      </c>
      <c r="M48" s="65">
        <f>0.022*(M13/M18)*((M49)^1/3)*((M18*M11)/M15)^0.8</f>
        <v>3431.2490486637093</v>
      </c>
      <c r="N48" s="65">
        <f t="shared" si="34"/>
        <v>3970.3750203096452</v>
      </c>
      <c r="O48" s="65">
        <f t="shared" si="34"/>
        <v>2188.9426979979858</v>
      </c>
      <c r="P48" s="65">
        <f t="shared" si="34"/>
        <v>3293.994204585134</v>
      </c>
      <c r="Q48" s="65">
        <f t="shared" si="34"/>
        <v>2892.5296999446814</v>
      </c>
      <c r="R48" s="65">
        <f t="shared" si="34"/>
        <v>2892.5296999446814</v>
      </c>
      <c r="S48" s="65">
        <f t="shared" si="34"/>
        <v>2899.1024286374513</v>
      </c>
      <c r="T48" s="65">
        <f t="shared" si="34"/>
        <v>2892.5296999446814</v>
      </c>
      <c r="U48" s="65">
        <f t="shared" si="34"/>
        <v>2624.8525705614616</v>
      </c>
      <c r="V48" s="65">
        <f t="shared" si="34"/>
        <v>2184.6988710968849</v>
      </c>
      <c r="W48" s="65">
        <f t="shared" si="34"/>
        <v>2182.5896763993655</v>
      </c>
      <c r="X48" s="65">
        <f t="shared" si="34"/>
        <v>3951.9183976018026</v>
      </c>
      <c r="Y48" s="65">
        <f t="shared" si="34"/>
        <v>2007.5468153396987</v>
      </c>
      <c r="Z48" s="65">
        <f t="shared" si="34"/>
        <v>2079.4567486229257</v>
      </c>
      <c r="AA48" s="65">
        <f t="shared" si="34"/>
        <v>1939.7897564810878</v>
      </c>
      <c r="AB48" s="65">
        <f t="shared" si="34"/>
        <v>2001.9849883108152</v>
      </c>
      <c r="AC48" s="65">
        <f t="shared" si="34"/>
        <v>2847.9631060324523</v>
      </c>
      <c r="AD48" s="65">
        <f t="shared" si="34"/>
        <v>2576.4606585810066</v>
      </c>
      <c r="AE48" s="65">
        <f t="shared" si="34"/>
        <v>2620.3055964973341</v>
      </c>
      <c r="AF48" s="65">
        <f t="shared" si="34"/>
        <v>2602.4215073999885</v>
      </c>
      <c r="AG48" s="65">
        <f t="shared" si="34"/>
        <v>4170.7125968058399</v>
      </c>
      <c r="AH48" s="65">
        <f t="shared" si="34"/>
        <v>2615.7898137682741</v>
      </c>
      <c r="AI48" s="65">
        <f t="shared" si="34"/>
        <v>2886.0082704715178</v>
      </c>
      <c r="AJ48" s="65">
        <f t="shared" si="34"/>
        <v>2606.8467729344839</v>
      </c>
      <c r="AK48" s="65">
        <f t="shared" si="34"/>
        <v>3263.6702147363126</v>
      </c>
      <c r="AL48" s="65">
        <f t="shared" si="34"/>
        <v>3253.7662552652255</v>
      </c>
      <c r="AM48" s="65">
        <f t="shared" si="34"/>
        <v>2620.3055964973341</v>
      </c>
      <c r="AN48" s="65">
        <f t="shared" si="34"/>
        <v>2606.8467729344839</v>
      </c>
      <c r="AO48" s="65">
        <f t="shared" si="34"/>
        <v>2629.4291675395234</v>
      </c>
      <c r="AP48" s="65">
        <f t="shared" si="34"/>
        <v>3304.3152502093999</v>
      </c>
      <c r="AQ48" s="65">
        <f t="shared" si="34"/>
        <v>2010.3577364054713</v>
      </c>
      <c r="AR48" s="65">
        <f t="shared" si="34"/>
        <v>2007.5468153396987</v>
      </c>
      <c r="AS48" s="65">
        <f t="shared" si="34"/>
        <v>2290.390740531549</v>
      </c>
      <c r="AT48" s="65">
        <f t="shared" si="34"/>
        <v>2585.0024302827815</v>
      </c>
      <c r="AU48" s="65">
        <f t="shared" si="34"/>
        <v>2011.7710530016816</v>
      </c>
      <c r="AV48" s="65">
        <f t="shared" si="34"/>
        <v>1946.8618224632964</v>
      </c>
      <c r="AW48" s="65">
        <f t="shared" si="34"/>
        <v>1949.2502695730777</v>
      </c>
      <c r="AX48" s="65">
        <f t="shared" si="34"/>
        <v>2010.3577364054713</v>
      </c>
      <c r="AY48" s="65">
        <f t="shared" si="34"/>
        <v>1886.8705907563674</v>
      </c>
      <c r="AZ48" s="65">
        <f t="shared" si="34"/>
        <v>3283.7829181044572</v>
      </c>
      <c r="BA48" s="65">
        <f t="shared" si="34"/>
        <v>2629.4291675395234</v>
      </c>
      <c r="BB48" s="65">
        <f t="shared" si="34"/>
        <v>2585.0024302827815</v>
      </c>
      <c r="BC48" s="65">
        <f t="shared" si="34"/>
        <v>1995.1440444062343</v>
      </c>
      <c r="BD48" s="65">
        <f t="shared" si="34"/>
        <v>2290.390740531549</v>
      </c>
      <c r="BE48" s="65">
        <f t="shared" si="34"/>
        <v>2010.3577364054713</v>
      </c>
      <c r="BF48" s="65">
        <f t="shared" si="34"/>
        <v>4066.8297392449977</v>
      </c>
      <c r="BG48" s="65">
        <f t="shared" si="34"/>
        <v>2412.8843932324744</v>
      </c>
      <c r="BI48" s="112" t="s">
        <v>276</v>
      </c>
      <c r="BJ48" s="5" t="s">
        <v>222</v>
      </c>
      <c r="BK48" s="65">
        <f>0.022*(BK13/BK18)*((BK49)^1/3)*((BK18*BK11)/BK15)^0.8</f>
        <v>3431.2490486637093</v>
      </c>
      <c r="BL48" s="65">
        <f>0.022*(BL13/BL18)*((BL49)^1/3)*((BL18*BL11)/BL15)^0.8</f>
        <v>3431.2490486637093</v>
      </c>
      <c r="BM48" s="65">
        <f>0.022*(BM13/BM18)*((BM49)^1/3)*((BM18*BM11)/BM15)^0.8</f>
        <v>3431.2490486637093</v>
      </c>
      <c r="BO48" s="65">
        <f t="shared" ref="BO48:BV48" si="35">0.022*(BO13/BO18)*((BO49)^1/3)*((BO18*BO11)/BO15)^0.8</f>
        <v>3431.2490486637093</v>
      </c>
      <c r="BP48" s="65">
        <f t="shared" si="35"/>
        <v>3431.2490486637093</v>
      </c>
      <c r="BQ48" s="65">
        <f t="shared" si="35"/>
        <v>3431.2490486637093</v>
      </c>
      <c r="BR48" s="65">
        <f t="shared" si="35"/>
        <v>3431.2490486637093</v>
      </c>
      <c r="BS48" s="65">
        <f t="shared" si="35"/>
        <v>3431.2490486637093</v>
      </c>
      <c r="BT48" s="65">
        <f t="shared" si="35"/>
        <v>3431.2490486637093</v>
      </c>
      <c r="BU48" s="65">
        <f t="shared" si="35"/>
        <v>3431.2490486637093</v>
      </c>
      <c r="BV48" s="65">
        <f t="shared" si="35"/>
        <v>3431.2490486637093</v>
      </c>
    </row>
    <row r="49" spans="8:74" x14ac:dyDescent="0.2">
      <c r="H49" s="104"/>
      <c r="I49" s="5" t="s">
        <v>224</v>
      </c>
      <c r="J49" s="65">
        <f>(J12*J15)/J13</f>
        <v>5.4066591864764</v>
      </c>
      <c r="K49" s="65">
        <f t="shared" ref="K49:BG49" si="36">(K12*K15)/K13</f>
        <v>6.385292062192109</v>
      </c>
      <c r="L49" s="65">
        <f t="shared" si="36"/>
        <v>4.7094529027338332</v>
      </c>
      <c r="M49" s="65">
        <f>(M12*M15)/M13</f>
        <v>5.4480492692804816</v>
      </c>
      <c r="N49" s="65">
        <f t="shared" si="36"/>
        <v>6.1997112559439742</v>
      </c>
      <c r="O49" s="65">
        <f t="shared" si="36"/>
        <v>3.556959168116208</v>
      </c>
      <c r="P49" s="65">
        <f t="shared" si="36"/>
        <v>5.2508995944204919</v>
      </c>
      <c r="Q49" s="65">
        <f t="shared" si="36"/>
        <v>4.6593022552949392</v>
      </c>
      <c r="R49" s="65">
        <f t="shared" si="36"/>
        <v>4.6593022552949392</v>
      </c>
      <c r="S49" s="65">
        <f t="shared" si="36"/>
        <v>4.6691786108808859</v>
      </c>
      <c r="T49" s="65">
        <f t="shared" si="36"/>
        <v>4.6593022552949392</v>
      </c>
      <c r="U49" s="65">
        <f t="shared" si="36"/>
        <v>4.2510988146161175</v>
      </c>
      <c r="V49" s="65">
        <f t="shared" si="36"/>
        <v>3.5499830113599362</v>
      </c>
      <c r="W49" s="65">
        <f t="shared" si="36"/>
        <v>3.5465140400178972</v>
      </c>
      <c r="X49" s="65">
        <f t="shared" si="36"/>
        <v>6.1745565260986579</v>
      </c>
      <c r="Y49" s="65">
        <f t="shared" si="36"/>
        <v>3.2539920343217501</v>
      </c>
      <c r="Z49" s="65">
        <f t="shared" si="36"/>
        <v>3.3753306100544185</v>
      </c>
      <c r="AA49" s="65">
        <f t="shared" si="36"/>
        <v>3.1432905360062353</v>
      </c>
      <c r="AB49" s="65">
        <f t="shared" si="36"/>
        <v>3.2490261903589186</v>
      </c>
      <c r="AC49" s="65">
        <f t="shared" si="36"/>
        <v>4.5921566813151049</v>
      </c>
      <c r="AD49" s="65">
        <f t="shared" si="36"/>
        <v>4.1759755367065017</v>
      </c>
      <c r="AE49" s="65">
        <f t="shared" si="36"/>
        <v>4.2440584031623869</v>
      </c>
      <c r="AF49" s="65">
        <f t="shared" si="36"/>
        <v>4.2163306015906397</v>
      </c>
      <c r="AG49" s="65">
        <f t="shared" si="36"/>
        <v>6.4701981733627196</v>
      </c>
      <c r="AH49" s="65">
        <f t="shared" si="36"/>
        <v>4.23706256974081</v>
      </c>
      <c r="AI49" s="65">
        <f t="shared" si="36"/>
        <v>4.6494963244827998</v>
      </c>
      <c r="AJ49" s="65">
        <f t="shared" si="36"/>
        <v>4.2231970588582532</v>
      </c>
      <c r="AK49" s="65">
        <f t="shared" si="36"/>
        <v>5.2070037366502619</v>
      </c>
      <c r="AL49" s="65">
        <f t="shared" si="36"/>
        <v>5.1926403321500967</v>
      </c>
      <c r="AM49" s="65">
        <f t="shared" si="36"/>
        <v>4.2440584031623869</v>
      </c>
      <c r="AN49" s="65">
        <f t="shared" si="36"/>
        <v>4.2231970588582532</v>
      </c>
      <c r="AO49" s="65">
        <f t="shared" si="36"/>
        <v>4.2581813084069138</v>
      </c>
      <c r="AP49" s="65">
        <f t="shared" si="36"/>
        <v>5.2658119122429854</v>
      </c>
      <c r="AQ49" s="65">
        <f t="shared" si="36"/>
        <v>3.2587686277668149</v>
      </c>
      <c r="AR49" s="65">
        <f t="shared" si="36"/>
        <v>3.2539920343217501</v>
      </c>
      <c r="AS49" s="65">
        <f t="shared" si="36"/>
        <v>3.7223207381660055</v>
      </c>
      <c r="AT49" s="65">
        <f t="shared" si="36"/>
        <v>4.189267190416583</v>
      </c>
      <c r="AU49" s="65">
        <f t="shared" si="36"/>
        <v>3.2611691960008762</v>
      </c>
      <c r="AV49" s="65">
        <f t="shared" si="36"/>
        <v>3.150148252711281</v>
      </c>
      <c r="AW49" s="65">
        <f t="shared" si="36"/>
        <v>3.1542625294891069</v>
      </c>
      <c r="AX49" s="65">
        <f t="shared" si="36"/>
        <v>3.2587686277668149</v>
      </c>
      <c r="AY49" s="65">
        <f t="shared" si="36"/>
        <v>3.0460133556103188</v>
      </c>
      <c r="AZ49" s="65">
        <f t="shared" si="36"/>
        <v>5.2361319072998498</v>
      </c>
      <c r="BA49" s="65">
        <f t="shared" si="36"/>
        <v>4.2581813084069138</v>
      </c>
      <c r="BB49" s="65">
        <f t="shared" si="36"/>
        <v>4.189267190416583</v>
      </c>
      <c r="BC49" s="65">
        <f t="shared" si="36"/>
        <v>3.232881777267222</v>
      </c>
      <c r="BD49" s="65">
        <f t="shared" si="36"/>
        <v>3.7223207381660055</v>
      </c>
      <c r="BE49" s="65">
        <f t="shared" si="36"/>
        <v>3.2587686277668149</v>
      </c>
      <c r="BF49" s="65">
        <f t="shared" si="36"/>
        <v>6.3305236853677229</v>
      </c>
      <c r="BG49" s="65">
        <f t="shared" si="36"/>
        <v>3.9186946535198843</v>
      </c>
      <c r="BI49" s="104"/>
      <c r="BJ49" s="5" t="s">
        <v>224</v>
      </c>
      <c r="BK49" s="65">
        <f>(BK12*BK15)/BK13</f>
        <v>5.4480492692804816</v>
      </c>
      <c r="BL49" s="65">
        <f>(BL12*BL15)/BL13</f>
        <v>5.4480492692804816</v>
      </c>
      <c r="BM49" s="65">
        <f>(BM12*BM15)/BM13</f>
        <v>5.4480492692804816</v>
      </c>
      <c r="BO49" s="65">
        <f t="shared" ref="BO49:BV49" si="37">(BO12*BO15)/BO13</f>
        <v>5.4480492692804816</v>
      </c>
      <c r="BP49" s="65">
        <f t="shared" si="37"/>
        <v>5.4480492692804816</v>
      </c>
      <c r="BQ49" s="65">
        <f t="shared" si="37"/>
        <v>5.4480492692804816</v>
      </c>
      <c r="BR49" s="65">
        <f t="shared" si="37"/>
        <v>5.4480492692804816</v>
      </c>
      <c r="BS49" s="65">
        <f t="shared" si="37"/>
        <v>5.4480492692804816</v>
      </c>
      <c r="BT49" s="65">
        <f t="shared" si="37"/>
        <v>5.4480492692804816</v>
      </c>
      <c r="BU49" s="65">
        <f t="shared" si="37"/>
        <v>5.4480492692804816</v>
      </c>
      <c r="BV49" s="65">
        <f t="shared" si="37"/>
        <v>5.4480492692804816</v>
      </c>
    </row>
    <row r="50" spans="8:74" x14ac:dyDescent="0.2">
      <c r="H50" s="104"/>
      <c r="I50" s="5" t="s">
        <v>225</v>
      </c>
      <c r="J50" s="65">
        <f t="shared" ref="J50:BG50" si="38">J48*J20^0.8</f>
        <v>1803.0638470099741</v>
      </c>
      <c r="K50" s="65">
        <f t="shared" si="38"/>
        <v>3156.8364711909521</v>
      </c>
      <c r="L50" s="65">
        <f t="shared" si="38"/>
        <v>1504.0961060450222</v>
      </c>
      <c r="M50" s="65">
        <f>M48*M20^0.8</f>
        <v>2303.385215810431</v>
      </c>
      <c r="N50" s="65">
        <f t="shared" si="38"/>
        <v>2870.7825985285367</v>
      </c>
      <c r="O50" s="65">
        <f t="shared" si="38"/>
        <v>599.83401432363178</v>
      </c>
      <c r="P50" s="65">
        <f t="shared" si="38"/>
        <v>2158.9668654462967</v>
      </c>
      <c r="Q50" s="65">
        <f t="shared" si="38"/>
        <v>1651.0312069985134</v>
      </c>
      <c r="R50" s="65">
        <f t="shared" si="38"/>
        <v>1760.0901118663983</v>
      </c>
      <c r="S50" s="65">
        <f t="shared" si="38"/>
        <v>1550.5890058083335</v>
      </c>
      <c r="T50" s="65">
        <f t="shared" si="38"/>
        <v>1702.1292096315067</v>
      </c>
      <c r="U50" s="65">
        <f t="shared" si="38"/>
        <v>1208.4287062406847</v>
      </c>
      <c r="V50" s="65">
        <f t="shared" si="38"/>
        <v>641.85260049311148</v>
      </c>
      <c r="W50" s="65">
        <f t="shared" si="38"/>
        <v>665.84976472740254</v>
      </c>
      <c r="X50" s="65">
        <f t="shared" si="38"/>
        <v>3131.004817949201</v>
      </c>
      <c r="Y50" s="65">
        <f t="shared" si="38"/>
        <v>490.57655534538497</v>
      </c>
      <c r="Z50" s="65">
        <f t="shared" si="38"/>
        <v>609.68819804273528</v>
      </c>
      <c r="AA50" s="65">
        <f t="shared" si="38"/>
        <v>457.00549942215821</v>
      </c>
      <c r="AB50" s="65">
        <f t="shared" si="38"/>
        <v>459.69917125605417</v>
      </c>
      <c r="AC50" s="65">
        <f t="shared" si="38"/>
        <v>1719.6314891082604</v>
      </c>
      <c r="AD50" s="65">
        <f t="shared" si="38"/>
        <v>1754.0466425162242</v>
      </c>
      <c r="AE50" s="65">
        <f t="shared" si="38"/>
        <v>1437.9653093355871</v>
      </c>
      <c r="AF50" s="65">
        <f t="shared" si="38"/>
        <v>1677.6402892852052</v>
      </c>
      <c r="AG50" s="65">
        <f t="shared" si="38"/>
        <v>2936.8276785405019</v>
      </c>
      <c r="AH50" s="65">
        <f t="shared" si="38"/>
        <v>1328.9414120826768</v>
      </c>
      <c r="AI50" s="65">
        <f t="shared" si="38"/>
        <v>1309.8406370719201</v>
      </c>
      <c r="AJ50" s="65">
        <f t="shared" si="38"/>
        <v>1275.2856512665487</v>
      </c>
      <c r="AK50" s="65">
        <f t="shared" si="38"/>
        <v>2215.9149049279526</v>
      </c>
      <c r="AL50" s="65">
        <f t="shared" si="38"/>
        <v>2558.1541859720178</v>
      </c>
      <c r="AM50" s="65">
        <f t="shared" si="38"/>
        <v>1463.9975812597047</v>
      </c>
      <c r="AN50" s="65">
        <f t="shared" si="38"/>
        <v>1219.3264552211713</v>
      </c>
      <c r="AO50" s="65">
        <f t="shared" si="38"/>
        <v>1117.1281818571515</v>
      </c>
      <c r="AP50" s="65">
        <f t="shared" si="38"/>
        <v>2215.9599595512477</v>
      </c>
      <c r="AQ50" s="65">
        <f t="shared" si="38"/>
        <v>509.07165042944854</v>
      </c>
      <c r="AR50" s="65">
        <f t="shared" si="38"/>
        <v>496.18629524096019</v>
      </c>
      <c r="AS50" s="65">
        <f t="shared" si="38"/>
        <v>824.50247517940363</v>
      </c>
      <c r="AT50" s="65">
        <f t="shared" si="38"/>
        <v>1459.0719657005959</v>
      </c>
      <c r="AU50" s="65">
        <f t="shared" si="38"/>
        <v>483.09708623015956</v>
      </c>
      <c r="AV50" s="65">
        <f t="shared" si="38"/>
        <v>452.81584801778695</v>
      </c>
      <c r="AW50" s="65">
        <f t="shared" si="38"/>
        <v>414.14793099246327</v>
      </c>
      <c r="AX50" s="65">
        <f t="shared" si="38"/>
        <v>509.57272577558678</v>
      </c>
      <c r="AY50" s="65">
        <f t="shared" si="38"/>
        <v>440.6378097297893</v>
      </c>
      <c r="AZ50" s="65">
        <f t="shared" si="38"/>
        <v>2202.5395886403007</v>
      </c>
      <c r="BA50" s="65">
        <f t="shared" si="38"/>
        <v>1083.6452809542911</v>
      </c>
      <c r="BB50" s="65">
        <f t="shared" si="38"/>
        <v>1459.0719657005959</v>
      </c>
      <c r="BC50" s="65">
        <f t="shared" si="38"/>
        <v>624.34611459450002</v>
      </c>
      <c r="BD50" s="65">
        <f t="shared" si="38"/>
        <v>843.17677204572931</v>
      </c>
      <c r="BE50" s="65">
        <f t="shared" si="38"/>
        <v>506.91307023783293</v>
      </c>
      <c r="BF50" s="65">
        <f t="shared" si="38"/>
        <v>2872.9279538856367</v>
      </c>
      <c r="BG50" s="65">
        <f t="shared" si="38"/>
        <v>1230.3428913742882</v>
      </c>
      <c r="BI50" s="104"/>
      <c r="BJ50" s="5" t="s">
        <v>225</v>
      </c>
      <c r="BK50" s="65">
        <f>BK48*BK20^0.8</f>
        <v>756.92787901504857</v>
      </c>
      <c r="BL50" s="65">
        <f>BL48*BL20^0.8</f>
        <v>2310.3916278610268</v>
      </c>
      <c r="BM50" s="65">
        <f>BM48*BM20^0.8</f>
        <v>3933.0825378171876</v>
      </c>
      <c r="BO50" s="65">
        <f t="shared" ref="BO50:BV50" si="39">BO48*BO20^0.8</f>
        <v>752.91252695916432</v>
      </c>
      <c r="BP50" s="65">
        <f t="shared" si="39"/>
        <v>756.10221452499616</v>
      </c>
      <c r="BQ50" s="65">
        <f t="shared" si="39"/>
        <v>750.71191872840689</v>
      </c>
      <c r="BR50" s="65">
        <f t="shared" si="39"/>
        <v>748.76138373237268</v>
      </c>
      <c r="BS50" s="65">
        <f t="shared" si="39"/>
        <v>753.19111260526404</v>
      </c>
      <c r="BT50" s="65">
        <f t="shared" si="39"/>
        <v>1130.654076776224</v>
      </c>
      <c r="BU50" s="65">
        <f t="shared" si="39"/>
        <v>1167.1899917880503</v>
      </c>
      <c r="BV50" s="65">
        <f t="shared" si="39"/>
        <v>1174.6895248956523</v>
      </c>
    </row>
    <row r="51" spans="8:74" x14ac:dyDescent="0.2">
      <c r="I51" s="5"/>
      <c r="BJ51" s="5"/>
    </row>
    <row r="52" spans="8:74" x14ac:dyDescent="0.2">
      <c r="H52" s="112" t="s">
        <v>267</v>
      </c>
      <c r="I52" s="5" t="s">
        <v>231</v>
      </c>
      <c r="J52" s="55">
        <f>((0.023*(J11^0.8)*(J15^0.2)*(J18^0.8)/(J14*J19)))*(1/(J48^3.5))</f>
        <v>2.868434146019277E-12</v>
      </c>
      <c r="K52" s="55">
        <f t="shared" ref="K52:BG52" si="40">((0.023*(K11^0.8)*(K15^0.2)*(K18^0.8)/(K14*K19)))*(1/(K48^3.5))</f>
        <v>1.3967018107073022E-12</v>
      </c>
      <c r="L52" s="55">
        <f t="shared" si="40"/>
        <v>5.1386059194960841E-12</v>
      </c>
      <c r="M52" s="55">
        <f>((0.023*(M11^0.8)*(M15^0.2)*(M18^0.8)/(M14*M19)))*(1/(M48^3.5))</f>
        <v>2.7765378121740252E-12</v>
      </c>
      <c r="N52" s="55">
        <f t="shared" si="40"/>
        <v>1.589225608146047E-12</v>
      </c>
      <c r="O52" s="55">
        <f t="shared" si="40"/>
        <v>1.6241115805923413E-11</v>
      </c>
      <c r="P52" s="55">
        <f t="shared" si="40"/>
        <v>3.2485416461401943E-12</v>
      </c>
      <c r="Q52" s="55">
        <f t="shared" si="40"/>
        <v>5.3736549018787451E-12</v>
      </c>
      <c r="R52" s="55">
        <f t="shared" si="40"/>
        <v>5.3736549018787451E-12</v>
      </c>
      <c r="S52" s="55">
        <f t="shared" si="40"/>
        <v>5.3263567922889291E-12</v>
      </c>
      <c r="T52" s="55">
        <f t="shared" si="40"/>
        <v>5.3736549018787451E-12</v>
      </c>
      <c r="U52" s="55">
        <f t="shared" si="40"/>
        <v>7.8602376464542603E-12</v>
      </c>
      <c r="V52" s="55">
        <f t="shared" si="40"/>
        <v>1.6369805718514304E-11</v>
      </c>
      <c r="W52" s="55">
        <f t="shared" si="40"/>
        <v>1.6434257612012421E-11</v>
      </c>
      <c r="X52" s="55">
        <f t="shared" si="40"/>
        <v>1.6176762794413719E-12</v>
      </c>
      <c r="Y52" s="55">
        <f t="shared" si="40"/>
        <v>2.3179815161172747E-11</v>
      </c>
      <c r="Z52" s="55">
        <f t="shared" si="40"/>
        <v>2.0035730551490837E-11</v>
      </c>
      <c r="AA52" s="55">
        <f t="shared" si="40"/>
        <v>2.6766166541914003E-11</v>
      </c>
      <c r="AB52" s="55">
        <f t="shared" si="40"/>
        <v>2.3449325126455296E-11</v>
      </c>
      <c r="AC52" s="55">
        <f t="shared" si="40"/>
        <v>5.7089979050698405E-12</v>
      </c>
      <c r="AD52" s="55">
        <f t="shared" si="40"/>
        <v>8.4588155110589802E-12</v>
      </c>
      <c r="AE52" s="55">
        <f t="shared" si="40"/>
        <v>7.9141107224799544E-12</v>
      </c>
      <c r="AF52" s="55">
        <f t="shared" si="40"/>
        <v>8.1306743374639536E-12</v>
      </c>
      <c r="AG52" s="55">
        <f t="shared" si="40"/>
        <v>1.3178933853865764E-12</v>
      </c>
      <c r="AH52" s="55">
        <f t="shared" si="40"/>
        <v>7.9680858590213168E-12</v>
      </c>
      <c r="AI52" s="55">
        <f t="shared" si="40"/>
        <v>5.4211172333602662E-12</v>
      </c>
      <c r="AJ52" s="55">
        <f t="shared" si="40"/>
        <v>8.0763837268811558E-12</v>
      </c>
      <c r="AK52" s="55">
        <f t="shared" si="40"/>
        <v>3.3663906625577695E-12</v>
      </c>
      <c r="AL52" s="55">
        <f t="shared" si="40"/>
        <v>3.4060623443707624E-12</v>
      </c>
      <c r="AM52" s="55">
        <f t="shared" si="40"/>
        <v>7.9141107224799544E-12</v>
      </c>
      <c r="AN52" s="55">
        <f t="shared" si="40"/>
        <v>8.0763837268811558E-12</v>
      </c>
      <c r="AO52" s="55">
        <f t="shared" si="40"/>
        <v>7.8064889040672171E-12</v>
      </c>
      <c r="AP52" s="55">
        <f t="shared" si="40"/>
        <v>3.209637210225978E-12</v>
      </c>
      <c r="AQ52" s="55">
        <f t="shared" si="40"/>
        <v>2.304515998460725E-11</v>
      </c>
      <c r="AR52" s="55">
        <f t="shared" si="40"/>
        <v>2.3179815161172747E-11</v>
      </c>
      <c r="AS52" s="55">
        <f t="shared" si="40"/>
        <v>1.3521213278588339E-11</v>
      </c>
      <c r="AT52" s="55">
        <f t="shared" si="40"/>
        <v>8.3489969946181545E-12</v>
      </c>
      <c r="AU52" s="55">
        <f t="shared" si="40"/>
        <v>2.2977846458493084E-11</v>
      </c>
      <c r="AV52" s="55">
        <f t="shared" si="40"/>
        <v>2.6358869538277373E-11</v>
      </c>
      <c r="AW52" s="55">
        <f t="shared" si="40"/>
        <v>2.6223173303182675E-11</v>
      </c>
      <c r="AX52" s="55">
        <f t="shared" si="40"/>
        <v>2.304515998460725E-11</v>
      </c>
      <c r="AY52" s="55">
        <f t="shared" si="40"/>
        <v>3.0097098525507013E-11</v>
      </c>
      <c r="AZ52" s="55">
        <f t="shared" si="40"/>
        <v>3.2876281274553725E-12</v>
      </c>
      <c r="BA52" s="55">
        <f t="shared" si="40"/>
        <v>7.8064889040672171E-12</v>
      </c>
      <c r="BB52" s="55">
        <f t="shared" si="40"/>
        <v>8.3489969946181545E-12</v>
      </c>
      <c r="BC52" s="55">
        <f t="shared" si="40"/>
        <v>2.3786522783600881E-11</v>
      </c>
      <c r="BD52" s="55">
        <f t="shared" si="40"/>
        <v>1.3521213278588339E-11</v>
      </c>
      <c r="BE52" s="55">
        <f t="shared" si="40"/>
        <v>2.304515998460725E-11</v>
      </c>
      <c r="BF52" s="55">
        <f t="shared" si="40"/>
        <v>1.450495259843436E-12</v>
      </c>
      <c r="BG52" s="55">
        <f t="shared" si="40"/>
        <v>1.0973612970552981E-11</v>
      </c>
      <c r="BI52" s="112" t="s">
        <v>267</v>
      </c>
      <c r="BJ52" s="5" t="s">
        <v>231</v>
      </c>
      <c r="BK52" s="55">
        <f>((0.023*(BK11^0.8)*(BK15^0.2)*(BK18^0.8)/(BK14*BK19)))*(1/(BK48^3.5))</f>
        <v>1.5425210067633469E-11</v>
      </c>
      <c r="BL52" s="55">
        <f>((0.023*(BL11^0.8)*(BL15^0.2)*(BL18^0.8)/(BL14*BL19)))*(1/(BL48^3.5))</f>
        <v>2.7490473387861636E-12</v>
      </c>
      <c r="BM52" s="55">
        <f>((0.023*(BM11^0.8)*(BM15^0.2)*(BM18^0.8)/(BM14*BM19)))*(1/(BM48^3.5))</f>
        <v>1.1241043773983905E-12</v>
      </c>
      <c r="BO52" s="55">
        <f t="shared" ref="BO52:BV52" si="41">((0.023*(BO11^0.8)*(BO15^0.2)*(BO18^0.8)/(BO14*BO19)))*(1/(BO48^3.5))</f>
        <v>1.2620626418972842E-11</v>
      </c>
      <c r="BP52" s="55">
        <f t="shared" si="41"/>
        <v>1.1106151248696101E-11</v>
      </c>
      <c r="BQ52" s="55">
        <f t="shared" si="41"/>
        <v>9.9162064720500896E-12</v>
      </c>
      <c r="BR52" s="55">
        <f t="shared" si="41"/>
        <v>9.2551260405800847E-12</v>
      </c>
      <c r="BS52" s="55">
        <f t="shared" si="41"/>
        <v>8.4137509459818929E-12</v>
      </c>
      <c r="BT52" s="55">
        <f t="shared" si="41"/>
        <v>7.9329651776400716E-12</v>
      </c>
      <c r="BU52" s="55">
        <f t="shared" si="41"/>
        <v>7.5041562491189865E-12</v>
      </c>
      <c r="BV52" s="55">
        <f t="shared" si="41"/>
        <v>7.1193277235231417E-12</v>
      </c>
    </row>
    <row r="53" spans="8:74" x14ac:dyDescent="0.2">
      <c r="H53" s="104"/>
      <c r="I53" s="5" t="s">
        <v>232</v>
      </c>
      <c r="J53" s="55">
        <f t="shared" ref="J53:BG53" si="42">1.25*J21*J11*(1/J48)^2.5</f>
        <v>1.2233010383399026E-6</v>
      </c>
      <c r="K53" s="55">
        <f t="shared" si="42"/>
        <v>7.4217041155003079E-7</v>
      </c>
      <c r="L53" s="55">
        <f t="shared" si="42"/>
        <v>1.8309173320686748E-6</v>
      </c>
      <c r="M53" s="55">
        <f>1.25*M21*M11*(1/M48)^2.5</f>
        <v>1.1960000897648238E-6</v>
      </c>
      <c r="N53" s="55">
        <f t="shared" si="42"/>
        <v>8.119008692567235E-7</v>
      </c>
      <c r="O53" s="55">
        <f t="shared" si="42"/>
        <v>4.0308625892661093E-6</v>
      </c>
      <c r="P53" s="55">
        <f t="shared" si="42"/>
        <v>1.3334422490369468E-6</v>
      </c>
      <c r="Q53" s="55">
        <f t="shared" si="42"/>
        <v>1.8883047176474225E-6</v>
      </c>
      <c r="R53" s="55">
        <f t="shared" si="42"/>
        <v>1.8883047176474225E-6</v>
      </c>
      <c r="S53" s="55">
        <f t="shared" si="42"/>
        <v>1.876822218072986E-6</v>
      </c>
      <c r="T53" s="55">
        <f t="shared" si="42"/>
        <v>1.8883047176474225E-6</v>
      </c>
      <c r="U53" s="55">
        <f t="shared" si="42"/>
        <v>2.4536569587295955E-6</v>
      </c>
      <c r="V53" s="55">
        <f t="shared" si="42"/>
        <v>4.0525538154371688E-6</v>
      </c>
      <c r="W53" s="55">
        <f t="shared" si="42"/>
        <v>4.0633957987497776E-6</v>
      </c>
      <c r="X53" s="55">
        <f t="shared" si="42"/>
        <v>8.2197774098366832E-7</v>
      </c>
      <c r="Y53" s="55">
        <f t="shared" si="42"/>
        <v>5.1293661815045525E-6</v>
      </c>
      <c r="Z53" s="55">
        <f t="shared" si="42"/>
        <v>4.6481346682705978E-6</v>
      </c>
      <c r="AA53" s="55">
        <f t="shared" si="42"/>
        <v>5.6510121442488623E-6</v>
      </c>
      <c r="AB53" s="55">
        <f t="shared" si="42"/>
        <v>5.1695171044225123E-6</v>
      </c>
      <c r="AC53" s="55">
        <f t="shared" si="42"/>
        <v>1.9688132851607757E-6</v>
      </c>
      <c r="AD53" s="55">
        <f t="shared" si="42"/>
        <v>2.5805482497411836E-6</v>
      </c>
      <c r="AE53" s="55">
        <f t="shared" si="42"/>
        <v>2.4652027175736333E-6</v>
      </c>
      <c r="AF53" s="55">
        <f t="shared" si="42"/>
        <v>2.5113608761601796E-6</v>
      </c>
      <c r="AG53" s="55">
        <f t="shared" si="42"/>
        <v>7.1278129648736476E-7</v>
      </c>
      <c r="AH53" s="55">
        <f t="shared" si="42"/>
        <v>2.4767448248165431E-6</v>
      </c>
      <c r="AI53" s="55">
        <f t="shared" si="42"/>
        <v>1.8997947676608091E-6</v>
      </c>
      <c r="AJ53" s="55">
        <f t="shared" si="42"/>
        <v>2.4998272893238829E-6</v>
      </c>
      <c r="AK53" s="55">
        <f t="shared" si="42"/>
        <v>1.3667541041076189E-6</v>
      </c>
      <c r="AL53" s="55">
        <f t="shared" si="42"/>
        <v>1.3778850955397682E-6</v>
      </c>
      <c r="AM53" s="55">
        <f t="shared" si="42"/>
        <v>2.4652027175736333E-6</v>
      </c>
      <c r="AN53" s="55">
        <f t="shared" si="42"/>
        <v>2.4998272893238829E-6</v>
      </c>
      <c r="AO53" s="55">
        <f t="shared" si="42"/>
        <v>2.4421123054639868E-6</v>
      </c>
      <c r="AP53" s="55">
        <f t="shared" si="42"/>
        <v>1.3223623644671455E-6</v>
      </c>
      <c r="AQ53" s="55">
        <f t="shared" si="42"/>
        <v>5.1092440728332322E-6</v>
      </c>
      <c r="AR53" s="55">
        <f t="shared" si="42"/>
        <v>5.1293661815045525E-6</v>
      </c>
      <c r="AS53" s="55">
        <f t="shared" si="42"/>
        <v>3.5577482887696481E-6</v>
      </c>
      <c r="AT53" s="55">
        <f t="shared" si="42"/>
        <v>2.5574920595444488E-6</v>
      </c>
      <c r="AU53" s="55">
        <f t="shared" si="42"/>
        <v>5.0991695923424546E-6</v>
      </c>
      <c r="AV53" s="55">
        <f t="shared" si="42"/>
        <v>5.5930815473732094E-6</v>
      </c>
      <c r="AW53" s="55">
        <f t="shared" si="42"/>
        <v>5.573710175056375E-6</v>
      </c>
      <c r="AX53" s="55">
        <f t="shared" si="42"/>
        <v>5.1092440728332322E-6</v>
      </c>
      <c r="AY53" s="55">
        <f t="shared" si="42"/>
        <v>6.1134199667558028E-6</v>
      </c>
      <c r="AZ53" s="55">
        <f t="shared" si="42"/>
        <v>1.3445320776692708E-6</v>
      </c>
      <c r="BA53" s="55">
        <f t="shared" si="42"/>
        <v>2.4421123054639868E-6</v>
      </c>
      <c r="BB53" s="55">
        <f t="shared" si="42"/>
        <v>2.5574920595444488E-6</v>
      </c>
      <c r="BC53" s="55">
        <f t="shared" si="42"/>
        <v>5.2195235731987423E-6</v>
      </c>
      <c r="BD53" s="55">
        <f t="shared" si="42"/>
        <v>3.5577482887696481E-6</v>
      </c>
      <c r="BE53" s="55">
        <f t="shared" si="42"/>
        <v>5.1092440728332322E-6</v>
      </c>
      <c r="BF53" s="55">
        <f t="shared" si="42"/>
        <v>7.6193731237991577E-7</v>
      </c>
      <c r="BG53" s="55">
        <f t="shared" si="42"/>
        <v>3.0847157473055184E-6</v>
      </c>
      <c r="BI53" s="104"/>
      <c r="BJ53" s="5" t="s">
        <v>232</v>
      </c>
      <c r="BK53" s="55">
        <f>1.25*BK21*BK11*(1/BK48)^2.5</f>
        <v>1.1960000897648238E-6</v>
      </c>
      <c r="BL53" s="55">
        <f>1.25*BL21*BL11*(1/BL48)^2.5</f>
        <v>1.1960000897648238E-6</v>
      </c>
      <c r="BM53" s="55">
        <f>1.25*BM21*BM11*(1/BM48)^2.5</f>
        <v>1.1960000897648238E-6</v>
      </c>
      <c r="BO53" s="55">
        <f t="shared" ref="BO53:BV53" si="43">1.25*BO21*BO11*(1/BO48)^2.5</f>
        <v>1.1960000897648238E-6</v>
      </c>
      <c r="BP53" s="55">
        <f t="shared" si="43"/>
        <v>1.1960000897648238E-6</v>
      </c>
      <c r="BQ53" s="55">
        <f t="shared" si="43"/>
        <v>1.1960000897648238E-6</v>
      </c>
      <c r="BR53" s="55">
        <f t="shared" si="43"/>
        <v>1.1960000897648238E-6</v>
      </c>
      <c r="BS53" s="55">
        <f t="shared" si="43"/>
        <v>1.1960000897648238E-6</v>
      </c>
      <c r="BT53" s="55">
        <f t="shared" si="43"/>
        <v>1.1960000897648238E-6</v>
      </c>
      <c r="BU53" s="55">
        <f t="shared" si="43"/>
        <v>1.1960000897648238E-6</v>
      </c>
      <c r="BV53" s="55">
        <f t="shared" si="43"/>
        <v>1.1960000897648238E-6</v>
      </c>
    </row>
    <row r="54" spans="8:74" x14ac:dyDescent="0.2">
      <c r="H54" s="104"/>
      <c r="I54" s="5" t="s">
        <v>259</v>
      </c>
      <c r="J54" s="65">
        <f t="shared" ref="J54:X54" si="44">J52*J45*(J50^3.5)+J53*(J50^2.5)</f>
        <v>443.16695672161177</v>
      </c>
      <c r="K54" s="65">
        <f t="shared" si="44"/>
        <v>892.64893343840026</v>
      </c>
      <c r="L54" s="65">
        <f t="shared" si="44"/>
        <v>482.8634331571468</v>
      </c>
      <c r="M54" s="65">
        <f t="shared" si="44"/>
        <v>822.54440479850689</v>
      </c>
      <c r="N54" s="65">
        <f t="shared" si="44"/>
        <v>687.02777389803146</v>
      </c>
      <c r="O54" s="65">
        <f t="shared" si="44"/>
        <v>188.30302470663429</v>
      </c>
      <c r="P54" s="65">
        <f t="shared" si="44"/>
        <v>659.66750358654872</v>
      </c>
      <c r="Q54" s="65">
        <f t="shared" si="44"/>
        <v>580.77146523162037</v>
      </c>
      <c r="R54" s="65">
        <f t="shared" si="44"/>
        <v>674.56418015698637</v>
      </c>
      <c r="S54" s="65">
        <f t="shared" si="44"/>
        <v>498.57242685388064</v>
      </c>
      <c r="T54" s="65">
        <f t="shared" si="44"/>
        <v>623.71148806390181</v>
      </c>
      <c r="U54" s="65">
        <f t="shared" si="44"/>
        <v>405.40293136399532</v>
      </c>
      <c r="V54" s="65">
        <f t="shared" si="44"/>
        <v>221.10464956267657</v>
      </c>
      <c r="W54" s="65">
        <f t="shared" si="44"/>
        <v>241.16712521858005</v>
      </c>
      <c r="X54" s="65">
        <f t="shared" si="44"/>
        <v>818.02700848283416</v>
      </c>
      <c r="Y54" s="65">
        <f t="shared" ref="Y54:BG54" si="45">Y52*Y45*(Y50^3.5)+Y53*(Y50^2.5)</f>
        <v>173.07751226724176</v>
      </c>
      <c r="Z54" s="65">
        <f t="shared" si="45"/>
        <v>232.48644355003447</v>
      </c>
      <c r="AA54" s="65">
        <f t="shared" si="45"/>
        <v>172.50022593250486</v>
      </c>
      <c r="AB54" s="65">
        <f t="shared" si="45"/>
        <v>139.67244282694153</v>
      </c>
      <c r="AC54" s="65">
        <f t="shared" si="45"/>
        <v>537.61710618480311</v>
      </c>
      <c r="AD54" s="65">
        <f t="shared" si="45"/>
        <v>785.98962306608678</v>
      </c>
      <c r="AE54" s="65">
        <f t="shared" si="45"/>
        <v>610.42916821721542</v>
      </c>
      <c r="AF54" s="65">
        <f t="shared" si="45"/>
        <v>789.67488191686698</v>
      </c>
      <c r="AG54" s="65">
        <f t="shared" si="45"/>
        <v>724.0324287518149</v>
      </c>
      <c r="AH54" s="65">
        <f t="shared" si="45"/>
        <v>486.89273568178749</v>
      </c>
      <c r="AI54" s="65">
        <f t="shared" si="45"/>
        <v>317.7411463874426</v>
      </c>
      <c r="AJ54" s="65">
        <f t="shared" si="45"/>
        <v>413.92527675869587</v>
      </c>
      <c r="AK54" s="65">
        <f t="shared" si="45"/>
        <v>664.4940507291011</v>
      </c>
      <c r="AL54" s="65">
        <f t="shared" si="45"/>
        <v>941.19443515523528</v>
      </c>
      <c r="AM54" s="65">
        <f t="shared" si="45"/>
        <v>636.48028269388954</v>
      </c>
      <c r="AN54" s="65">
        <f t="shared" si="45"/>
        <v>372.71124625196597</v>
      </c>
      <c r="AO54" s="65">
        <f t="shared" si="45"/>
        <v>336.19350481410356</v>
      </c>
      <c r="AP54" s="65">
        <f t="shared" si="45"/>
        <v>721.97279750971813</v>
      </c>
      <c r="AQ54" s="65">
        <f t="shared" si="45"/>
        <v>194.26404414214949</v>
      </c>
      <c r="AR54" s="65">
        <f t="shared" si="45"/>
        <v>177.64228149922283</v>
      </c>
      <c r="AS54" s="65">
        <f t="shared" si="45"/>
        <v>306.24848838969257</v>
      </c>
      <c r="AT54" s="65">
        <f t="shared" si="45"/>
        <v>505.17753275285583</v>
      </c>
      <c r="AU54" s="65">
        <f t="shared" si="45"/>
        <v>172.00595553664948</v>
      </c>
      <c r="AV54" s="65">
        <f t="shared" si="45"/>
        <v>178.26803040696291</v>
      </c>
      <c r="AW54" s="65">
        <f t="shared" si="45"/>
        <v>144.9175719070746</v>
      </c>
      <c r="AX54" s="65">
        <f t="shared" si="45"/>
        <v>194.70190216316908</v>
      </c>
      <c r="AY54" s="65">
        <f t="shared" si="45"/>
        <v>193.34587668545402</v>
      </c>
      <c r="AZ54" s="65">
        <f t="shared" si="45"/>
        <v>696.98245332062936</v>
      </c>
      <c r="BA54" s="65">
        <f t="shared" si="45"/>
        <v>313.2241181028146</v>
      </c>
      <c r="BB54" s="65">
        <f t="shared" si="45"/>
        <v>505.17753275285583</v>
      </c>
      <c r="BC54" s="65">
        <f t="shared" si="45"/>
        <v>252.55578517794177</v>
      </c>
      <c r="BD54" s="65">
        <f t="shared" si="45"/>
        <v>322.48653087512855</v>
      </c>
      <c r="BE54" s="65">
        <f t="shared" si="45"/>
        <v>192.38415762543954</v>
      </c>
      <c r="BF54" s="65">
        <f t="shared" si="45"/>
        <v>704.12471983699493</v>
      </c>
      <c r="BG54" s="65">
        <f t="shared" si="45"/>
        <v>509.54379926253699</v>
      </c>
      <c r="BI54" s="104"/>
      <c r="BJ54" s="5" t="s">
        <v>259</v>
      </c>
      <c r="BK54" s="65">
        <f>BK52*BK45*(BK50^3.5)+BK53*(BK50^2.5)</f>
        <v>48.499205529823811</v>
      </c>
      <c r="BL54" s="65">
        <f>BL52*BL45*(BL50^3.5)+BL53*(BL50^2.5)</f>
        <v>828.41753563089264</v>
      </c>
      <c r="BM54" s="65">
        <f>BM52*BM45*(BM50^3.5)+BM53*(BM50^2.5)</f>
        <v>3283.8265717181303</v>
      </c>
      <c r="BO54" s="65">
        <f t="shared" ref="BO54:BV54" si="46">BO52*BO45*(BO50^3.5)+BO53*(BO50^2.5)</f>
        <v>47.897493006862604</v>
      </c>
      <c r="BP54" s="65">
        <f t="shared" si="46"/>
        <v>48.375123387660864</v>
      </c>
      <c r="BQ54" s="65">
        <f t="shared" si="46"/>
        <v>47.569561552515772</v>
      </c>
      <c r="BR54" s="65">
        <f t="shared" si="46"/>
        <v>47.279981163303944</v>
      </c>
      <c r="BS54" s="65">
        <f t="shared" si="46"/>
        <v>47.939100097136013</v>
      </c>
      <c r="BT54" s="65">
        <f t="shared" si="46"/>
        <v>134.98830547731879</v>
      </c>
      <c r="BU54" s="65">
        <f t="shared" si="46"/>
        <v>145.44239309706489</v>
      </c>
      <c r="BV54" s="65">
        <f t="shared" si="46"/>
        <v>147.64398427028627</v>
      </c>
    </row>
    <row r="55" spans="8:74" x14ac:dyDescent="0.2">
      <c r="H55" s="104"/>
      <c r="I55" s="5" t="s">
        <v>233</v>
      </c>
      <c r="J55" s="71">
        <f t="shared" ref="J55:BG55" si="47">J54/1000000</f>
        <v>4.4316695672161176E-4</v>
      </c>
      <c r="K55" s="71">
        <f t="shared" si="47"/>
        <v>8.9264893343840026E-4</v>
      </c>
      <c r="L55" s="71">
        <f t="shared" si="47"/>
        <v>4.828634331571468E-4</v>
      </c>
      <c r="M55" s="71">
        <f>M54/1000000</f>
        <v>8.2254440479850692E-4</v>
      </c>
      <c r="N55" s="71">
        <f t="shared" si="47"/>
        <v>6.8702777389803148E-4</v>
      </c>
      <c r="O55" s="71">
        <f t="shared" si="47"/>
        <v>1.883030247066343E-4</v>
      </c>
      <c r="P55" s="71">
        <f t="shared" si="47"/>
        <v>6.5966750358654872E-4</v>
      </c>
      <c r="Q55" s="71">
        <f t="shared" si="47"/>
        <v>5.8077146523162037E-4</v>
      </c>
      <c r="R55" s="71">
        <f t="shared" si="47"/>
        <v>6.7456418015698634E-4</v>
      </c>
      <c r="S55" s="71">
        <f t="shared" si="47"/>
        <v>4.9857242685388066E-4</v>
      </c>
      <c r="T55" s="71">
        <f t="shared" si="47"/>
        <v>6.2371148806390179E-4</v>
      </c>
      <c r="U55" s="71">
        <f t="shared" si="47"/>
        <v>4.0540293136399533E-4</v>
      </c>
      <c r="V55" s="71">
        <f t="shared" si="47"/>
        <v>2.2110464956267656E-4</v>
      </c>
      <c r="W55" s="71">
        <f t="shared" si="47"/>
        <v>2.4116712521858006E-4</v>
      </c>
      <c r="X55" s="71">
        <f t="shared" si="47"/>
        <v>8.1802700848283415E-4</v>
      </c>
      <c r="Y55" s="71">
        <f t="shared" si="47"/>
        <v>1.7307751226724175E-4</v>
      </c>
      <c r="Z55" s="71">
        <f t="shared" si="47"/>
        <v>2.3248644355003447E-4</v>
      </c>
      <c r="AA55" s="71">
        <f t="shared" si="47"/>
        <v>1.7250022593250487E-4</v>
      </c>
      <c r="AB55" s="71">
        <f t="shared" si="47"/>
        <v>1.3967244282694154E-4</v>
      </c>
      <c r="AC55" s="71">
        <f t="shared" si="47"/>
        <v>5.3761710618480314E-4</v>
      </c>
      <c r="AD55" s="71">
        <f t="shared" si="47"/>
        <v>7.8598962306608675E-4</v>
      </c>
      <c r="AE55" s="71">
        <f t="shared" si="47"/>
        <v>6.1042916821721545E-4</v>
      </c>
      <c r="AF55" s="71">
        <f t="shared" si="47"/>
        <v>7.8967488191686698E-4</v>
      </c>
      <c r="AG55" s="71">
        <f t="shared" si="47"/>
        <v>7.2403242875181486E-4</v>
      </c>
      <c r="AH55" s="71">
        <f t="shared" si="47"/>
        <v>4.8689273568178746E-4</v>
      </c>
      <c r="AI55" s="71">
        <f t="shared" si="47"/>
        <v>3.1774114638744261E-4</v>
      </c>
      <c r="AJ55" s="71">
        <f t="shared" si="47"/>
        <v>4.1392527675869587E-4</v>
      </c>
      <c r="AK55" s="71">
        <f t="shared" si="47"/>
        <v>6.6449405072910111E-4</v>
      </c>
      <c r="AL55" s="71">
        <f t="shared" si="47"/>
        <v>9.4119443515523532E-4</v>
      </c>
      <c r="AM55" s="71">
        <f t="shared" si="47"/>
        <v>6.3648028269388949E-4</v>
      </c>
      <c r="AN55" s="71">
        <f t="shared" si="47"/>
        <v>3.7271124625196599E-4</v>
      </c>
      <c r="AO55" s="71">
        <f t="shared" si="47"/>
        <v>3.3619350481410354E-4</v>
      </c>
      <c r="AP55" s="71">
        <f t="shared" si="47"/>
        <v>7.2197279750971818E-4</v>
      </c>
      <c r="AQ55" s="71">
        <f t="shared" si="47"/>
        <v>1.942640441421495E-4</v>
      </c>
      <c r="AR55" s="71">
        <f t="shared" si="47"/>
        <v>1.7764228149922282E-4</v>
      </c>
      <c r="AS55" s="71">
        <f t="shared" si="47"/>
        <v>3.0624848838969258E-4</v>
      </c>
      <c r="AT55" s="71">
        <f t="shared" si="47"/>
        <v>5.0517753275285582E-4</v>
      </c>
      <c r="AU55" s="71">
        <f t="shared" si="47"/>
        <v>1.7200595553664948E-4</v>
      </c>
      <c r="AV55" s="71">
        <f t="shared" si="47"/>
        <v>1.782680304069629E-4</v>
      </c>
      <c r="AW55" s="71">
        <f t="shared" si="47"/>
        <v>1.4491757190707459E-4</v>
      </c>
      <c r="AX55" s="71">
        <f t="shared" si="47"/>
        <v>1.9470190216316907E-4</v>
      </c>
      <c r="AY55" s="71">
        <f t="shared" si="47"/>
        <v>1.9334587668545401E-4</v>
      </c>
      <c r="AZ55" s="71">
        <f t="shared" si="47"/>
        <v>6.9698245332062937E-4</v>
      </c>
      <c r="BA55" s="71">
        <f t="shared" si="47"/>
        <v>3.1322411810281461E-4</v>
      </c>
      <c r="BB55" s="71">
        <f t="shared" si="47"/>
        <v>5.0517753275285582E-4</v>
      </c>
      <c r="BC55" s="71">
        <f t="shared" si="47"/>
        <v>2.5255578517794177E-4</v>
      </c>
      <c r="BD55" s="71">
        <f t="shared" si="47"/>
        <v>3.2248653087512855E-4</v>
      </c>
      <c r="BE55" s="71">
        <f t="shared" si="47"/>
        <v>1.9238415762543954E-4</v>
      </c>
      <c r="BF55" s="71">
        <f t="shared" si="47"/>
        <v>7.041247198369949E-4</v>
      </c>
      <c r="BG55" s="71">
        <f t="shared" si="47"/>
        <v>5.0954379926253701E-4</v>
      </c>
      <c r="BI55" s="104"/>
      <c r="BJ55" s="5" t="s">
        <v>233</v>
      </c>
      <c r="BK55" s="71">
        <f>BK54/1000000</f>
        <v>4.849920552982381E-5</v>
      </c>
      <c r="BL55" s="71">
        <f>BL54/1000000</f>
        <v>8.2841753563089263E-4</v>
      </c>
      <c r="BM55" s="71">
        <f>BM54/1000000</f>
        <v>3.2838265717181304E-3</v>
      </c>
      <c r="BO55" s="71">
        <f t="shared" ref="BO55:BV55" si="48">BO54/1000000</f>
        <v>4.7897493006862601E-5</v>
      </c>
      <c r="BP55" s="71">
        <f t="shared" si="48"/>
        <v>4.8375123387660864E-5</v>
      </c>
      <c r="BQ55" s="71">
        <f t="shared" si="48"/>
        <v>4.7569561552515769E-5</v>
      </c>
      <c r="BR55" s="71">
        <f t="shared" si="48"/>
        <v>4.7279981163303943E-5</v>
      </c>
      <c r="BS55" s="71">
        <f t="shared" si="48"/>
        <v>4.7939100097136014E-5</v>
      </c>
      <c r="BT55" s="71">
        <f t="shared" si="48"/>
        <v>1.3498830547731879E-4</v>
      </c>
      <c r="BU55" s="71">
        <f t="shared" si="48"/>
        <v>1.454423930970649E-4</v>
      </c>
      <c r="BV55" s="71">
        <f t="shared" si="48"/>
        <v>1.4764398427028627E-4</v>
      </c>
    </row>
    <row r="56" spans="8:74" x14ac:dyDescent="0.2">
      <c r="I56" s="5"/>
      <c r="BJ56" s="5"/>
    </row>
    <row r="57" spans="8:74" x14ac:dyDescent="0.2">
      <c r="H57" s="110" t="s">
        <v>271</v>
      </c>
      <c r="I57" s="5" t="s">
        <v>252</v>
      </c>
      <c r="J57" s="65">
        <f t="shared" ref="J57:BG57" si="49">(0.24*1*1*0.8*0.8*(J27^0.64)*(J28^1/3)*(J29^2/3))/((J31^0.307)*(J19^0.36))</f>
        <v>58809.457288626931</v>
      </c>
      <c r="K57" s="65">
        <f t="shared" si="49"/>
        <v>58324.29419219878</v>
      </c>
      <c r="L57" s="65">
        <f t="shared" si="49"/>
        <v>58864.711392693425</v>
      </c>
      <c r="M57" s="65">
        <f>(0.24*1*1*0.8*0.8*(M27^0.64)*(M28^1/3)*(M29^2/3))/((M31^0.307)*(M19^0.36))</f>
        <v>58913.88972387994</v>
      </c>
      <c r="N57" s="65">
        <f t="shared" si="49"/>
        <v>57655.403376051916</v>
      </c>
      <c r="O57" s="65">
        <f t="shared" si="49"/>
        <v>59908.665431127039</v>
      </c>
      <c r="P57" s="65">
        <f t="shared" si="49"/>
        <v>57970.455234573747</v>
      </c>
      <c r="Q57" s="65">
        <f t="shared" si="49"/>
        <v>58440.540850945668</v>
      </c>
      <c r="R57" s="65">
        <f t="shared" si="49"/>
        <v>58386.142609568473</v>
      </c>
      <c r="S57" s="65">
        <f t="shared" si="49"/>
        <v>58511.941296164645</v>
      </c>
      <c r="T57" s="65">
        <f t="shared" si="49"/>
        <v>58417.043747146148</v>
      </c>
      <c r="U57" s="65">
        <f t="shared" si="49"/>
        <v>58771.992693521672</v>
      </c>
      <c r="V57" s="65">
        <f t="shared" si="49"/>
        <v>59829.605116040271</v>
      </c>
      <c r="W57" s="65">
        <f t="shared" si="49"/>
        <v>59792.171330774967</v>
      </c>
      <c r="X57" s="65">
        <f t="shared" si="49"/>
        <v>57340.041011034577</v>
      </c>
      <c r="Y57" s="65">
        <f t="shared" si="49"/>
        <v>59995.865034127622</v>
      </c>
      <c r="Z57" s="65">
        <f t="shared" si="49"/>
        <v>59666.318869631723</v>
      </c>
      <c r="AA57" s="65">
        <f t="shared" si="49"/>
        <v>60002.295091244348</v>
      </c>
      <c r="AB57" s="65">
        <f t="shared" si="49"/>
        <v>59751.296288515652</v>
      </c>
      <c r="AC57" s="65">
        <f t="shared" si="49"/>
        <v>57426.157371094625</v>
      </c>
      <c r="AD57" s="65">
        <f t="shared" si="49"/>
        <v>57325.183664499229</v>
      </c>
      <c r="AE57" s="65">
        <f t="shared" si="49"/>
        <v>58605.770622084558</v>
      </c>
      <c r="AF57" s="65">
        <f t="shared" si="49"/>
        <v>57923.511328812718</v>
      </c>
      <c r="AG57" s="65">
        <f t="shared" si="49"/>
        <v>58456.017728081482</v>
      </c>
      <c r="AH57" s="65">
        <f t="shared" si="49"/>
        <v>58471.503267498207</v>
      </c>
      <c r="AI57" s="65">
        <f t="shared" si="49"/>
        <v>58345.889438826314</v>
      </c>
      <c r="AJ57" s="65">
        <f t="shared" si="49"/>
        <v>58180.834060216184</v>
      </c>
      <c r="AK57" s="65">
        <f>(0.24*1*1*0.8*0.8*(AK27^0.64)*(AK28^1/3)*(AK29^2/3))/((AK31^0.307)*(AK19^0.36))</f>
        <v>57560.73918353326</v>
      </c>
      <c r="AL57" s="65">
        <f>(0.24*1*1*0.8*0.8*(AL27^0.64)*(AL28^1/3)*(AL29^2/3))/((AL31^0.307)*(AL19^0.36))</f>
        <v>57433.776872722083</v>
      </c>
      <c r="AM57" s="65">
        <f t="shared" si="49"/>
        <v>58590.112257840439</v>
      </c>
      <c r="AN57" s="65">
        <f t="shared" si="49"/>
        <v>58219.362801207782</v>
      </c>
      <c r="AO57" s="65">
        <f t="shared" si="49"/>
        <v>58857.061746182335</v>
      </c>
      <c r="AP57" s="65">
        <f t="shared" si="49"/>
        <v>58141.370107269977</v>
      </c>
      <c r="AQ57" s="65">
        <f t="shared" si="49"/>
        <v>60126.721273738782</v>
      </c>
      <c r="AR57" s="65">
        <f t="shared" si="49"/>
        <v>59985.899922954886</v>
      </c>
      <c r="AS57" s="65">
        <f t="shared" si="49"/>
        <v>59397.835374528513</v>
      </c>
      <c r="AT57" s="65">
        <f t="shared" si="49"/>
        <v>57472.720455821735</v>
      </c>
      <c r="AU57" s="65">
        <f t="shared" si="49"/>
        <v>60179.566800654939</v>
      </c>
      <c r="AV57" s="65">
        <f t="shared" si="49"/>
        <v>60297.639136240025</v>
      </c>
      <c r="AW57" s="65">
        <f t="shared" si="49"/>
        <v>60393.061084760804</v>
      </c>
      <c r="AX57" s="65">
        <f t="shared" si="49"/>
        <v>60126.721273738782</v>
      </c>
      <c r="AY57" s="65">
        <f t="shared" si="49"/>
        <v>60228.056604915895</v>
      </c>
      <c r="AZ57" s="65">
        <f t="shared" si="49"/>
        <v>57937.222885087162</v>
      </c>
      <c r="BA57" s="65">
        <f t="shared" si="49"/>
        <v>58878.935712118764</v>
      </c>
      <c r="BB57" s="65">
        <f t="shared" si="49"/>
        <v>57472.720455821735</v>
      </c>
      <c r="BC57" s="65">
        <f t="shared" si="49"/>
        <v>58997.980573893743</v>
      </c>
      <c r="BD57" s="65">
        <f t="shared" si="49"/>
        <v>59373.533299592185</v>
      </c>
      <c r="BE57" s="65">
        <f t="shared" si="49"/>
        <v>60126.721273738782</v>
      </c>
      <c r="BF57" s="65">
        <f t="shared" si="49"/>
        <v>58179.351975324105</v>
      </c>
      <c r="BG57" s="65">
        <f t="shared" si="49"/>
        <v>58196.654068592747</v>
      </c>
      <c r="BI57" s="110" t="s">
        <v>271</v>
      </c>
      <c r="BJ57" s="5" t="s">
        <v>252</v>
      </c>
      <c r="BK57" s="65">
        <f>(0.24*1*1*0.8*0.8*(BK27^0.64)*(BK28^1/3)*(BK29^2/3))/((BK31^0.307)*(BK19^0.36))</f>
        <v>58913.88972387994</v>
      </c>
      <c r="BL57" s="65">
        <f>(0.24*1*1*0.8*0.8*(BL27^0.64)*(BL28^1/3)*(BL29^2/3))/((BL31^0.307)*(BL19^0.36))</f>
        <v>58913.88972387994</v>
      </c>
      <c r="BM57" s="65">
        <f>(0.24*1*1*0.8*0.8*(BM27^0.64)*(BM28^1/3)*(BM29^2/3))/((BM31^0.307)*(BM19^0.36))</f>
        <v>58913.88972387994</v>
      </c>
      <c r="BO57" s="65">
        <f t="shared" ref="BO57:BV57" si="50">(0.24*1*1*0.8*0.8*(BO27^0.64)*(BO28^1/3)*(BO29^2/3))/((BO31^0.307)*(BO19^0.36))</f>
        <v>58913.88972387994</v>
      </c>
      <c r="BP57" s="65">
        <f t="shared" si="50"/>
        <v>58913.88972387994</v>
      </c>
      <c r="BQ57" s="65">
        <f t="shared" si="50"/>
        <v>58913.88972387994</v>
      </c>
      <c r="BR57" s="65">
        <f t="shared" si="50"/>
        <v>58913.88972387994</v>
      </c>
      <c r="BS57" s="65">
        <f t="shared" si="50"/>
        <v>58913.88972387994</v>
      </c>
      <c r="BT57" s="65">
        <f t="shared" si="50"/>
        <v>58913.88972387994</v>
      </c>
      <c r="BU57" s="65">
        <f t="shared" si="50"/>
        <v>58913.88972387994</v>
      </c>
      <c r="BV57" s="65">
        <f t="shared" si="50"/>
        <v>58913.88972387994</v>
      </c>
    </row>
    <row r="58" spans="8:74" x14ac:dyDescent="0.2">
      <c r="H58" s="111"/>
      <c r="I58" s="5" t="s">
        <v>333</v>
      </c>
      <c r="J58" s="65">
        <f t="shared" ref="J58:BG58" si="51">J57*J40^0.64</f>
        <v>74323.062557536323</v>
      </c>
      <c r="K58" s="65">
        <f t="shared" si="51"/>
        <v>97415.692844941572</v>
      </c>
      <c r="L58" s="65">
        <f t="shared" si="51"/>
        <v>73829.63930896463</v>
      </c>
      <c r="M58" s="65">
        <f>M57*M40^0.64</f>
        <v>89878.876563066486</v>
      </c>
      <c r="N58" s="65">
        <f t="shared" si="51"/>
        <v>91989.957882195493</v>
      </c>
      <c r="O58" s="65">
        <f t="shared" si="51"/>
        <v>47322.292954884259</v>
      </c>
      <c r="P58" s="65">
        <f t="shared" si="51"/>
        <v>87124.215712865524</v>
      </c>
      <c r="Q58" s="65">
        <f t="shared" si="51"/>
        <v>79805.187594426839</v>
      </c>
      <c r="R58" s="65">
        <f t="shared" si="51"/>
        <v>83916.358424086924</v>
      </c>
      <c r="S58" s="65">
        <f t="shared" si="51"/>
        <v>75832.021732229186</v>
      </c>
      <c r="T58" s="65">
        <f t="shared" si="51"/>
        <v>81741.886614262461</v>
      </c>
      <c r="U58" s="65">
        <f t="shared" si="51"/>
        <v>68413.06655367151</v>
      </c>
      <c r="V58" s="65">
        <f t="shared" si="51"/>
        <v>49983.571046629811</v>
      </c>
      <c r="W58" s="65">
        <f t="shared" si="51"/>
        <v>51488.749858522206</v>
      </c>
      <c r="X58" s="65">
        <f t="shared" si="51"/>
        <v>98467.887279080009</v>
      </c>
      <c r="Y58" s="65">
        <f t="shared" si="51"/>
        <v>43931.450392243714</v>
      </c>
      <c r="Z58" s="65">
        <f t="shared" si="51"/>
        <v>50202.438026483796</v>
      </c>
      <c r="AA58" s="65">
        <f t="shared" si="51"/>
        <v>42972.001928271689</v>
      </c>
      <c r="AB58" s="65">
        <f t="shared" si="51"/>
        <v>41648.594641585856</v>
      </c>
      <c r="AC58" s="65">
        <f t="shared" si="51"/>
        <v>82170.283887388941</v>
      </c>
      <c r="AD58" s="65">
        <f t="shared" si="51"/>
        <v>91458.625728261293</v>
      </c>
      <c r="AE58" s="65">
        <f t="shared" si="51"/>
        <v>78527.531171704439</v>
      </c>
      <c r="AF58" s="65">
        <f t="shared" si="51"/>
        <v>88354.44847701455</v>
      </c>
      <c r="AG58" s="65">
        <f t="shared" si="51"/>
        <v>90907.055030445394</v>
      </c>
      <c r="AH58" s="65">
        <f t="shared" si="51"/>
        <v>73675.253378703346</v>
      </c>
      <c r="AI58" s="65">
        <f t="shared" si="51"/>
        <v>66342.714015047357</v>
      </c>
      <c r="AJ58" s="65">
        <f t="shared" si="51"/>
        <v>71155.334033141204</v>
      </c>
      <c r="AK58" s="65">
        <f t="shared" si="51"/>
        <v>89068.184139283927</v>
      </c>
      <c r="AL58" s="65">
        <f t="shared" si="51"/>
        <v>99968.71046612566</v>
      </c>
      <c r="AM58" s="65">
        <f t="shared" si="51"/>
        <v>79643.330980426588</v>
      </c>
      <c r="AN58" s="65">
        <f t="shared" si="51"/>
        <v>68693.981477605237</v>
      </c>
      <c r="AO58" s="65">
        <f t="shared" si="51"/>
        <v>64236.852711752632</v>
      </c>
      <c r="AP58" s="65">
        <f t="shared" si="51"/>
        <v>88973.247190059657</v>
      </c>
      <c r="AQ58" s="65">
        <f t="shared" si="51"/>
        <v>45289.013258898362</v>
      </c>
      <c r="AR58" s="65">
        <f t="shared" si="51"/>
        <v>44326.574368232876</v>
      </c>
      <c r="AS58" s="65">
        <f t="shared" si="51"/>
        <v>57927.742414795131</v>
      </c>
      <c r="AT58" s="65">
        <f t="shared" si="51"/>
        <v>78894.275211100205</v>
      </c>
      <c r="AU58" s="65">
        <f t="shared" si="51"/>
        <v>43438.868179829144</v>
      </c>
      <c r="AV58" s="65">
        <f t="shared" si="51"/>
        <v>42712.084170158334</v>
      </c>
      <c r="AW58" s="65">
        <f t="shared" si="51"/>
        <v>39782.622912757215</v>
      </c>
      <c r="AX58" s="65">
        <f t="shared" si="51"/>
        <v>45324.671854586595</v>
      </c>
      <c r="AY58" s="65">
        <f t="shared" si="51"/>
        <v>43094.597196372313</v>
      </c>
      <c r="AZ58" s="65">
        <f t="shared" si="51"/>
        <v>88728.753020409524</v>
      </c>
      <c r="BA58" s="65">
        <f t="shared" si="51"/>
        <v>62715.456282580861</v>
      </c>
      <c r="BB58" s="65">
        <f t="shared" si="51"/>
        <v>78894.275211100205</v>
      </c>
      <c r="BC58" s="65">
        <f t="shared" si="51"/>
        <v>52710.198386268508</v>
      </c>
      <c r="BD58" s="65">
        <f t="shared" si="51"/>
        <v>58950.638682854762</v>
      </c>
      <c r="BE58" s="65">
        <f t="shared" si="51"/>
        <v>45135.319389253571</v>
      </c>
      <c r="BF58" s="65">
        <f t="shared" si="51"/>
        <v>90920.030278898601</v>
      </c>
      <c r="BG58" s="65">
        <f t="shared" si="51"/>
        <v>74378.036337547921</v>
      </c>
      <c r="BI58" s="111"/>
      <c r="BJ58" s="5" t="s">
        <v>253</v>
      </c>
      <c r="BK58" s="65">
        <f>BK57*BK40^0.64</f>
        <v>36898.437542898668</v>
      </c>
      <c r="BL58" s="65">
        <f>BL57*BL40^0.64</f>
        <v>90097.524185560658</v>
      </c>
      <c r="BM58" s="65">
        <f>BM57*BM40^0.64</f>
        <v>137895.7317095644</v>
      </c>
      <c r="BO58" s="65">
        <f t="shared" ref="BO58:BV58" si="52">BO57*BO40^0.64</f>
        <v>36741.763191778315</v>
      </c>
      <c r="BP58" s="65">
        <f t="shared" si="52"/>
        <v>36866.234681679874</v>
      </c>
      <c r="BQ58" s="65">
        <f t="shared" si="52"/>
        <v>36655.827167823889</v>
      </c>
      <c r="BR58" s="65">
        <f t="shared" si="52"/>
        <v>36579.614635885024</v>
      </c>
      <c r="BS58" s="65">
        <f t="shared" si="52"/>
        <v>36752.638664074875</v>
      </c>
      <c r="BT58" s="65">
        <f t="shared" si="52"/>
        <v>50866.069196789314</v>
      </c>
      <c r="BU58" s="65">
        <f t="shared" si="52"/>
        <v>52176.821504963707</v>
      </c>
      <c r="BV58" s="65">
        <f t="shared" si="52"/>
        <v>52444.850548577888</v>
      </c>
    </row>
    <row r="59" spans="8:74" x14ac:dyDescent="0.2">
      <c r="I59" s="5"/>
      <c r="BJ59" s="5"/>
    </row>
    <row r="60" spans="8:74" x14ac:dyDescent="0.2">
      <c r="H60" s="112" t="s">
        <v>268</v>
      </c>
      <c r="I60" s="5" t="s">
        <v>241</v>
      </c>
      <c r="J60" s="65">
        <f t="shared" ref="J60:BG60" si="53">1.298*((J41*J36*(1-J37)*(J27^0.83)*(J31^0.17))/(J35*(J19^0.17)))</f>
        <v>3209.4235468203415</v>
      </c>
      <c r="K60" s="65">
        <f t="shared" si="53"/>
        <v>2081.7262949568544</v>
      </c>
      <c r="L60" s="65">
        <f t="shared" si="53"/>
        <v>3246.7356480006138</v>
      </c>
      <c r="M60" s="65">
        <f>1.298*((M41*M36*(1-M37)*(M27^0.83)*(M31^0.17))/(M35*(M19^0.17)))</f>
        <v>2390.086604246243</v>
      </c>
      <c r="N60" s="65">
        <f t="shared" si="53"/>
        <v>2244.6193062699804</v>
      </c>
      <c r="O60" s="65">
        <f t="shared" si="53"/>
        <v>6646.9031156833726</v>
      </c>
      <c r="P60" s="65">
        <f t="shared" si="53"/>
        <v>2459.8902379222418</v>
      </c>
      <c r="Q60" s="65">
        <f t="shared" si="53"/>
        <v>2849.6424346678132</v>
      </c>
      <c r="R60" s="65">
        <f t="shared" si="53"/>
        <v>2631.5228249919696</v>
      </c>
      <c r="S60" s="65">
        <f t="shared" si="53"/>
        <v>3090.9486761143371</v>
      </c>
      <c r="T60" s="65">
        <f t="shared" si="53"/>
        <v>2743.4862132838284</v>
      </c>
      <c r="U60" s="65">
        <f t="shared" si="53"/>
        <v>3650.2077483092476</v>
      </c>
      <c r="V60" s="65">
        <f t="shared" si="53"/>
        <v>6092.3586719321302</v>
      </c>
      <c r="W60" s="65">
        <f t="shared" si="53"/>
        <v>5811.957669011982</v>
      </c>
      <c r="X60" s="65">
        <f t="shared" si="53"/>
        <v>2004.7143508248996</v>
      </c>
      <c r="Y60" s="65">
        <f t="shared" si="53"/>
        <v>7479.0416294527813</v>
      </c>
      <c r="Z60" s="65">
        <f t="shared" si="53"/>
        <v>6030.6942797563643</v>
      </c>
      <c r="AA60" s="65">
        <f t="shared" si="53"/>
        <v>7742.569982233681</v>
      </c>
      <c r="AB60" s="65">
        <f t="shared" si="53"/>
        <v>8088.7946906415109</v>
      </c>
      <c r="AC60" s="65">
        <f t="shared" si="53"/>
        <v>2664.5771915705627</v>
      </c>
      <c r="AD60" s="65">
        <f t="shared" si="53"/>
        <v>2249.1790397714972</v>
      </c>
      <c r="AE60" s="65">
        <f t="shared" si="53"/>
        <v>2932.5439311197615</v>
      </c>
      <c r="AF60" s="65">
        <f t="shared" si="53"/>
        <v>2404.2155196702415</v>
      </c>
      <c r="AG60" s="65">
        <f t="shared" si="53"/>
        <v>2325.6555679286403</v>
      </c>
      <c r="AH60" s="65">
        <f t="shared" si="53"/>
        <v>3230.7565270608302</v>
      </c>
      <c r="AI60" s="65">
        <f t="shared" si="53"/>
        <v>3795.7624723569988</v>
      </c>
      <c r="AJ60" s="65">
        <f t="shared" si="53"/>
        <v>3390.5487139858806</v>
      </c>
      <c r="AK60" s="65">
        <f>1.298*((AK41*AK36*(1-AK37)*(AK27^0.83)*(AK31^0.17))/(AK35*(AK19^0.17)))</f>
        <v>2355.983407236743</v>
      </c>
      <c r="AL60" s="65">
        <f t="shared" si="53"/>
        <v>1961.7950975038264</v>
      </c>
      <c r="AM60" s="65">
        <f t="shared" si="53"/>
        <v>2867.6490178881804</v>
      </c>
      <c r="AN60" s="65">
        <f t="shared" si="53"/>
        <v>3585.1718478243115</v>
      </c>
      <c r="AO60" s="65">
        <f t="shared" si="53"/>
        <v>4034.8415596966156</v>
      </c>
      <c r="AP60" s="65">
        <f t="shared" si="53"/>
        <v>2389.2935860874454</v>
      </c>
      <c r="AQ60" s="65">
        <f t="shared" si="53"/>
        <v>7151.3683506027946</v>
      </c>
      <c r="AR60" s="65">
        <f t="shared" si="53"/>
        <v>7373.5732570020864</v>
      </c>
      <c r="AS60" s="65">
        <f t="shared" si="53"/>
        <v>4795.6138751686212</v>
      </c>
      <c r="AT60" s="65">
        <f t="shared" si="53"/>
        <v>2842.2960136542242</v>
      </c>
      <c r="AU60" s="65">
        <f t="shared" si="53"/>
        <v>7641.1284007739523</v>
      </c>
      <c r="AV60" s="65">
        <f t="shared" si="53"/>
        <v>7864.1073675197822</v>
      </c>
      <c r="AW60" s="65">
        <f t="shared" si="53"/>
        <v>8804.5770343885215</v>
      </c>
      <c r="AX60" s="65">
        <f t="shared" si="53"/>
        <v>7142.5792866733327</v>
      </c>
      <c r="AY60" s="65">
        <f t="shared" si="53"/>
        <v>7744.4359244963243</v>
      </c>
      <c r="AZ60" s="65">
        <f t="shared" si="53"/>
        <v>2389.0728247116554</v>
      </c>
      <c r="BA60" s="65">
        <f t="shared" si="53"/>
        <v>4190.6986634727473</v>
      </c>
      <c r="BB60" s="65">
        <f t="shared" si="53"/>
        <v>2842.2960136542242</v>
      </c>
      <c r="BC60" s="65">
        <f t="shared" si="53"/>
        <v>5511.9016163075066</v>
      </c>
      <c r="BD60" s="65">
        <f t="shared" si="53"/>
        <v>4663.8743259518606</v>
      </c>
      <c r="BE60" s="65">
        <f t="shared" si="53"/>
        <v>7189.4542942971138</v>
      </c>
      <c r="BF60" s="65">
        <f t="shared" si="53"/>
        <v>2311.6613885880465</v>
      </c>
      <c r="BG60" s="65">
        <f t="shared" si="53"/>
        <v>3164.9001340841282</v>
      </c>
      <c r="BI60" s="112" t="s">
        <v>268</v>
      </c>
      <c r="BJ60" s="5" t="s">
        <v>241</v>
      </c>
      <c r="BK60" s="65">
        <f>1.298*((BK41*BK36*(1-BK37)*(BK27^0.83)*(BK31^0.17))/(BK35*(BK19^0.17)))</f>
        <v>1729.1243828250597</v>
      </c>
      <c r="BL60" s="65">
        <f>1.298*((BL41*BL36*(1-BL37)*(BL27^0.83)*(BL31^0.17))/(BL35*(BL19^0.17)))</f>
        <v>2404.8402252601095</v>
      </c>
      <c r="BM60" s="65">
        <f>1.298*((BM41*BM36*(1-BM37)*(BM27^0.83)*(BM31^0.17))/(BM35*(BM19^0.17)))</f>
        <v>3024.4923078424686</v>
      </c>
      <c r="BO60" s="65">
        <f t="shared" ref="BO60:BV60" si="54">1.298*((BO41*BO36*(1-BO37)*(BO27^0.83)*(BO31^0.17))/(BO35*(BO19^0.17)))</f>
        <v>2127.4721501994336</v>
      </c>
      <c r="BP60" s="65">
        <f t="shared" si="54"/>
        <v>2404.840225260109</v>
      </c>
      <c r="BQ60" s="65">
        <f t="shared" si="54"/>
        <v>2717.6169907540607</v>
      </c>
      <c r="BR60" s="65">
        <f t="shared" si="54"/>
        <v>2921.2169607454089</v>
      </c>
      <c r="BS60" s="65">
        <f t="shared" si="54"/>
        <v>3189.7328631977634</v>
      </c>
      <c r="BT60" s="65">
        <f t="shared" si="54"/>
        <v>2035.9996999134664</v>
      </c>
      <c r="BU60" s="65">
        <f t="shared" si="54"/>
        <v>2068.4576661439714</v>
      </c>
      <c r="BV60" s="65">
        <f t="shared" si="54"/>
        <v>2162.8808406327116</v>
      </c>
    </row>
    <row r="61" spans="8:74" x14ac:dyDescent="0.2">
      <c r="H61" s="104"/>
      <c r="I61" s="5" t="s">
        <v>244</v>
      </c>
      <c r="J61" s="65">
        <f t="shared" ref="J61:BG61" si="55">J60*(J40^1.83)</f>
        <v>6268.4196470690922</v>
      </c>
      <c r="K61" s="65">
        <f t="shared" si="55"/>
        <v>9024.7164523824467</v>
      </c>
      <c r="L61" s="65">
        <f t="shared" si="55"/>
        <v>6204.9748515469964</v>
      </c>
      <c r="M61" s="65">
        <f>M60*(M40^1.83)</f>
        <v>7997.1862400736245</v>
      </c>
      <c r="N61" s="65">
        <f t="shared" si="55"/>
        <v>8537.1131932247299</v>
      </c>
      <c r="O61" s="65">
        <f t="shared" si="55"/>
        <v>3386.5002255362733</v>
      </c>
      <c r="P61" s="65">
        <f t="shared" si="55"/>
        <v>7885.5348392811411</v>
      </c>
      <c r="Q61" s="65">
        <f t="shared" si="55"/>
        <v>6945.6376004733847</v>
      </c>
      <c r="R61" s="65">
        <f t="shared" si="55"/>
        <v>7424.4461051882799</v>
      </c>
      <c r="S61" s="65">
        <f t="shared" si="55"/>
        <v>6487.5491075418513</v>
      </c>
      <c r="T61" s="65">
        <f t="shared" si="55"/>
        <v>7169.6858246301936</v>
      </c>
      <c r="U61" s="65">
        <f t="shared" si="55"/>
        <v>5635.6844420920925</v>
      </c>
      <c r="V61" s="65">
        <f t="shared" si="55"/>
        <v>3643.3436903052029</v>
      </c>
      <c r="W61" s="65">
        <f t="shared" si="55"/>
        <v>3790.1602187162543</v>
      </c>
      <c r="X61" s="65">
        <f t="shared" si="55"/>
        <v>9408.8915191377855</v>
      </c>
      <c r="Y61" s="65">
        <f t="shared" si="55"/>
        <v>3067.9029514320978</v>
      </c>
      <c r="Z61" s="65">
        <f t="shared" si="55"/>
        <v>3680.4549275312729</v>
      </c>
      <c r="AA61" s="65">
        <f t="shared" si="55"/>
        <v>2980.7561192602084</v>
      </c>
      <c r="AB61" s="65">
        <f t="shared" si="55"/>
        <v>2881.9431927021933</v>
      </c>
      <c r="AC61" s="65">
        <f t="shared" si="55"/>
        <v>7422.6920073368874</v>
      </c>
      <c r="AD61" s="65">
        <f t="shared" si="55"/>
        <v>8553.2622340116231</v>
      </c>
      <c r="AE61" s="65">
        <f t="shared" si="55"/>
        <v>6770.4630265352753</v>
      </c>
      <c r="AF61" s="65">
        <f t="shared" si="55"/>
        <v>8040.9453469227965</v>
      </c>
      <c r="AG61" s="65">
        <f t="shared" si="55"/>
        <v>8220.2127552441161</v>
      </c>
      <c r="AH61" s="65">
        <f t="shared" si="55"/>
        <v>6256.3465576146918</v>
      </c>
      <c r="AI61" s="65">
        <f t="shared" si="55"/>
        <v>5480.2889300986726</v>
      </c>
      <c r="AJ61" s="65">
        <f t="shared" si="55"/>
        <v>6029.1772310862725</v>
      </c>
      <c r="AK61" s="65">
        <f t="shared" si="55"/>
        <v>8209.1646145001578</v>
      </c>
      <c r="AL61" s="65">
        <f t="shared" si="55"/>
        <v>9569.6446132608999</v>
      </c>
      <c r="AM61" s="65">
        <f t="shared" si="55"/>
        <v>6898.4641472537196</v>
      </c>
      <c r="AN61" s="65">
        <f t="shared" si="55"/>
        <v>5753.8643520445494</v>
      </c>
      <c r="AO61" s="65">
        <f t="shared" si="55"/>
        <v>5181.336289423075</v>
      </c>
      <c r="AP61" s="65">
        <f t="shared" si="55"/>
        <v>8065.0708326673439</v>
      </c>
      <c r="AQ61" s="65">
        <f t="shared" si="55"/>
        <v>3180.3325299727849</v>
      </c>
      <c r="AR61" s="65">
        <f t="shared" si="55"/>
        <v>3104.5523620052859</v>
      </c>
      <c r="AS61" s="65">
        <f t="shared" si="55"/>
        <v>4463.9850101218981</v>
      </c>
      <c r="AT61" s="65">
        <f t="shared" si="55"/>
        <v>7031.9018580264492</v>
      </c>
      <c r="AU61" s="65">
        <f t="shared" si="55"/>
        <v>3008.5289054895657</v>
      </c>
      <c r="AV61" s="65">
        <f t="shared" si="55"/>
        <v>2933.9947340668832</v>
      </c>
      <c r="AW61" s="65">
        <f t="shared" si="55"/>
        <v>2668.8368500283786</v>
      </c>
      <c r="AX61" s="65">
        <f t="shared" si="55"/>
        <v>3183.5803561067482</v>
      </c>
      <c r="AY61" s="65">
        <f t="shared" si="55"/>
        <v>2973.7552500341244</v>
      </c>
      <c r="AZ61" s="65">
        <f t="shared" si="55"/>
        <v>8082.0004350287891</v>
      </c>
      <c r="BA61" s="65">
        <f t="shared" si="55"/>
        <v>5019.6698726107952</v>
      </c>
      <c r="BB61" s="65">
        <f t="shared" si="55"/>
        <v>7031.9018580264492</v>
      </c>
      <c r="BC61" s="65">
        <f t="shared" si="55"/>
        <v>3993.5259264840047</v>
      </c>
      <c r="BD61" s="65">
        <f t="shared" si="55"/>
        <v>4569.5165383821286</v>
      </c>
      <c r="BE61" s="65">
        <f t="shared" si="55"/>
        <v>3166.3426066201232</v>
      </c>
      <c r="BF61" s="65">
        <f t="shared" si="55"/>
        <v>8285.7231237010983</v>
      </c>
      <c r="BG61" s="65">
        <f t="shared" si="55"/>
        <v>6382.8840970503279</v>
      </c>
      <c r="BI61" s="104"/>
      <c r="BJ61" s="5" t="s">
        <v>244</v>
      </c>
      <c r="BK61" s="65">
        <f>BK60*(BK40^1.83)</f>
        <v>453.70486774587789</v>
      </c>
      <c r="BL61" s="65">
        <f>BL60*(BL40^1.83)</f>
        <v>8102.6499042973628</v>
      </c>
      <c r="BM61" s="65">
        <f>BM60*(BM40^1.83)</f>
        <v>34412.354799561028</v>
      </c>
      <c r="BO61" s="65">
        <f t="shared" ref="BO61:BV61" si="56">BO60*(BO40^1.83)</f>
        <v>551.47650164474601</v>
      </c>
      <c r="BP61" s="65">
        <f t="shared" si="56"/>
        <v>629.43251872604696</v>
      </c>
      <c r="BQ61" s="65">
        <f t="shared" si="56"/>
        <v>699.75092306974966</v>
      </c>
      <c r="BR61" s="65">
        <f t="shared" si="56"/>
        <v>747.71218884101597</v>
      </c>
      <c r="BS61" s="65">
        <f t="shared" si="56"/>
        <v>827.5323108648488</v>
      </c>
      <c r="BT61" s="65">
        <f t="shared" si="56"/>
        <v>1337.7641445624995</v>
      </c>
      <c r="BU61" s="65">
        <f t="shared" si="56"/>
        <v>1461.6486031657469</v>
      </c>
      <c r="BV61" s="65">
        <f t="shared" si="56"/>
        <v>1550.9282534587592</v>
      </c>
    </row>
    <row r="62" spans="8:74" x14ac:dyDescent="0.2">
      <c r="H62" s="104"/>
      <c r="I62" s="5" t="s">
        <v>245</v>
      </c>
      <c r="J62" s="65">
        <f t="shared" ref="J62:BG62" si="57">(0.5261*J41*J42*J34*(1-(2*J37))*(J35-J19)*(J27^0.83)*(J31^0.17))/((J19^1.17)*J30)</f>
        <v>25.725900618532524</v>
      </c>
      <c r="K62" s="65">
        <f t="shared" si="57"/>
        <v>25.804305292395647</v>
      </c>
      <c r="L62" s="65">
        <f t="shared" si="57"/>
        <v>25.71707315871372</v>
      </c>
      <c r="M62" s="65">
        <f>(0.5261*M41*M42*M34*(1-(2*M37))*(M35-M19)*(M27^0.83)*(M31^0.17))/((M19^1.17)*M30)</f>
        <v>25.709329643528903</v>
      </c>
      <c r="N62" s="65">
        <f t="shared" si="57"/>
        <v>25.911285735183764</v>
      </c>
      <c r="O62" s="65">
        <f t="shared" si="57"/>
        <v>25.551057698496532</v>
      </c>
      <c r="P62" s="65">
        <f t="shared" si="57"/>
        <v>25.859624045598771</v>
      </c>
      <c r="Q62" s="65">
        <f t="shared" si="57"/>
        <v>25.785597564189793</v>
      </c>
      <c r="R62" s="65">
        <f t="shared" si="57"/>
        <v>25.794336068388418</v>
      </c>
      <c r="S62" s="65">
        <f t="shared" si="57"/>
        <v>25.773955210195449</v>
      </c>
      <c r="T62" s="65">
        <f t="shared" si="57"/>
        <v>25.789248037658364</v>
      </c>
      <c r="U62" s="65">
        <f t="shared" si="57"/>
        <v>25.732186713786607</v>
      </c>
      <c r="V62" s="65">
        <f t="shared" si="57"/>
        <v>25.563284746626746</v>
      </c>
      <c r="W62" s="65">
        <f t="shared" si="57"/>
        <v>25.5693879572455</v>
      </c>
      <c r="X62" s="65">
        <f t="shared" si="57"/>
        <v>25.963438413894618</v>
      </c>
      <c r="Y62" s="65">
        <f t="shared" si="57"/>
        <v>25.537293437352314</v>
      </c>
      <c r="Z62" s="65">
        <f t="shared" si="57"/>
        <v>25.58915241902427</v>
      </c>
      <c r="AA62" s="65">
        <f t="shared" si="57"/>
        <v>25.536136954504574</v>
      </c>
      <c r="AB62" s="65">
        <f t="shared" si="57"/>
        <v>25.575834799215645</v>
      </c>
      <c r="AC62" s="65">
        <f t="shared" si="57"/>
        <v>25.949048078124747</v>
      </c>
      <c r="AD62" s="65">
        <f t="shared" si="57"/>
        <v>25.965901440106652</v>
      </c>
      <c r="AE62" s="65">
        <f t="shared" si="57"/>
        <v>25.758958303324921</v>
      </c>
      <c r="AF62" s="65">
        <f t="shared" si="57"/>
        <v>25.867488159815604</v>
      </c>
      <c r="AG62" s="65">
        <f t="shared" si="57"/>
        <v>25.783050091441346</v>
      </c>
      <c r="AH62" s="65">
        <f t="shared" si="57"/>
        <v>25.780501133063009</v>
      </c>
      <c r="AI62" s="65">
        <f t="shared" si="57"/>
        <v>25.800857691719933</v>
      </c>
      <c r="AJ62" s="65">
        <f t="shared" si="57"/>
        <v>25.82762647812784</v>
      </c>
      <c r="AK62" s="65">
        <f>(0.5261*AK41*AK42*AK34*(1-(2*AK37))*(AK35-AK19)*(AK27^0.83)*(AK31^0.17))/((AK19^1.17)*AK30)</f>
        <v>25.92685276350786</v>
      </c>
      <c r="AL62" s="65">
        <f t="shared" si="57"/>
        <v>25.945751647167526</v>
      </c>
      <c r="AM62" s="65">
        <f t="shared" si="57"/>
        <v>25.759304710938181</v>
      </c>
      <c r="AN62" s="65">
        <f t="shared" si="57"/>
        <v>25.819256308603677</v>
      </c>
      <c r="AO62" s="65">
        <f t="shared" si="57"/>
        <v>25.716324172612033</v>
      </c>
      <c r="AP62" s="65">
        <f t="shared" si="57"/>
        <v>25.832226159871162</v>
      </c>
      <c r="AQ62" s="65">
        <f t="shared" si="57"/>
        <v>25.517011366638346</v>
      </c>
      <c r="AR62" s="65">
        <f t="shared" si="57"/>
        <v>25.536604645223161</v>
      </c>
      <c r="AS62" s="65">
        <f t="shared" si="57"/>
        <v>25.629924591456948</v>
      </c>
      <c r="AT62" s="65">
        <f t="shared" si="57"/>
        <v>25.939406261394772</v>
      </c>
      <c r="AU62" s="65">
        <f t="shared" si="57"/>
        <v>25.508527484773253</v>
      </c>
      <c r="AV62" s="65">
        <f t="shared" si="57"/>
        <v>25.489999121253497</v>
      </c>
      <c r="AW62" s="65">
        <f t="shared" si="57"/>
        <v>25.475273678235411</v>
      </c>
      <c r="AX62" s="65">
        <f t="shared" si="57"/>
        <v>25.517011366638346</v>
      </c>
      <c r="AY62" s="65">
        <f t="shared" si="57"/>
        <v>25.501194962007382</v>
      </c>
      <c r="AZ62" s="65">
        <f t="shared" si="57"/>
        <v>25.863092823781635</v>
      </c>
      <c r="BA62" s="65">
        <f t="shared" si="57"/>
        <v>25.712626007893419</v>
      </c>
      <c r="BB62" s="65">
        <f t="shared" si="57"/>
        <v>25.939406261394772</v>
      </c>
      <c r="BC62" s="65">
        <f t="shared" si="57"/>
        <v>25.693753875754357</v>
      </c>
      <c r="BD62" s="65">
        <f t="shared" si="57"/>
        <v>25.633679804750653</v>
      </c>
      <c r="BE62" s="65">
        <f t="shared" si="57"/>
        <v>25.517011366638346</v>
      </c>
      <c r="BF62" s="65">
        <f t="shared" si="57"/>
        <v>25.825745262989933</v>
      </c>
      <c r="BG62" s="65">
        <f t="shared" si="57"/>
        <v>25.823217587780356</v>
      </c>
      <c r="BI62" s="104"/>
      <c r="BJ62" s="5" t="s">
        <v>245</v>
      </c>
      <c r="BK62" s="65">
        <f>(0.5261*BK41*BK42*BK34*(1-(2*BK37))*(BK35-BK19)*(BK27^0.83)*(BK31^0.17))/((BK19^1.17)*BK30)</f>
        <v>142.82960913071614</v>
      </c>
      <c r="BL62" s="65">
        <f>(0.5261*BL41*BL42*BL34*(1-(2*BL37))*(BL35-BL19)*(BL27^0.83)*(BL31^0.17))/((BL19^1.17)*BL30)</f>
        <v>25.454781825276143</v>
      </c>
      <c r="BM62" s="65">
        <f>(0.5261*BM41*BM42*BM34*(1-(2*BM37))*(BM35-BM19)*(BM27^0.83)*(BM31^0.17))/((BM19^1.17)*BM30)</f>
        <v>10.408635483210082</v>
      </c>
      <c r="BO62" s="65">
        <f t="shared" ref="BO62:BV62" si="58">(0.5261*BO41*BO42*BO34*(1-(2*BO37))*(BO35-BO19)*(BO27^0.83)*(BO31^0.17))/((BO19^1.17)*BO30)</f>
        <v>116.86058928876774</v>
      </c>
      <c r="BP62" s="65">
        <f t="shared" si="58"/>
        <v>102.83731857411561</v>
      </c>
      <c r="BQ62" s="65">
        <f t="shared" si="58"/>
        <v>91.819034441174637</v>
      </c>
      <c r="BR62" s="65">
        <f t="shared" si="58"/>
        <v>85.697765478429687</v>
      </c>
      <c r="BS62" s="65">
        <f t="shared" si="58"/>
        <v>77.907059525845156</v>
      </c>
      <c r="BT62" s="65">
        <f t="shared" si="58"/>
        <v>73.455227552939718</v>
      </c>
      <c r="BU62" s="65">
        <f t="shared" si="58"/>
        <v>69.484674712240263</v>
      </c>
      <c r="BV62" s="65">
        <f t="shared" si="58"/>
        <v>65.921358060330519</v>
      </c>
    </row>
    <row r="63" spans="8:74" x14ac:dyDescent="0.2">
      <c r="H63" s="104"/>
      <c r="I63" s="5" t="s">
        <v>247</v>
      </c>
      <c r="J63" s="65">
        <f t="shared" ref="J63:BG63" si="59">(2.569*J41*J42*(1-(2*J37))*J36*(J27^0.83)*(J31^0.17))/(J35*(J19^0.17))</f>
        <v>2117.3623759068969</v>
      </c>
      <c r="K63" s="65">
        <f t="shared" si="59"/>
        <v>1373.3833723020441</v>
      </c>
      <c r="L63" s="65">
        <f t="shared" si="59"/>
        <v>2141.9783974611141</v>
      </c>
      <c r="M63" s="65">
        <f>(2.569*M41*M42*(1-(2*M37))*M36*(M27^0.83)*(M31^0.17))/(M35*(M19^0.17))</f>
        <v>1576.8188203155105</v>
      </c>
      <c r="N63" s="65">
        <f t="shared" si="59"/>
        <v>1480.8492547014841</v>
      </c>
      <c r="O63" s="65">
        <f t="shared" si="59"/>
        <v>4385.1808177171506</v>
      </c>
      <c r="P63" s="65">
        <f t="shared" si="59"/>
        <v>1622.8705755578426</v>
      </c>
      <c r="Q63" s="65">
        <f t="shared" si="59"/>
        <v>1880.0029313460741</v>
      </c>
      <c r="R63" s="65">
        <f t="shared" si="59"/>
        <v>1736.1022438121138</v>
      </c>
      <c r="S63" s="65">
        <f t="shared" si="59"/>
        <v>2039.2006032197564</v>
      </c>
      <c r="T63" s="65">
        <f t="shared" si="59"/>
        <v>1809.9681771767221</v>
      </c>
      <c r="U63" s="65">
        <f t="shared" si="59"/>
        <v>2408.1622253226651</v>
      </c>
      <c r="V63" s="65">
        <f t="shared" si="59"/>
        <v>4019.3295912156245</v>
      </c>
      <c r="W63" s="65">
        <f t="shared" si="59"/>
        <v>3834.3398181026664</v>
      </c>
      <c r="X63" s="65">
        <f t="shared" si="59"/>
        <v>1322.5760573367147</v>
      </c>
      <c r="Y63" s="65">
        <f t="shared" si="59"/>
        <v>4934.1699912851027</v>
      </c>
      <c r="Z63" s="65">
        <f t="shared" si="59"/>
        <v>3978.6475615547247</v>
      </c>
      <c r="AA63" s="65">
        <f t="shared" si="59"/>
        <v>5108.0283216123071</v>
      </c>
      <c r="AB63" s="65">
        <f t="shared" si="59"/>
        <v>5336.4441603127989</v>
      </c>
      <c r="AC63" s="65">
        <f t="shared" si="59"/>
        <v>1757.9092976745699</v>
      </c>
      <c r="AD63" s="65">
        <f t="shared" si="59"/>
        <v>1483.857461010009</v>
      </c>
      <c r="AE63" s="65">
        <f t="shared" si="59"/>
        <v>1934.695777875364</v>
      </c>
      <c r="AF63" s="65">
        <f t="shared" si="59"/>
        <v>1586.1401309791604</v>
      </c>
      <c r="AG63" s="65">
        <f t="shared" si="59"/>
        <v>1534.311544429552</v>
      </c>
      <c r="AH63" s="65">
        <f t="shared" si="59"/>
        <v>2131.4364453054113</v>
      </c>
      <c r="AI63" s="65">
        <f t="shared" si="59"/>
        <v>2504.1894687943318</v>
      </c>
      <c r="AJ63" s="65">
        <f t="shared" si="59"/>
        <v>2236.856611769319</v>
      </c>
      <c r="AK63" s="65">
        <f>(2.569*AK41*AK42*(1-(2*AK37))*AK36*(AK27^0.83)*(AK31^0.17))/(AK35*(AK19^0.17))</f>
        <v>1554.3198184877233</v>
      </c>
      <c r="AL63" s="65">
        <f t="shared" si="59"/>
        <v>1294.2608129140551</v>
      </c>
      <c r="AM63" s="65">
        <f t="shared" si="59"/>
        <v>1891.8824671172924</v>
      </c>
      <c r="AN63" s="65">
        <f t="shared" si="59"/>
        <v>2365.2559006319093</v>
      </c>
      <c r="AO63" s="65">
        <f t="shared" si="59"/>
        <v>2661.9178137803297</v>
      </c>
      <c r="AP63" s="65">
        <f t="shared" si="59"/>
        <v>1576.2956401280553</v>
      </c>
      <c r="AQ63" s="65">
        <f t="shared" si="59"/>
        <v>4717.9931414223356</v>
      </c>
      <c r="AR63" s="65">
        <f t="shared" si="59"/>
        <v>4864.5890337027104</v>
      </c>
      <c r="AS63" s="65">
        <f t="shared" si="59"/>
        <v>3163.8243567817635</v>
      </c>
      <c r="AT63" s="65">
        <f t="shared" si="59"/>
        <v>1875.1562555412688</v>
      </c>
      <c r="AU63" s="65">
        <f t="shared" si="59"/>
        <v>5041.1039706184602</v>
      </c>
      <c r="AV63" s="65">
        <f t="shared" si="59"/>
        <v>5188.2105359934039</v>
      </c>
      <c r="AW63" s="65">
        <f t="shared" si="59"/>
        <v>5808.6693377873926</v>
      </c>
      <c r="AX63" s="65">
        <f t="shared" si="59"/>
        <v>4712.1947065905988</v>
      </c>
      <c r="AY63" s="65">
        <f t="shared" si="59"/>
        <v>5109.2593451543535</v>
      </c>
      <c r="AZ63" s="65">
        <f t="shared" si="59"/>
        <v>1576.1499965804428</v>
      </c>
      <c r="BA63" s="65">
        <f t="shared" si="59"/>
        <v>2764.7418763383375</v>
      </c>
      <c r="BB63" s="65">
        <f t="shared" si="59"/>
        <v>1875.1562555412688</v>
      </c>
      <c r="BC63" s="65">
        <f t="shared" si="59"/>
        <v>3636.3829615546947</v>
      </c>
      <c r="BD63" s="65">
        <f t="shared" si="59"/>
        <v>3076.9114389754309</v>
      </c>
      <c r="BE63" s="65">
        <f t="shared" si="59"/>
        <v>4743.1196923598573</v>
      </c>
      <c r="BF63" s="65">
        <f t="shared" si="59"/>
        <v>1525.0791235959659</v>
      </c>
      <c r="BG63" s="65">
        <f t="shared" si="59"/>
        <v>2087.9888147052202</v>
      </c>
      <c r="BI63" s="104"/>
      <c r="BJ63" s="5" t="s">
        <v>247</v>
      </c>
      <c r="BK63" s="65">
        <f>(2.569*BK41*BK42*(1-(2*BK37))*BK36*(BK27^0.83)*(BK31^0.17))/(BK35*(BK19^0.17))</f>
        <v>1140.7602823517152</v>
      </c>
      <c r="BL63" s="65">
        <f>(2.569*BL41*BL42*(1-(2*BL37))*BL36*(BL27^0.83)*(BL31^0.17))/(BL35*(BL19^0.17))</f>
        <v>1586.5522698236316</v>
      </c>
      <c r="BM63" s="65">
        <f>(2.569*BM41*BM42*(1-(2*BM37))*BM36*(BM27^0.83)*(BM31^0.17))/(BM35*(BM19^0.17))</f>
        <v>1995.3571491646901</v>
      </c>
      <c r="BO63" s="65">
        <f t="shared" ref="BO63:BV63" si="60">(2.569*BO41*BO42*(1-(2*BO37))*BO36*(BO27^0.83)*(BO31^0.17))/(BO35*(BO19^0.17))</f>
        <v>1403.5634190709668</v>
      </c>
      <c r="BP63" s="65">
        <f t="shared" si="60"/>
        <v>1586.5522698236311</v>
      </c>
      <c r="BQ63" s="65">
        <f t="shared" si="60"/>
        <v>1792.9013993957838</v>
      </c>
      <c r="BR63" s="65">
        <f t="shared" si="60"/>
        <v>1927.2230026078462</v>
      </c>
      <c r="BS63" s="65">
        <f t="shared" si="60"/>
        <v>2104.371783655638</v>
      </c>
      <c r="BT63" s="65">
        <f t="shared" si="60"/>
        <v>1343.2160321206202</v>
      </c>
      <c r="BU63" s="65">
        <f t="shared" si="60"/>
        <v>1364.6296210384855</v>
      </c>
      <c r="BV63" s="65">
        <f t="shared" si="60"/>
        <v>1426.9236978904555</v>
      </c>
    </row>
    <row r="64" spans="8:74" x14ac:dyDescent="0.2">
      <c r="H64" s="104"/>
      <c r="I64" s="5" t="s">
        <v>248</v>
      </c>
      <c r="J64" s="65">
        <f t="shared" ref="J64:X64" si="61">(J62*J45*(J40^2.83))-(J63*(J40^1.83))</f>
        <v>23693.861199662293</v>
      </c>
      <c r="K64" s="65">
        <f t="shared" si="61"/>
        <v>42230.693386656894</v>
      </c>
      <c r="L64" s="65">
        <f t="shared" si="61"/>
        <v>29177.842062979209</v>
      </c>
      <c r="M64" s="65">
        <f t="shared" si="61"/>
        <v>47664.016730841795</v>
      </c>
      <c r="N64" s="65">
        <f t="shared" si="61"/>
        <v>27714.935012621536</v>
      </c>
      <c r="O64" s="65">
        <f t="shared" si="61"/>
        <v>13792.847630644377</v>
      </c>
      <c r="P64" s="65">
        <f t="shared" si="61"/>
        <v>33051.03427765127</v>
      </c>
      <c r="Q64" s="65">
        <f t="shared" si="61"/>
        <v>34091.616697903613</v>
      </c>
      <c r="R64" s="65">
        <f t="shared" si="61"/>
        <v>39882.895013676498</v>
      </c>
      <c r="S64" s="65">
        <f t="shared" si="61"/>
        <v>29008.609902183209</v>
      </c>
      <c r="T64" s="65">
        <f t="shared" si="61"/>
        <v>36741.669370158845</v>
      </c>
      <c r="U64" s="65">
        <f t="shared" si="61"/>
        <v>25620.688398035571</v>
      </c>
      <c r="V64" s="65">
        <f t="shared" si="61"/>
        <v>16417.021020138967</v>
      </c>
      <c r="W64" s="65">
        <f t="shared" si="61"/>
        <v>18027.869360134151</v>
      </c>
      <c r="X64" s="65">
        <f t="shared" si="61"/>
        <v>31274.867683627286</v>
      </c>
      <c r="Y64" s="65">
        <f t="shared" ref="Y64:BG64" si="62">(Y62*Y45*(Y40^2.83))-(Y63*(Y40^1.83))</f>
        <v>13452.560050704849</v>
      </c>
      <c r="Z64" s="65">
        <f t="shared" si="62"/>
        <v>17758.511172919421</v>
      </c>
      <c r="AA64" s="65">
        <f t="shared" si="62"/>
        <v>13768.373309768596</v>
      </c>
      <c r="AB64" s="65">
        <f t="shared" si="62"/>
        <v>10438.780244707174</v>
      </c>
      <c r="AC64" s="65">
        <f t="shared" si="62"/>
        <v>26232.236271931441</v>
      </c>
      <c r="AD64" s="65">
        <f t="shared" si="62"/>
        <v>42953.829556753</v>
      </c>
      <c r="AE64" s="65">
        <f t="shared" si="62"/>
        <v>39449.010312496008</v>
      </c>
      <c r="AF64" s="65">
        <f t="shared" si="62"/>
        <v>47924.825312556946</v>
      </c>
      <c r="AG64" s="65">
        <f t="shared" si="62"/>
        <v>33831.449285605289</v>
      </c>
      <c r="AH64" s="65">
        <f t="shared" si="62"/>
        <v>30279.586404747748</v>
      </c>
      <c r="AI64" s="65">
        <f t="shared" si="62"/>
        <v>17014.028967155929</v>
      </c>
      <c r="AJ64" s="65">
        <f t="shared" si="62"/>
        <v>24281.82031103973</v>
      </c>
      <c r="AK64" s="65">
        <f t="shared" si="62"/>
        <v>30710.077522187486</v>
      </c>
      <c r="AL64" s="65">
        <f t="shared" si="62"/>
        <v>44298.845993467723</v>
      </c>
      <c r="AM64" s="65">
        <f t="shared" si="62"/>
        <v>41209.683048706815</v>
      </c>
      <c r="AN64" s="65">
        <f t="shared" si="62"/>
        <v>21701.990535110206</v>
      </c>
      <c r="AO64" s="65">
        <f t="shared" si="62"/>
        <v>20970.278401784293</v>
      </c>
      <c r="AP64" s="65">
        <f t="shared" si="62"/>
        <v>37602.701789027466</v>
      </c>
      <c r="AQ64" s="65">
        <f t="shared" si="62"/>
        <v>15367.15613228348</v>
      </c>
      <c r="AR64" s="65">
        <f t="shared" si="62"/>
        <v>13837.445063307394</v>
      </c>
      <c r="AS64" s="65">
        <f t="shared" si="62"/>
        <v>22019.066252423541</v>
      </c>
      <c r="AT64" s="65">
        <f t="shared" si="62"/>
        <v>26946.584723546053</v>
      </c>
      <c r="AU64" s="65">
        <f t="shared" si="62"/>
        <v>13473.130152988158</v>
      </c>
      <c r="AV64" s="65">
        <f t="shared" si="62"/>
        <v>14458.222700422848</v>
      </c>
      <c r="AW64" s="65">
        <f t="shared" si="62"/>
        <v>11551.34769116286</v>
      </c>
      <c r="AX64" s="65">
        <f t="shared" si="62"/>
        <v>15404.362738124095</v>
      </c>
      <c r="AY64" s="65">
        <f t="shared" si="62"/>
        <v>16123.708248890769</v>
      </c>
      <c r="AZ64" s="65">
        <f t="shared" si="62"/>
        <v>35043.378310160057</v>
      </c>
      <c r="BA64" s="65">
        <f t="shared" si="62"/>
        <v>19434.094750225999</v>
      </c>
      <c r="BB64" s="65">
        <f t="shared" si="62"/>
        <v>26946.584723546053</v>
      </c>
      <c r="BC64" s="65">
        <f t="shared" si="62"/>
        <v>19134.052222233568</v>
      </c>
      <c r="BD64" s="65">
        <f t="shared" si="62"/>
        <v>23265.127000605626</v>
      </c>
      <c r="BE64" s="65">
        <f t="shared" si="62"/>
        <v>15207.442640585012</v>
      </c>
      <c r="BF64" s="65">
        <f t="shared" si="62"/>
        <v>31557.445928747107</v>
      </c>
      <c r="BG64" s="65">
        <f t="shared" si="62"/>
        <v>32642.225224798956</v>
      </c>
      <c r="BI64" s="104"/>
      <c r="BJ64" s="5" t="s">
        <v>248</v>
      </c>
      <c r="BK64" s="65">
        <f>(BK62*BK45*(BK40^2.83))-(BK63*(BK40^1.83))</f>
        <v>2606.7441715309305</v>
      </c>
      <c r="BL64" s="65">
        <f>(BL62*BL45*(BL40^2.83))-(BL63*(BL40^1.83))</f>
        <v>47963.521983808081</v>
      </c>
      <c r="BM64" s="65">
        <f>(BM62*BM45*(BM40^2.83))-(BM63*(BM40^1.83))</f>
        <v>198722.50845809659</v>
      </c>
      <c r="BO64" s="65">
        <f t="shared" ref="BO64:BV64" si="63">(BO62*BO45*(BO40^2.83))-(BO63*(BO40^1.83))</f>
        <v>2507.0970088299882</v>
      </c>
      <c r="BP64" s="65">
        <f t="shared" si="63"/>
        <v>2483.5646438731851</v>
      </c>
      <c r="BQ64" s="65">
        <f t="shared" si="63"/>
        <v>2390.1169098037872</v>
      </c>
      <c r="BR64" s="65">
        <f t="shared" si="63"/>
        <v>2341.554186115151</v>
      </c>
      <c r="BS64" s="65">
        <f t="shared" si="63"/>
        <v>2327.4044302331563</v>
      </c>
      <c r="BT64" s="65">
        <f t="shared" si="63"/>
        <v>7434.1588574811867</v>
      </c>
      <c r="BU64" s="65">
        <f t="shared" si="63"/>
        <v>7980.0131764294001</v>
      </c>
      <c r="BV64" s="65">
        <f t="shared" si="63"/>
        <v>8053.1186790929723</v>
      </c>
    </row>
    <row r="65" spans="8:75" x14ac:dyDescent="0.2">
      <c r="H65" s="104"/>
      <c r="I65" s="5" t="s">
        <v>249</v>
      </c>
      <c r="J65" s="65">
        <f t="shared" ref="J65:BG65" si="64">((0.02026*J42*J34*J35*(J35-J19)*J27)/(J19*J30))*((2/J36)+((0.6*J37)/J35))</f>
        <v>3.2347871317201302</v>
      </c>
      <c r="K65" s="65">
        <f t="shared" si="64"/>
        <v>3.9096196910383139</v>
      </c>
      <c r="L65" s="65">
        <f t="shared" si="64"/>
        <v>3.2201202783819576</v>
      </c>
      <c r="M65" s="65">
        <f>((0.02026*M42*M34*M35*(M35-M19)*M27)/(M19*M30))*((2/M36)+((0.6*M37)/M35))</f>
        <v>3.6565187807305732</v>
      </c>
      <c r="N65" s="65">
        <f t="shared" si="64"/>
        <v>3.7794059001679936</v>
      </c>
      <c r="O65" s="65">
        <f t="shared" si="64"/>
        <v>2.591384351184479</v>
      </c>
      <c r="P65" s="65">
        <f t="shared" si="64"/>
        <v>3.6202219329356904</v>
      </c>
      <c r="Q65" s="65">
        <f t="shared" si="64"/>
        <v>3.3942771712660753</v>
      </c>
      <c r="R65" s="65">
        <f t="shared" si="64"/>
        <v>3.5103148896690701</v>
      </c>
      <c r="S65" s="65">
        <f t="shared" si="64"/>
        <v>3.2848648862835854</v>
      </c>
      <c r="T65" s="65">
        <f t="shared" si="64"/>
        <v>3.4484096457530691</v>
      </c>
      <c r="U65" s="65">
        <f t="shared" si="64"/>
        <v>3.0861206217920008</v>
      </c>
      <c r="V65" s="65">
        <f t="shared" si="64"/>
        <v>2.6456305086384306</v>
      </c>
      <c r="W65" s="65">
        <f t="shared" si="64"/>
        <v>2.6769912195694348</v>
      </c>
      <c r="X65" s="65">
        <f t="shared" si="64"/>
        <v>3.9965340228806867</v>
      </c>
      <c r="Y65" s="65">
        <f t="shared" si="64"/>
        <v>2.5251845362003706</v>
      </c>
      <c r="Z65" s="65">
        <f t="shared" si="64"/>
        <v>2.6530959857777643</v>
      </c>
      <c r="AA65" s="65">
        <f t="shared" si="64"/>
        <v>2.5072696836297821</v>
      </c>
      <c r="AB65" s="65">
        <f t="shared" si="64"/>
        <v>2.4866040578122166</v>
      </c>
      <c r="AC65" s="65">
        <f t="shared" si="64"/>
        <v>3.5017664780276858</v>
      </c>
      <c r="AD65" s="65">
        <f t="shared" si="64"/>
        <v>3.7799821680584968</v>
      </c>
      <c r="AE65" s="65">
        <f t="shared" si="64"/>
        <v>3.3532848106446087</v>
      </c>
      <c r="AF65" s="65">
        <f t="shared" si="64"/>
        <v>3.6582661941141779</v>
      </c>
      <c r="AG65" s="65">
        <f t="shared" si="64"/>
        <v>3.7079131815631405</v>
      </c>
      <c r="AH65" s="65">
        <f t="shared" si="64"/>
        <v>3.2296833332476869</v>
      </c>
      <c r="AI65" s="65">
        <f t="shared" si="64"/>
        <v>3.0478266923320398</v>
      </c>
      <c r="AJ65" s="65">
        <f t="shared" si="64"/>
        <v>3.1743003439310198</v>
      </c>
      <c r="AK65" s="65">
        <f>((0.02026*AK42*AK34*AK35*(AK35-AK19)*AK27)/(AK19*AK30))*((2/AK36)+((0.6*AK37)/AK35))</f>
        <v>3.696538993851469</v>
      </c>
      <c r="AL65" s="65">
        <f t="shared" si="64"/>
        <v>4.0384001077864324</v>
      </c>
      <c r="AM65" s="65">
        <f t="shared" si="64"/>
        <v>3.3837073879925033</v>
      </c>
      <c r="AN65" s="65">
        <f t="shared" si="64"/>
        <v>3.1100307236328564</v>
      </c>
      <c r="AO65" s="65">
        <f t="shared" si="64"/>
        <v>2.9817734138428635</v>
      </c>
      <c r="AP65" s="65">
        <f t="shared" si="64"/>
        <v>3.6658360816821398</v>
      </c>
      <c r="AQ65" s="65">
        <f t="shared" si="64"/>
        <v>2.5484974171358448</v>
      </c>
      <c r="AR65" s="65">
        <f t="shared" si="64"/>
        <v>2.5325157378007979</v>
      </c>
      <c r="AS65" s="65">
        <f t="shared" si="64"/>
        <v>2.8227143496747331</v>
      </c>
      <c r="AT65" s="65">
        <f t="shared" si="64"/>
        <v>3.4072156885203886</v>
      </c>
      <c r="AU65" s="65">
        <f t="shared" si="64"/>
        <v>2.5130717704249719</v>
      </c>
      <c r="AV65" s="65">
        <f t="shared" si="64"/>
        <v>2.4980018630995589</v>
      </c>
      <c r="AW65" s="65">
        <f t="shared" si="64"/>
        <v>2.4443628210529003</v>
      </c>
      <c r="AX65" s="65">
        <f t="shared" si="64"/>
        <v>2.5491729578283042</v>
      </c>
      <c r="AY65" s="65">
        <f t="shared" si="64"/>
        <v>2.5060169637919758</v>
      </c>
      <c r="AZ65" s="65">
        <f t="shared" si="64"/>
        <v>3.6682344951878334</v>
      </c>
      <c r="BA65" s="65">
        <f t="shared" si="64"/>
        <v>2.9451254293453717</v>
      </c>
      <c r="BB65" s="65">
        <f t="shared" si="64"/>
        <v>3.4072156885203886</v>
      </c>
      <c r="BC65" s="65">
        <f t="shared" si="64"/>
        <v>2.7181022397235601</v>
      </c>
      <c r="BD65" s="65">
        <f t="shared" si="64"/>
        <v>2.8460994558463244</v>
      </c>
      <c r="BE65" s="65">
        <f t="shared" si="64"/>
        <v>2.5455891603161218</v>
      </c>
      <c r="BF65" s="65">
        <f t="shared" si="64"/>
        <v>3.7212426503992337</v>
      </c>
      <c r="BG65" s="65">
        <f t="shared" si="64"/>
        <v>3.25746355599721</v>
      </c>
      <c r="BI65" s="104"/>
      <c r="BJ65" s="5" t="s">
        <v>249</v>
      </c>
      <c r="BK65" s="65">
        <f>((0.02026*BK42*BK34*BK35*(BK35-BK19)*BK27)/(BK19*BK30))*((2/BK36)+((0.6*BK37)/BK35))</f>
        <v>23.82985676172251</v>
      </c>
      <c r="BL65" s="65">
        <f>((0.02026*BL42*BL34*BL35*(BL35-BL19)*BL27)/(BL19*BL30))*((2/BL36)+((0.6*BL37)/BL35))</f>
        <v>3.6102591643901776</v>
      </c>
      <c r="BM65" s="65">
        <f>((0.02026*BM42*BM34*BM35*(BM35-BM19)*BM27)/(BM19*BM30))*((2/BM36)+((0.6*BM37)/BM35))</f>
        <v>1.3397763680301049</v>
      </c>
      <c r="BO65" s="65">
        <f t="shared" ref="BO65:BV65" si="65">((0.02026*BO42*BO34*BO35*(BO35-BO19)*BO27)/(BO19*BO30))*((2/BO36)+((0.6*BO37)/BO35))</f>
        <v>17.549476725373694</v>
      </c>
      <c r="BP65" s="65">
        <f t="shared" si="65"/>
        <v>14.585447024136316</v>
      </c>
      <c r="BQ65" s="65">
        <f t="shared" si="65"/>
        <v>12.346373310141145</v>
      </c>
      <c r="BR65" s="65">
        <f t="shared" si="65"/>
        <v>11.185005011205874</v>
      </c>
      <c r="BS65" s="65">
        <f t="shared" si="65"/>
        <v>9.822640512576843</v>
      </c>
      <c r="BT65" s="65">
        <f t="shared" si="65"/>
        <v>11.26985242967913</v>
      </c>
      <c r="BU65" s="65">
        <f t="shared" si="65"/>
        <v>10.578245452730592</v>
      </c>
      <c r="BV65" s="65">
        <f t="shared" si="65"/>
        <v>9.8216290035372751</v>
      </c>
    </row>
    <row r="66" spans="8:75" x14ac:dyDescent="0.2">
      <c r="H66" s="104"/>
      <c r="I66" s="5" t="s">
        <v>250</v>
      </c>
      <c r="J66" s="65">
        <f t="shared" ref="J66:X66" si="66">J65*J45*J40^3</f>
        <v>3723.7960679398702</v>
      </c>
      <c r="K66" s="65">
        <f t="shared" si="66"/>
        <v>8366.1635446065266</v>
      </c>
      <c r="L66" s="65">
        <f t="shared" si="66"/>
        <v>4424.3917381032988</v>
      </c>
      <c r="M66" s="65">
        <f t="shared" si="66"/>
        <v>8423.3999363364619</v>
      </c>
      <c r="N66" s="65">
        <f t="shared" si="66"/>
        <v>5506.6656970401609</v>
      </c>
      <c r="O66" s="65">
        <f t="shared" si="66"/>
        <v>1526.7564021488781</v>
      </c>
      <c r="P66" s="65">
        <f t="shared" si="66"/>
        <v>5967.3350761287911</v>
      </c>
      <c r="Q66" s="65">
        <f t="shared" si="66"/>
        <v>5530.0801623005809</v>
      </c>
      <c r="R66" s="65">
        <f t="shared" si="66"/>
        <v>6710.6051504881698</v>
      </c>
      <c r="S66" s="65">
        <f t="shared" si="66"/>
        <v>4545.1088008925881</v>
      </c>
      <c r="T66" s="65">
        <f t="shared" si="66"/>
        <v>6063.013586170593</v>
      </c>
      <c r="U66" s="65">
        <f t="shared" si="66"/>
        <v>3663.5363662058348</v>
      </c>
      <c r="V66" s="65">
        <f t="shared" si="66"/>
        <v>1856.9700929247063</v>
      </c>
      <c r="W66" s="65">
        <f t="shared" si="66"/>
        <v>2065.5388731643061</v>
      </c>
      <c r="X66" s="65">
        <f t="shared" si="66"/>
        <v>6660.780579853672</v>
      </c>
      <c r="Y66" s="65">
        <f t="shared" ref="Y66:BG66" si="67">Y65*Y45*Y40^3</f>
        <v>1408.7741475744751</v>
      </c>
      <c r="Z66" s="65">
        <f t="shared" si="67"/>
        <v>1999.1150919828629</v>
      </c>
      <c r="AA66" s="65">
        <f t="shared" si="67"/>
        <v>1413.8334920826317</v>
      </c>
      <c r="AB66" s="65">
        <f t="shared" si="67"/>
        <v>1090.0824252944958</v>
      </c>
      <c r="AC66" s="65">
        <f t="shared" si="67"/>
        <v>4620.2632656905726</v>
      </c>
      <c r="AD66" s="65">
        <f t="shared" si="67"/>
        <v>8009.0849868348032</v>
      </c>
      <c r="AE66" s="65">
        <f t="shared" si="67"/>
        <v>6178.9982365242067</v>
      </c>
      <c r="AF66" s="65">
        <f t="shared" si="67"/>
        <v>8421.3879285822786</v>
      </c>
      <c r="AG66" s="65">
        <f t="shared" si="67"/>
        <v>6347.8145255492282</v>
      </c>
      <c r="AH66" s="65">
        <f t="shared" si="67"/>
        <v>4583.3123079482693</v>
      </c>
      <c r="AI66" s="65">
        <f t="shared" si="67"/>
        <v>2521.5254566721246</v>
      </c>
      <c r="AJ66" s="65">
        <f t="shared" si="67"/>
        <v>3663.9574430772741</v>
      </c>
      <c r="AK66" s="65">
        <f t="shared" si="67"/>
        <v>5783.9705228441826</v>
      </c>
      <c r="AL66" s="65">
        <f t="shared" si="67"/>
        <v>9127.1217808018337</v>
      </c>
      <c r="AM66" s="65">
        <f t="shared" si="67"/>
        <v>6521.7928921965822</v>
      </c>
      <c r="AN66" s="65">
        <f t="shared" si="67"/>
        <v>3209.3170701141785</v>
      </c>
      <c r="AO66" s="65">
        <f t="shared" si="67"/>
        <v>2894.2906716735479</v>
      </c>
      <c r="AP66" s="65">
        <f t="shared" si="67"/>
        <v>6820.0399818034493</v>
      </c>
      <c r="AQ66" s="65">
        <f t="shared" si="67"/>
        <v>1617.8542147948681</v>
      </c>
      <c r="AR66" s="65">
        <f t="shared" si="67"/>
        <v>1453.7644326180869</v>
      </c>
      <c r="AS66" s="65">
        <f t="shared" si="67"/>
        <v>2731.1435131959529</v>
      </c>
      <c r="AT66" s="65">
        <f t="shared" si="67"/>
        <v>4513.1174165456378</v>
      </c>
      <c r="AU66" s="65">
        <f t="shared" si="67"/>
        <v>1396.5834222319602</v>
      </c>
      <c r="AV66" s="65">
        <f t="shared" si="67"/>
        <v>1465.9776542888737</v>
      </c>
      <c r="AW66" s="65">
        <f t="shared" si="67"/>
        <v>1143.2367928704109</v>
      </c>
      <c r="AX66" s="65">
        <f t="shared" si="67"/>
        <v>1622.2681654793453</v>
      </c>
      <c r="AY66" s="65">
        <f t="shared" si="67"/>
        <v>1626.0755117977494</v>
      </c>
      <c r="AZ66" s="65">
        <f t="shared" si="67"/>
        <v>6413.0081758394745</v>
      </c>
      <c r="BA66" s="65">
        <f t="shared" si="67"/>
        <v>2649.3502299408301</v>
      </c>
      <c r="BB66" s="65">
        <f t="shared" si="67"/>
        <v>4513.1174165456378</v>
      </c>
      <c r="BC66" s="65">
        <f t="shared" si="67"/>
        <v>2234.9644888089247</v>
      </c>
      <c r="BD66" s="65">
        <f t="shared" si="67"/>
        <v>2912.3017113951919</v>
      </c>
      <c r="BE66" s="65">
        <f t="shared" si="67"/>
        <v>1598.9318072058188</v>
      </c>
      <c r="BF66" s="65">
        <f t="shared" si="67"/>
        <v>6006.4581244144547</v>
      </c>
      <c r="BG66" s="65">
        <f t="shared" si="67"/>
        <v>4961.8789264435363</v>
      </c>
      <c r="BI66" s="104"/>
      <c r="BJ66" s="5" t="s">
        <v>250</v>
      </c>
      <c r="BK66" s="65">
        <f>BK65*BK45*BK40^3</f>
        <v>428.18495705723984</v>
      </c>
      <c r="BL66" s="65">
        <f>BL65*BL45*BL40^3</f>
        <v>8464.0249218098379</v>
      </c>
      <c r="BM66" s="65">
        <f>BM65*BM45*BM40^3</f>
        <v>35724.832731396535</v>
      </c>
      <c r="BO66" s="65">
        <f t="shared" ref="BO66:BV66" si="68">BO65*BO45*BO40^3</f>
        <v>380.32018454877937</v>
      </c>
      <c r="BP66" s="65">
        <f t="shared" si="68"/>
        <v>363.00469594077094</v>
      </c>
      <c r="BQ66" s="65">
        <f t="shared" si="68"/>
        <v>338.05076921051761</v>
      </c>
      <c r="BR66" s="65">
        <f t="shared" si="68"/>
        <v>325.99973608258398</v>
      </c>
      <c r="BS66" s="65">
        <f t="shared" si="68"/>
        <v>319.5997068806015</v>
      </c>
      <c r="BT66" s="65">
        <f t="shared" si="68"/>
        <v>1227.167424755731</v>
      </c>
      <c r="BU66" s="65">
        <f t="shared" si="68"/>
        <v>1318.4462026717636</v>
      </c>
      <c r="BV66" s="65">
        <f t="shared" si="68"/>
        <v>1311.1399023023903</v>
      </c>
    </row>
    <row r="67" spans="8:75" x14ac:dyDescent="0.2">
      <c r="H67" s="104"/>
      <c r="I67" s="5" t="s">
        <v>255</v>
      </c>
      <c r="J67" s="55">
        <f t="shared" ref="J67:BG67" si="69">((2*J60)-(J63))/(J57^2.86)</f>
        <v>9.8400991271831894E-11</v>
      </c>
      <c r="K67" s="55">
        <f t="shared" si="69"/>
        <v>6.5355994983597618E-11</v>
      </c>
      <c r="L67" s="55">
        <f t="shared" si="69"/>
        <v>9.9277978299985464E-11</v>
      </c>
      <c r="M67" s="55">
        <f>((2*M60)-(M63))/(M57^2.86)</f>
        <v>7.2909206664544668E-11</v>
      </c>
      <c r="N67" s="55">
        <f t="shared" si="69"/>
        <v>7.2833570526599658E-11</v>
      </c>
      <c r="O67" s="55">
        <f t="shared" si="69"/>
        <v>1.9328151160710694E-10</v>
      </c>
      <c r="P67" s="55">
        <f t="shared" si="69"/>
        <v>7.8584317493381278E-11</v>
      </c>
      <c r="Q67" s="55">
        <f t="shared" si="69"/>
        <v>8.8956775259304399E-11</v>
      </c>
      <c r="R67" s="55">
        <f t="shared" si="69"/>
        <v>8.236685990039195E-11</v>
      </c>
      <c r="S67" s="55">
        <f t="shared" si="69"/>
        <v>9.6153224460300781E-11</v>
      </c>
      <c r="T67" s="55">
        <f t="shared" si="69"/>
        <v>8.574147422870248E-11</v>
      </c>
      <c r="U67" s="55">
        <f t="shared" si="69"/>
        <v>1.1211960078729338E-10</v>
      </c>
      <c r="V67" s="55">
        <f t="shared" si="69"/>
        <v>1.7782657455533481E-10</v>
      </c>
      <c r="W67" s="55">
        <f t="shared" si="69"/>
        <v>1.6994602962090751E-10</v>
      </c>
      <c r="X67" s="55">
        <f t="shared" si="69"/>
        <v>6.6077555961842098E-11</v>
      </c>
      <c r="Y67" s="55">
        <f t="shared" si="69"/>
        <v>2.1657599910752047E-10</v>
      </c>
      <c r="Z67" s="55">
        <f t="shared" si="69"/>
        <v>1.7740792755336138E-10</v>
      </c>
      <c r="AA67" s="55">
        <f t="shared" si="69"/>
        <v>2.2413846967459927E-10</v>
      </c>
      <c r="AB67" s="55">
        <f t="shared" si="69"/>
        <v>2.3698551042257068E-10</v>
      </c>
      <c r="AC67" s="55">
        <f t="shared" si="69"/>
        <v>8.7451195608830099E-11</v>
      </c>
      <c r="AD67" s="55">
        <f t="shared" si="69"/>
        <v>7.4190342577568427E-11</v>
      </c>
      <c r="AE67" s="55">
        <f t="shared" si="69"/>
        <v>9.0808475949272057E-11</v>
      </c>
      <c r="AF67" s="55">
        <f t="shared" si="69"/>
        <v>7.6983878330556202E-11</v>
      </c>
      <c r="AG67" s="55">
        <f t="shared" si="69"/>
        <v>7.2544611432891243E-11</v>
      </c>
      <c r="AH67" s="55">
        <f t="shared" si="69"/>
        <v>1.0070128168003108E-10</v>
      </c>
      <c r="AI67" s="55">
        <f t="shared" si="69"/>
        <v>1.1904222080670357E-10</v>
      </c>
      <c r="AJ67" s="55">
        <f t="shared" si="69"/>
        <v>1.0719899199149957E-10</v>
      </c>
      <c r="AK67" s="55">
        <f t="shared" si="69"/>
        <v>7.6807243750096578E-11</v>
      </c>
      <c r="AL67" s="55">
        <f t="shared" si="69"/>
        <v>6.4361520785101078E-11</v>
      </c>
      <c r="AM67" s="55">
        <f t="shared" si="69"/>
        <v>8.8866844800729237E-11</v>
      </c>
      <c r="AN67" s="55">
        <f t="shared" si="69"/>
        <v>1.1313798152147075E-10</v>
      </c>
      <c r="AO67" s="55">
        <f t="shared" si="69"/>
        <v>1.2342237620604444E-10</v>
      </c>
      <c r="AP67" s="55">
        <f t="shared" si="69"/>
        <v>7.5689043733558691E-11</v>
      </c>
      <c r="AQ67" s="55">
        <f t="shared" si="69"/>
        <v>2.0580095419479162E-10</v>
      </c>
      <c r="AR67" s="55">
        <f t="shared" si="69"/>
        <v>2.1362333860907339E-10</v>
      </c>
      <c r="AS67" s="55">
        <f t="shared" si="69"/>
        <v>1.4290637050245619E-10</v>
      </c>
      <c r="AT67" s="55">
        <f t="shared" si="69"/>
        <v>9.3067926205026214E-11</v>
      </c>
      <c r="AU67" s="55">
        <f t="shared" si="69"/>
        <v>2.1934338618674312E-10</v>
      </c>
      <c r="AV67" s="55">
        <f t="shared" si="69"/>
        <v>2.2448219594599186E-10</v>
      </c>
      <c r="AW67" s="55">
        <f t="shared" si="69"/>
        <v>2.5019400822907183E-10</v>
      </c>
      <c r="AX67" s="55">
        <f t="shared" si="69"/>
        <v>2.0554802389467499E-10</v>
      </c>
      <c r="AY67" s="55">
        <f t="shared" si="69"/>
        <v>2.2179738926070963E-10</v>
      </c>
      <c r="AZ67" s="55">
        <f t="shared" si="69"/>
        <v>7.6447236311737308E-11</v>
      </c>
      <c r="BA67" s="55">
        <f t="shared" si="69"/>
        <v>1.2805375643421785E-10</v>
      </c>
      <c r="BB67" s="55">
        <f t="shared" si="69"/>
        <v>9.3067926205026214E-11</v>
      </c>
      <c r="BC67" s="55">
        <f t="shared" si="69"/>
        <v>1.6745517277346677E-10</v>
      </c>
      <c r="BD67" s="55">
        <f t="shared" si="69"/>
        <v>1.3914336786222666E-10</v>
      </c>
      <c r="BE67" s="55">
        <f t="shared" si="69"/>
        <v>2.068969854952964E-10</v>
      </c>
      <c r="BF67" s="55">
        <f t="shared" si="69"/>
        <v>7.309313226347105E-11</v>
      </c>
      <c r="BG67" s="55">
        <f t="shared" si="69"/>
        <v>9.9986883947001988E-11</v>
      </c>
      <c r="BI67" s="104"/>
      <c r="BJ67" s="5" t="s">
        <v>255</v>
      </c>
      <c r="BK67" s="55">
        <f>((2*BK60)-(BK63))/(BK57^2.86)</f>
        <v>5.2746660623979226E-11</v>
      </c>
      <c r="BL67" s="55">
        <f>((2*BL60)-(BL63))/(BL57^2.86)</f>
        <v>7.3359263495807303E-11</v>
      </c>
      <c r="BM67" s="55">
        <f>((2*BM60)-(BM63))/(BM57^2.86)</f>
        <v>9.22616504088374E-11</v>
      </c>
      <c r="BO67" s="55">
        <f t="shared" ref="BO67:BV67" si="70">((2*BO60)-(BO63))/(BO57^2.86)</f>
        <v>6.489819506807E-11</v>
      </c>
      <c r="BP67" s="55">
        <f t="shared" si="70"/>
        <v>7.3359263495807303E-11</v>
      </c>
      <c r="BQ67" s="55">
        <f t="shared" si="70"/>
        <v>8.290046831857484E-11</v>
      </c>
      <c r="BR67" s="55">
        <f t="shared" si="70"/>
        <v>8.9111252589999085E-11</v>
      </c>
      <c r="BS67" s="55">
        <f t="shared" si="70"/>
        <v>9.7302286918978743E-11</v>
      </c>
      <c r="BT67" s="55">
        <f t="shared" si="70"/>
        <v>6.2107842714241767E-11</v>
      </c>
      <c r="BU67" s="55">
        <f t="shared" si="70"/>
        <v>6.3097967743019551E-11</v>
      </c>
      <c r="BV67" s="55">
        <f t="shared" si="70"/>
        <v>6.5978331463100324E-11</v>
      </c>
    </row>
    <row r="68" spans="8:75" x14ac:dyDescent="0.2">
      <c r="H68" s="104"/>
      <c r="I68" s="5" t="s">
        <v>256</v>
      </c>
      <c r="J68" s="55">
        <f t="shared" ref="J68:BG68" si="71">(J62)/(J57^4.42)</f>
        <v>2.1350796885044384E-20</v>
      </c>
      <c r="K68" s="55">
        <f t="shared" si="71"/>
        <v>2.2214544731995867E-20</v>
      </c>
      <c r="L68" s="55">
        <f t="shared" si="71"/>
        <v>2.1255061019043356E-20</v>
      </c>
      <c r="M68" s="55">
        <f>(M62)/(M57^4.42)</f>
        <v>2.1170373974247605E-20</v>
      </c>
      <c r="N68" s="55">
        <f t="shared" si="71"/>
        <v>2.3473405294802856E-20</v>
      </c>
      <c r="O68" s="55">
        <f t="shared" si="71"/>
        <v>1.9539104319402986E-20</v>
      </c>
      <c r="P68" s="55">
        <f t="shared" si="71"/>
        <v>2.2869072156055093E-20</v>
      </c>
      <c r="Q68" s="55">
        <f t="shared" si="71"/>
        <v>2.2003933257379256E-20</v>
      </c>
      <c r="R68" s="55">
        <f t="shared" si="71"/>
        <v>2.210217991611112E-20</v>
      </c>
      <c r="S68" s="55">
        <f t="shared" si="71"/>
        <v>2.187561882360939E-20</v>
      </c>
      <c r="T68" s="55">
        <f t="shared" si="71"/>
        <v>2.2046200682717257E-20</v>
      </c>
      <c r="U68" s="55">
        <f t="shared" si="71"/>
        <v>2.141625136494281E-20</v>
      </c>
      <c r="V68" s="55">
        <f t="shared" si="71"/>
        <v>1.9662889314980503E-20</v>
      </c>
      <c r="W68" s="55">
        <f t="shared" si="71"/>
        <v>1.9722066386937264E-20</v>
      </c>
      <c r="X68" s="55">
        <f t="shared" si="71"/>
        <v>2.4097825224782744E-20</v>
      </c>
      <c r="Y68" s="55">
        <f t="shared" si="71"/>
        <v>1.9403435653124179E-20</v>
      </c>
      <c r="Z68" s="55">
        <f t="shared" si="71"/>
        <v>1.9921986402417175E-20</v>
      </c>
      <c r="AA68" s="55">
        <f t="shared" si="71"/>
        <v>1.9393368363765882E-20</v>
      </c>
      <c r="AB68" s="55">
        <f t="shared" si="71"/>
        <v>1.9786756635932659E-20</v>
      </c>
      <c r="AC68" s="55">
        <f t="shared" si="71"/>
        <v>2.3925240156473171E-20</v>
      </c>
      <c r="AD68" s="55">
        <f t="shared" si="71"/>
        <v>2.4127731645411612E-20</v>
      </c>
      <c r="AE68" s="55">
        <f t="shared" si="71"/>
        <v>2.1708599788663575E-20</v>
      </c>
      <c r="AF68" s="55">
        <f t="shared" si="71"/>
        <v>2.2958086355650198E-20</v>
      </c>
      <c r="AG68" s="55">
        <f t="shared" si="71"/>
        <v>2.1976023622081867E-20</v>
      </c>
      <c r="AH68" s="55">
        <f t="shared" si="71"/>
        <v>2.1948140336725863E-20</v>
      </c>
      <c r="AI68" s="55">
        <f t="shared" si="71"/>
        <v>2.2175262693633662E-20</v>
      </c>
      <c r="AJ68" s="55">
        <f t="shared" si="71"/>
        <v>2.2477973225261719E-20</v>
      </c>
      <c r="AK68" s="55">
        <f t="shared" si="71"/>
        <v>2.365872190773262E-20</v>
      </c>
      <c r="AL68" s="55">
        <f t="shared" si="71"/>
        <v>2.3908176426675242E-20</v>
      </c>
      <c r="AM68" s="55">
        <f t="shared" si="71"/>
        <v>2.1734547225168872E-20</v>
      </c>
      <c r="AN68" s="55">
        <f t="shared" si="71"/>
        <v>2.2405034099769514E-20</v>
      </c>
      <c r="AO68" s="55">
        <f t="shared" si="71"/>
        <v>2.1266654673635977E-20</v>
      </c>
      <c r="AP68" s="55">
        <f t="shared" si="71"/>
        <v>2.2549503157220631E-20</v>
      </c>
      <c r="AQ68" s="55">
        <f t="shared" si="71"/>
        <v>1.9202216349151665E-20</v>
      </c>
      <c r="AR68" s="55">
        <f t="shared" si="71"/>
        <v>1.9417163309690489E-20</v>
      </c>
      <c r="AS68" s="55">
        <f t="shared" si="71"/>
        <v>2.0355472848796789E-20</v>
      </c>
      <c r="AT68" s="55">
        <f t="shared" si="71"/>
        <v>2.3830824850752996E-20</v>
      </c>
      <c r="AU68" s="55">
        <f t="shared" si="71"/>
        <v>1.9121438296494825E-20</v>
      </c>
      <c r="AV68" s="55">
        <f t="shared" si="71"/>
        <v>1.8942725141602909E-20</v>
      </c>
      <c r="AW68" s="55">
        <f t="shared" si="71"/>
        <v>1.8799925531065614E-20</v>
      </c>
      <c r="AX68" s="55">
        <f t="shared" si="71"/>
        <v>1.9202216349151665E-20</v>
      </c>
      <c r="AY68" s="55">
        <f t="shared" si="71"/>
        <v>1.9048010201470415E-20</v>
      </c>
      <c r="AZ68" s="55">
        <f t="shared" si="71"/>
        <v>2.2930183927965067E-20</v>
      </c>
      <c r="BA68" s="55">
        <f t="shared" si="71"/>
        <v>2.1228702405782149E-20</v>
      </c>
      <c r="BB68" s="55">
        <f t="shared" si="71"/>
        <v>2.3830824850752996E-20</v>
      </c>
      <c r="BC68" s="55">
        <f t="shared" si="71"/>
        <v>2.1024582085375961E-20</v>
      </c>
      <c r="BD68" s="55">
        <f t="shared" si="71"/>
        <v>2.0395312396752312E-20</v>
      </c>
      <c r="BE68" s="55">
        <f t="shared" si="71"/>
        <v>1.9202216349151665E-20</v>
      </c>
      <c r="BF68" s="55">
        <f t="shared" si="71"/>
        <v>2.2478866866107905E-20</v>
      </c>
      <c r="BG68" s="55">
        <f t="shared" si="71"/>
        <v>2.2447145563557378E-20</v>
      </c>
      <c r="BI68" s="104"/>
      <c r="BJ68" s="5" t="s">
        <v>256</v>
      </c>
      <c r="BK68" s="55">
        <f>(BK62)/(BK57^4.42)</f>
        <v>1.1761318874582004E-19</v>
      </c>
      <c r="BL68" s="55">
        <f>(BL62)/(BL57^4.42)</f>
        <v>2.0960766311136243E-20</v>
      </c>
      <c r="BM68" s="55">
        <f>(BM62)/(BM57^4.42)</f>
        <v>8.5710016090071281E-21</v>
      </c>
      <c r="BO68" s="55">
        <f t="shared" ref="BO68:BV68" si="72">(BO62)/(BO57^4.42)</f>
        <v>9.6228972610216384E-20</v>
      </c>
      <c r="BP68" s="55">
        <f t="shared" si="72"/>
        <v>8.4681495896990419E-20</v>
      </c>
      <c r="BQ68" s="55">
        <f t="shared" si="72"/>
        <v>7.5608478479455721E-20</v>
      </c>
      <c r="BR68" s="55">
        <f t="shared" si="72"/>
        <v>7.056791324749202E-20</v>
      </c>
      <c r="BS68" s="55">
        <f t="shared" si="72"/>
        <v>6.4152648406810914E-20</v>
      </c>
      <c r="BT68" s="55">
        <f t="shared" si="72"/>
        <v>6.0486782783564582E-20</v>
      </c>
      <c r="BU68" s="55">
        <f t="shared" si="72"/>
        <v>5.7217226957425947E-20</v>
      </c>
      <c r="BV68" s="55">
        <f t="shared" si="72"/>
        <v>5.4283010190378474E-20</v>
      </c>
    </row>
    <row r="69" spans="8:75" x14ac:dyDescent="0.2">
      <c r="H69" s="104"/>
      <c r="I69" s="5" t="s">
        <v>257</v>
      </c>
      <c r="J69" s="55">
        <f t="shared" ref="J69:BG69" si="73">(J65)/(J58^4.69)</f>
        <v>4.6161088093766676E-23</v>
      </c>
      <c r="K69" s="55">
        <f t="shared" si="73"/>
        <v>1.568428991165812E-23</v>
      </c>
      <c r="L69" s="55">
        <f t="shared" si="73"/>
        <v>4.7409993064534616E-23</v>
      </c>
      <c r="M69" s="55">
        <f>(M65)/(M58^4.69)</f>
        <v>2.1399986465270455E-23</v>
      </c>
      <c r="N69" s="55">
        <f t="shared" si="73"/>
        <v>1.9837227174206046E-23</v>
      </c>
      <c r="O69" s="55">
        <f t="shared" si="73"/>
        <v>3.0723686478633315E-22</v>
      </c>
      <c r="P69" s="55">
        <f t="shared" si="73"/>
        <v>2.4517932234468066E-23</v>
      </c>
      <c r="Q69" s="55">
        <f t="shared" si="73"/>
        <v>3.4691360918121245E-23</v>
      </c>
      <c r="R69" s="55">
        <f t="shared" si="73"/>
        <v>2.8346887818703261E-23</v>
      </c>
      <c r="S69" s="55">
        <f t="shared" si="73"/>
        <v>4.2658801908841813E-23</v>
      </c>
      <c r="T69" s="55">
        <f t="shared" si="73"/>
        <v>3.1495855519935997E-23</v>
      </c>
      <c r="U69" s="55">
        <f t="shared" si="73"/>
        <v>6.4954720130483023E-23</v>
      </c>
      <c r="V69" s="55">
        <f t="shared" si="73"/>
        <v>2.4267734956454809E-22</v>
      </c>
      <c r="W69" s="55">
        <f t="shared" si="73"/>
        <v>2.1365646457386588E-22</v>
      </c>
      <c r="X69" s="55">
        <f t="shared" si="73"/>
        <v>1.5245151604517469E-23</v>
      </c>
      <c r="Y69" s="55">
        <f t="shared" si="73"/>
        <v>4.2430273442923099E-22</v>
      </c>
      <c r="Z69" s="55">
        <f t="shared" si="73"/>
        <v>2.3842599831006528E-22</v>
      </c>
      <c r="AA69" s="55">
        <f t="shared" si="73"/>
        <v>4.672621990802681E-22</v>
      </c>
      <c r="AB69" s="55">
        <f t="shared" si="73"/>
        <v>5.3663746519876834E-22</v>
      </c>
      <c r="AC69" s="55">
        <f t="shared" si="73"/>
        <v>3.1208638885510565E-23</v>
      </c>
      <c r="AD69" s="55">
        <f t="shared" si="73"/>
        <v>2.0386658244239137E-23</v>
      </c>
      <c r="AE69" s="55">
        <f t="shared" si="73"/>
        <v>3.6967282380358187E-23</v>
      </c>
      <c r="AF69" s="55">
        <f t="shared" si="73"/>
        <v>2.3198719437496068E-23</v>
      </c>
      <c r="AG69" s="55">
        <f t="shared" si="73"/>
        <v>2.0573437668565617E-23</v>
      </c>
      <c r="AH69" s="55">
        <f t="shared" si="73"/>
        <v>4.8019923025711823E-23</v>
      </c>
      <c r="AI69" s="55">
        <f t="shared" si="73"/>
        <v>7.4093481225099955E-23</v>
      </c>
      <c r="AJ69" s="55">
        <f t="shared" si="73"/>
        <v>5.5564194200692023E-23</v>
      </c>
      <c r="AK69" s="55">
        <f t="shared" si="73"/>
        <v>2.2573365092920501E-23</v>
      </c>
      <c r="AL69" s="55">
        <f t="shared" si="73"/>
        <v>1.4349830216489304E-23</v>
      </c>
      <c r="AM69" s="55">
        <f t="shared" si="73"/>
        <v>3.4914195605643127E-23</v>
      </c>
      <c r="AN69" s="55">
        <f t="shared" si="73"/>
        <v>6.4211975247946225E-23</v>
      </c>
      <c r="AO69" s="55">
        <f t="shared" si="73"/>
        <v>8.4326967822280617E-23</v>
      </c>
      <c r="AP69" s="55">
        <f t="shared" si="73"/>
        <v>2.2498121785219147E-23</v>
      </c>
      <c r="AQ69" s="55">
        <f t="shared" si="73"/>
        <v>3.7125959901230155E-22</v>
      </c>
      <c r="AR69" s="55">
        <f t="shared" si="73"/>
        <v>4.0803479362123911E-22</v>
      </c>
      <c r="AS69" s="55">
        <f t="shared" si="73"/>
        <v>1.2963693709866054E-22</v>
      </c>
      <c r="AT69" s="55">
        <f t="shared" si="73"/>
        <v>3.6749909610988119E-23</v>
      </c>
      <c r="AU69" s="55">
        <f t="shared" si="73"/>
        <v>4.4519955556843264E-22</v>
      </c>
      <c r="AV69" s="55">
        <f t="shared" si="73"/>
        <v>4.7897150404980668E-22</v>
      </c>
      <c r="AW69" s="55">
        <f t="shared" si="73"/>
        <v>6.5403887266023436E-22</v>
      </c>
      <c r="AX69" s="55">
        <f t="shared" si="73"/>
        <v>3.6998976238412121E-22</v>
      </c>
      <c r="AY69" s="55">
        <f t="shared" si="73"/>
        <v>4.6083022277505272E-22</v>
      </c>
      <c r="AZ69" s="55">
        <f t="shared" si="73"/>
        <v>2.2805266801153565E-23</v>
      </c>
      <c r="BA69" s="55">
        <f t="shared" si="73"/>
        <v>9.3200230371977427E-23</v>
      </c>
      <c r="BB69" s="55">
        <f t="shared" si="73"/>
        <v>3.6749909610988119E-23</v>
      </c>
      <c r="BC69" s="55">
        <f t="shared" si="73"/>
        <v>1.943479107319868E-22</v>
      </c>
      <c r="BD69" s="55">
        <f t="shared" si="73"/>
        <v>1.2040899689324799E-22</v>
      </c>
      <c r="BE69" s="55">
        <f t="shared" si="73"/>
        <v>3.7679561000502209E-22</v>
      </c>
      <c r="BF69" s="55">
        <f t="shared" si="73"/>
        <v>2.0633580596048386E-23</v>
      </c>
      <c r="BG69" s="55">
        <f t="shared" si="73"/>
        <v>4.6323768605042736E-23</v>
      </c>
      <c r="BI69" s="104"/>
      <c r="BJ69" s="5" t="s">
        <v>257</v>
      </c>
      <c r="BK69" s="55">
        <f>(BK65)/(BK58^4.69)</f>
        <v>9.0751543949202072E-21</v>
      </c>
      <c r="BL69" s="55">
        <f>(BL65)/(BL58^4.69)</f>
        <v>2.0889838360020558E-23</v>
      </c>
      <c r="BM69" s="55">
        <f>(BM65)/(BM58^4.69)</f>
        <v>1.0532681463953402E-24</v>
      </c>
      <c r="BO69" s="55">
        <f t="shared" ref="BO69:BV69" si="74">(BO65)/(BO58^4.69)</f>
        <v>6.8181068189940867E-21</v>
      </c>
      <c r="BP69" s="55">
        <f t="shared" si="74"/>
        <v>5.5773866159246381E-21</v>
      </c>
      <c r="BQ69" s="55">
        <f t="shared" si="74"/>
        <v>4.8496301727702419E-21</v>
      </c>
      <c r="BR69" s="55">
        <f t="shared" si="74"/>
        <v>4.4365428712100237E-21</v>
      </c>
      <c r="BS69" s="55">
        <f t="shared" si="74"/>
        <v>3.8108782025085999E-21</v>
      </c>
      <c r="BT69" s="55">
        <f t="shared" si="74"/>
        <v>9.5229186806037534E-22</v>
      </c>
      <c r="BU69" s="55">
        <f t="shared" si="74"/>
        <v>7.9331123584871781E-22</v>
      </c>
      <c r="BV69" s="55">
        <f t="shared" si="74"/>
        <v>7.1907989900753681E-22</v>
      </c>
    </row>
    <row r="70" spans="8:75" x14ac:dyDescent="0.2">
      <c r="H70" s="104"/>
      <c r="I70" s="5" t="s">
        <v>254</v>
      </c>
      <c r="J70" s="65">
        <f t="shared" ref="J70:X70" si="75">(J67*J58^2.86)+(J68*J45*J58^4.42)+(J69*J45*J58^4.69)</f>
        <v>37462.448741055327</v>
      </c>
      <c r="K70" s="65">
        <f t="shared" si="75"/>
        <v>60993.205492602887</v>
      </c>
      <c r="L70" s="65">
        <f t="shared" si="75"/>
        <v>43104.932408289511</v>
      </c>
      <c r="M70" s="65">
        <f t="shared" si="75"/>
        <v>64782.396990378424</v>
      </c>
      <c r="N70" s="65">
        <f t="shared" si="75"/>
        <v>45379.605164765053</v>
      </c>
      <c r="O70" s="65">
        <f t="shared" si="75"/>
        <v>25184.186260513783</v>
      </c>
      <c r="P70" s="65">
        <f t="shared" si="75"/>
        <v>49679.501380182912</v>
      </c>
      <c r="Q70" s="65">
        <f t="shared" si="75"/>
        <v>49245.728944461611</v>
      </c>
      <c r="R70" s="65">
        <f t="shared" si="75"/>
        <v>55929.080585622134</v>
      </c>
      <c r="S70" s="65">
        <f t="shared" si="75"/>
        <v>43316.949134316892</v>
      </c>
      <c r="T70" s="65">
        <f t="shared" si="75"/>
        <v>52312.274786880647</v>
      </c>
      <c r="U70" s="65">
        <f t="shared" si="75"/>
        <v>38681.934539155467</v>
      </c>
      <c r="V70" s="65">
        <f t="shared" si="75"/>
        <v>28023.170936513929</v>
      </c>
      <c r="W70" s="65">
        <f t="shared" si="75"/>
        <v>29776.428629619193</v>
      </c>
      <c r="X70" s="65">
        <f t="shared" si="75"/>
        <v>50587.045294981661</v>
      </c>
      <c r="Y70" s="65">
        <f t="shared" ref="Y70:BG70" si="76">(Y67*Y58^2.86)+(Y68*Y45*Y58^4.42)+(Y69*Y45*Y58^4.69)</f>
        <v>25667.813604480776</v>
      </c>
      <c r="Z70" s="65">
        <f t="shared" si="76"/>
        <v>29617.233550539899</v>
      </c>
      <c r="AA70" s="65">
        <f t="shared" si="76"/>
        <v>26499.775778937386</v>
      </c>
      <c r="AB70" s="65">
        <f t="shared" si="76"/>
        <v>22128.63766014688</v>
      </c>
      <c r="AC70" s="65">
        <f t="shared" si="76"/>
        <v>41920.468202339085</v>
      </c>
      <c r="AD70" s="65">
        <f t="shared" si="76"/>
        <v>60917.729204492709</v>
      </c>
      <c r="AE70" s="65">
        <f t="shared" si="76"/>
        <v>54535.064736311135</v>
      </c>
      <c r="AF70" s="65">
        <f t="shared" si="76"/>
        <v>65131.079989269536</v>
      </c>
      <c r="AG70" s="65">
        <f t="shared" si="76"/>
        <v>51043.572075215372</v>
      </c>
      <c r="AH70" s="65">
        <f t="shared" si="76"/>
        <v>44329.757215512778</v>
      </c>
      <c r="AI70" s="65">
        <f t="shared" si="76"/>
        <v>29351.187481166169</v>
      </c>
      <c r="AJ70" s="65">
        <f t="shared" si="76"/>
        <v>37756.574159587341</v>
      </c>
      <c r="AK70" s="65">
        <f t="shared" si="76"/>
        <v>47849.148132546135</v>
      </c>
      <c r="AL70" s="65">
        <f t="shared" si="76"/>
        <v>64069.321258427022</v>
      </c>
      <c r="AM70" s="65">
        <f t="shared" si="76"/>
        <v>56528.751166377479</v>
      </c>
      <c r="AN70" s="65">
        <f t="shared" si="76"/>
        <v>34680.388774402214</v>
      </c>
      <c r="AO70" s="65">
        <f t="shared" si="76"/>
        <v>33250.140727947481</v>
      </c>
      <c r="AP70" s="65">
        <f t="shared" si="76"/>
        <v>54629.725311453323</v>
      </c>
      <c r="AQ70" s="65">
        <f t="shared" si="76"/>
        <v>27843.685870699963</v>
      </c>
      <c r="AR70" s="65">
        <f t="shared" si="76"/>
        <v>26057.678770173497</v>
      </c>
      <c r="AS70" s="65">
        <f t="shared" si="76"/>
        <v>34019.706339442768</v>
      </c>
      <c r="AT70" s="65">
        <f t="shared" si="76"/>
        <v>42015.73842127945</v>
      </c>
      <c r="AU70" s="65">
        <f t="shared" si="76"/>
        <v>25935.748629988611</v>
      </c>
      <c r="AV70" s="65">
        <f t="shared" si="76"/>
        <v>27716.340724105448</v>
      </c>
      <c r="AW70" s="65">
        <f t="shared" si="76"/>
        <v>24988.54086961933</v>
      </c>
      <c r="AX70" s="65">
        <f t="shared" si="76"/>
        <v>27881.495487663007</v>
      </c>
      <c r="AY70" s="65">
        <f t="shared" si="76"/>
        <v>29890.657061179692</v>
      </c>
      <c r="AZ70" s="65">
        <f t="shared" si="76"/>
        <v>52047.720556020235</v>
      </c>
      <c r="BA70" s="65">
        <f t="shared" si="76"/>
        <v>31441.765813313865</v>
      </c>
      <c r="BB70" s="65">
        <f t="shared" si="76"/>
        <v>42015.73842127945</v>
      </c>
      <c r="BC70" s="65">
        <f t="shared" si="76"/>
        <v>30915.758182972848</v>
      </c>
      <c r="BD70" s="65">
        <f t="shared" si="76"/>
        <v>35416.021536890636</v>
      </c>
      <c r="BE70" s="65">
        <f t="shared" si="76"/>
        <v>27681.526510458239</v>
      </c>
      <c r="BF70" s="65">
        <f t="shared" si="76"/>
        <v>48841.905437729103</v>
      </c>
      <c r="BG70" s="65">
        <f t="shared" si="76"/>
        <v>46963.473756452666</v>
      </c>
      <c r="BI70" s="104"/>
      <c r="BJ70" s="5" t="s">
        <v>254</v>
      </c>
      <c r="BK70" s="65">
        <f>(BK67*BK58^2.86)+(BK68*BK45*BK58^4.42)+(BK69*BK45*BK58^4.69)</f>
        <v>7355.1631573563363</v>
      </c>
      <c r="BL70" s="65">
        <f>(BL67*BL58^2.86)+(BL68*BL45*BL58^4.42)+(BL69*BL45*BL58^4.69)</f>
        <v>65284.722707607783</v>
      </c>
      <c r="BM70" s="65">
        <f>(BM67*BM58^2.86)+(BM68*BM45*BM58^4.42)+(BM69*BM45*BM58^4.69)</f>
        <v>267882.26568815217</v>
      </c>
      <c r="BO70" s="65">
        <f t="shared" ref="BO70:BV70" si="77">(BO67*BO58^2.86)+(BO68*BO45*BO58^4.42)+(BO69*BO45*BO58^4.69)</f>
        <v>7090.5972078698123</v>
      </c>
      <c r="BP70" s="65">
        <f t="shared" si="77"/>
        <v>7012.3797149290331</v>
      </c>
      <c r="BQ70" s="65">
        <f t="shared" si="77"/>
        <v>6917.6485717050227</v>
      </c>
      <c r="BR70" s="65">
        <f t="shared" si="77"/>
        <v>6883.1068968203654</v>
      </c>
      <c r="BS70" s="65">
        <f t="shared" si="77"/>
        <v>6903.5359496543924</v>
      </c>
      <c r="BT70" s="65">
        <f t="shared" si="77"/>
        <v>12554.778017213859</v>
      </c>
      <c r="BU70" s="65">
        <f t="shared" si="77"/>
        <v>13234.799454077158</v>
      </c>
      <c r="BV70" s="65">
        <f t="shared" si="77"/>
        <v>13418.516114756636</v>
      </c>
    </row>
    <row r="71" spans="8:75" x14ac:dyDescent="0.2">
      <c r="H71" s="104"/>
      <c r="I71" s="5" t="s">
        <v>258</v>
      </c>
      <c r="J71" s="72">
        <f t="shared" ref="J71:BG71" si="78">J70/1000000</f>
        <v>3.7462448741055324E-2</v>
      </c>
      <c r="K71" s="72">
        <f t="shared" si="78"/>
        <v>6.0993205492602884E-2</v>
      </c>
      <c r="L71" s="72">
        <f t="shared" si="78"/>
        <v>4.3104932408289512E-2</v>
      </c>
      <c r="M71" s="72">
        <f>M70/1000000</f>
        <v>6.4782396990378424E-2</v>
      </c>
      <c r="N71" s="72">
        <f t="shared" si="78"/>
        <v>4.5379605164765052E-2</v>
      </c>
      <c r="O71" s="72">
        <f t="shared" si="78"/>
        <v>2.5184186260513781E-2</v>
      </c>
      <c r="P71" s="72">
        <f t="shared" si="78"/>
        <v>4.9679501380182914E-2</v>
      </c>
      <c r="Q71" s="72">
        <f t="shared" si="78"/>
        <v>4.9245728944461609E-2</v>
      </c>
      <c r="R71" s="72">
        <f t="shared" si="78"/>
        <v>5.5929080585622133E-2</v>
      </c>
      <c r="S71" s="72">
        <f t="shared" si="78"/>
        <v>4.3316949134316891E-2</v>
      </c>
      <c r="T71" s="72">
        <f t="shared" si="78"/>
        <v>5.231227478688065E-2</v>
      </c>
      <c r="U71" s="72">
        <f t="shared" si="78"/>
        <v>3.8681934539155464E-2</v>
      </c>
      <c r="V71" s="72">
        <f t="shared" si="78"/>
        <v>2.8023170936513929E-2</v>
      </c>
      <c r="W71" s="72">
        <f t="shared" si="78"/>
        <v>2.9776428629619194E-2</v>
      </c>
      <c r="X71" s="72">
        <f t="shared" si="78"/>
        <v>5.0587045294981661E-2</v>
      </c>
      <c r="Y71" s="72">
        <f t="shared" si="78"/>
        <v>2.5667813604480776E-2</v>
      </c>
      <c r="Z71" s="72">
        <f t="shared" si="78"/>
        <v>2.9617233550539898E-2</v>
      </c>
      <c r="AA71" s="72">
        <f t="shared" si="78"/>
        <v>2.6499775778937387E-2</v>
      </c>
      <c r="AB71" s="72">
        <f t="shared" si="78"/>
        <v>2.2128637660146881E-2</v>
      </c>
      <c r="AC71" s="72">
        <f t="shared" si="78"/>
        <v>4.1920468202339085E-2</v>
      </c>
      <c r="AD71" s="72">
        <f t="shared" si="78"/>
        <v>6.0917729204492711E-2</v>
      </c>
      <c r="AE71" s="72">
        <f t="shared" si="78"/>
        <v>5.4535064736311138E-2</v>
      </c>
      <c r="AF71" s="72">
        <f t="shared" si="78"/>
        <v>6.5131079989269536E-2</v>
      </c>
      <c r="AG71" s="72">
        <f t="shared" si="78"/>
        <v>5.1043572075215371E-2</v>
      </c>
      <c r="AH71" s="72">
        <f t="shared" si="78"/>
        <v>4.4329757215512779E-2</v>
      </c>
      <c r="AI71" s="72">
        <f t="shared" si="78"/>
        <v>2.935118748116617E-2</v>
      </c>
      <c r="AJ71" s="72">
        <f t="shared" si="78"/>
        <v>3.7756574159587337E-2</v>
      </c>
      <c r="AK71" s="72">
        <f t="shared" si="78"/>
        <v>4.7849148132546135E-2</v>
      </c>
      <c r="AL71" s="72">
        <f t="shared" si="78"/>
        <v>6.4069321258427028E-2</v>
      </c>
      <c r="AM71" s="72">
        <f t="shared" si="78"/>
        <v>5.6528751166377476E-2</v>
      </c>
      <c r="AN71" s="72">
        <f t="shared" si="78"/>
        <v>3.4680388774402215E-2</v>
      </c>
      <c r="AO71" s="72">
        <f t="shared" si="78"/>
        <v>3.3250140727947478E-2</v>
      </c>
      <c r="AP71" s="72">
        <f t="shared" si="78"/>
        <v>5.4629725311453325E-2</v>
      </c>
      <c r="AQ71" s="72">
        <f t="shared" si="78"/>
        <v>2.7843685870699963E-2</v>
      </c>
      <c r="AR71" s="72">
        <f t="shared" si="78"/>
        <v>2.6057678770173499E-2</v>
      </c>
      <c r="AS71" s="72">
        <f t="shared" si="78"/>
        <v>3.4019706339442769E-2</v>
      </c>
      <c r="AT71" s="72">
        <f t="shared" si="78"/>
        <v>4.2015738421279453E-2</v>
      </c>
      <c r="AU71" s="72">
        <f t="shared" si="78"/>
        <v>2.5935748629988611E-2</v>
      </c>
      <c r="AV71" s="72">
        <f t="shared" si="78"/>
        <v>2.7716340724105448E-2</v>
      </c>
      <c r="AW71" s="72">
        <f t="shared" si="78"/>
        <v>2.4988540869619331E-2</v>
      </c>
      <c r="AX71" s="72">
        <f t="shared" si="78"/>
        <v>2.7881495487663006E-2</v>
      </c>
      <c r="AY71" s="72">
        <f t="shared" si="78"/>
        <v>2.9890657061179691E-2</v>
      </c>
      <c r="AZ71" s="72">
        <f t="shared" si="78"/>
        <v>5.2047720556020236E-2</v>
      </c>
      <c r="BA71" s="72">
        <f t="shared" si="78"/>
        <v>3.1441765813313864E-2</v>
      </c>
      <c r="BB71" s="72">
        <f t="shared" si="78"/>
        <v>4.2015738421279453E-2</v>
      </c>
      <c r="BC71" s="72">
        <f t="shared" si="78"/>
        <v>3.0915758182972847E-2</v>
      </c>
      <c r="BD71" s="72">
        <f t="shared" si="78"/>
        <v>3.5416021536890635E-2</v>
      </c>
      <c r="BE71" s="72">
        <f t="shared" si="78"/>
        <v>2.768152651045824E-2</v>
      </c>
      <c r="BF71" s="72">
        <f t="shared" si="78"/>
        <v>4.8841905437729101E-2</v>
      </c>
      <c r="BG71" s="72">
        <f t="shared" si="78"/>
        <v>4.6963473756452663E-2</v>
      </c>
      <c r="BI71" s="104"/>
      <c r="BJ71" s="5" t="s">
        <v>258</v>
      </c>
      <c r="BK71" s="72">
        <f>BK70/1000000</f>
        <v>7.3551631573563359E-3</v>
      </c>
      <c r="BL71" s="72">
        <f>BL70/1000000</f>
        <v>6.5284722707607781E-2</v>
      </c>
      <c r="BM71" s="72">
        <f>BM70/1000000</f>
        <v>0.26788226568815215</v>
      </c>
      <c r="BO71" s="72">
        <f t="shared" ref="BO71:BV71" si="79">BO70/1000000</f>
        <v>7.0905972078698122E-3</v>
      </c>
      <c r="BP71" s="72">
        <f t="shared" si="79"/>
        <v>7.0123797149290326E-3</v>
      </c>
      <c r="BQ71" s="72">
        <f t="shared" si="79"/>
        <v>6.9176485717050229E-3</v>
      </c>
      <c r="BR71" s="72">
        <f t="shared" si="79"/>
        <v>6.8831068968203653E-3</v>
      </c>
      <c r="BS71" s="72">
        <f t="shared" si="79"/>
        <v>6.9035359496543922E-3</v>
      </c>
      <c r="BT71" s="72">
        <f t="shared" si="79"/>
        <v>1.255477801721386E-2</v>
      </c>
      <c r="BU71" s="72">
        <f t="shared" si="79"/>
        <v>1.3234799454077158E-2</v>
      </c>
      <c r="BV71" s="72">
        <f t="shared" si="79"/>
        <v>1.3418516114756637E-2</v>
      </c>
    </row>
    <row r="72" spans="8:75" x14ac:dyDescent="0.2">
      <c r="I72" s="5"/>
      <c r="BJ72" s="5"/>
    </row>
    <row r="73" spans="8:75" x14ac:dyDescent="0.2">
      <c r="H73" s="5" t="s">
        <v>269</v>
      </c>
      <c r="I73" s="5" t="s">
        <v>270</v>
      </c>
      <c r="J73" s="69">
        <f>((J19/(J50*J18))+(J19*(LN(J19/J18))/(2*45))+(1/J58))^-1</f>
        <v>1284.5249184354368</v>
      </c>
      <c r="K73" s="69">
        <f t="shared" ref="K73:BG73" si="80">((K19/(K50*K18))+(K19*(LN(K19/K18))/(2*45))+(1/K58))^-1</f>
        <v>2105.2319046506368</v>
      </c>
      <c r="L73" s="69">
        <f t="shared" si="80"/>
        <v>1089.5865983780757</v>
      </c>
      <c r="M73" s="69">
        <f>((M19/(M50*M18))+(M19*(LN(M19/M18))/(2*45))+(1/M58))^-1</f>
        <v>1602.4015430801578</v>
      </c>
      <c r="N73" s="69">
        <f t="shared" si="80"/>
        <v>1939.9907893172071</v>
      </c>
      <c r="O73" s="69">
        <f t="shared" si="80"/>
        <v>456.44026350106157</v>
      </c>
      <c r="P73" s="69">
        <f t="shared" si="80"/>
        <v>1512.6696687777837</v>
      </c>
      <c r="Q73" s="69">
        <f t="shared" si="80"/>
        <v>1187.5685101394497</v>
      </c>
      <c r="R73" s="69">
        <f t="shared" si="80"/>
        <v>1259.3550179618787</v>
      </c>
      <c r="S73" s="69">
        <f t="shared" si="80"/>
        <v>1120.7605138452743</v>
      </c>
      <c r="T73" s="69">
        <f t="shared" si="80"/>
        <v>1221.2965338030199</v>
      </c>
      <c r="U73" s="69">
        <f t="shared" si="80"/>
        <v>889.48758863524847</v>
      </c>
      <c r="V73" s="69">
        <f t="shared" si="80"/>
        <v>487.3432389240993</v>
      </c>
      <c r="W73" s="69">
        <f t="shared" si="80"/>
        <v>504.93299758823269</v>
      </c>
      <c r="X73" s="69">
        <f t="shared" si="80"/>
        <v>2091.1875398405305</v>
      </c>
      <c r="Y73" s="69">
        <f t="shared" si="80"/>
        <v>375.75639169833693</v>
      </c>
      <c r="Z73" s="69">
        <f t="shared" si="80"/>
        <v>463.9008348260042</v>
      </c>
      <c r="AA73" s="69">
        <f t="shared" si="80"/>
        <v>350.76985230534609</v>
      </c>
      <c r="AB73" s="69">
        <f t="shared" si="80"/>
        <v>352.6811349824315</v>
      </c>
      <c r="AC73" s="69">
        <f t="shared" si="80"/>
        <v>1232.7594315425818</v>
      </c>
      <c r="AD73" s="69">
        <f t="shared" si="80"/>
        <v>1256.9980514485869</v>
      </c>
      <c r="AE73" s="69">
        <f t="shared" si="80"/>
        <v>1046.4903901703528</v>
      </c>
      <c r="AF73" s="69">
        <f t="shared" si="80"/>
        <v>1206.6881849759036</v>
      </c>
      <c r="AG73" s="69">
        <f t="shared" si="80"/>
        <v>1977.4376606910487</v>
      </c>
      <c r="AH73" s="69">
        <f t="shared" si="80"/>
        <v>972.33849999555673</v>
      </c>
      <c r="AI73" s="69">
        <f t="shared" si="80"/>
        <v>958.03478756027482</v>
      </c>
      <c r="AJ73" s="69">
        <f t="shared" si="80"/>
        <v>935.5384696496468</v>
      </c>
      <c r="AK73" s="69">
        <f t="shared" si="80"/>
        <v>1548.4610036960225</v>
      </c>
      <c r="AL73" s="69">
        <f t="shared" si="80"/>
        <v>1759.4839387706986</v>
      </c>
      <c r="AM73" s="69">
        <f t="shared" si="80"/>
        <v>1064.0752980289897</v>
      </c>
      <c r="AN73" s="69">
        <f t="shared" si="80"/>
        <v>896.98596403899398</v>
      </c>
      <c r="AO73" s="69">
        <f t="shared" si="80"/>
        <v>826.04593727393842</v>
      </c>
      <c r="AP73" s="69">
        <f t="shared" si="80"/>
        <v>1548.4600570316659</v>
      </c>
      <c r="AQ73" s="69">
        <f t="shared" si="80"/>
        <v>389.54324949064596</v>
      </c>
      <c r="AR73" s="69">
        <f t="shared" si="80"/>
        <v>379.93955439897189</v>
      </c>
      <c r="AS73" s="69">
        <f t="shared" si="80"/>
        <v>619.80197041552719</v>
      </c>
      <c r="AT73" s="69">
        <f t="shared" si="80"/>
        <v>1060.6547754661569</v>
      </c>
      <c r="AU73" s="69">
        <f>((AU19/(AU50*AU18))+(AU19*(LN(AU19/AU18))/(2*45))+(1/AU58))^-1</f>
        <v>370.17779103843537</v>
      </c>
      <c r="AV73" s="69">
        <f t="shared" si="80"/>
        <v>347.63544653531767</v>
      </c>
      <c r="AW73" s="69">
        <f t="shared" si="80"/>
        <v>318.60880649018026</v>
      </c>
      <c r="AX73" s="69">
        <f t="shared" si="80"/>
        <v>389.91632973513384</v>
      </c>
      <c r="AY73" s="69">
        <f t="shared" si="80"/>
        <v>338.58910282148571</v>
      </c>
      <c r="AZ73" s="69">
        <f t="shared" si="80"/>
        <v>1540.1066915657939</v>
      </c>
      <c r="BA73" s="69">
        <f t="shared" si="80"/>
        <v>802.64116035749191</v>
      </c>
      <c r="BB73" s="69">
        <f t="shared" si="80"/>
        <v>1060.6547754661569</v>
      </c>
      <c r="BC73" s="69">
        <f t="shared" si="80"/>
        <v>474.8190307797903</v>
      </c>
      <c r="BD73" s="69">
        <f t="shared" si="80"/>
        <v>633.23092802074802</v>
      </c>
      <c r="BE73" s="69">
        <f t="shared" si="80"/>
        <v>387.9358383957499</v>
      </c>
      <c r="BF73" s="69">
        <f t="shared" si="80"/>
        <v>1940.7457152009388</v>
      </c>
      <c r="BG73" s="69">
        <f t="shared" si="80"/>
        <v>905.41964847878376</v>
      </c>
      <c r="BI73" s="5" t="s">
        <v>269</v>
      </c>
      <c r="BJ73" s="5" t="s">
        <v>270</v>
      </c>
      <c r="BK73" s="69">
        <f>((BK19/(BK50*BK18))+(BK19*(LN(BK19/BK18))/(2*45))+(1/BK58))^-1</f>
        <v>568.19127152383874</v>
      </c>
      <c r="BL73" s="69">
        <f>((BL19/(BL50*BL18))+(BL19*(LN(BL19/BL18))/(2*45))+(1/BL58))^-1</f>
        <v>1606.7510062103863</v>
      </c>
      <c r="BM73" s="69">
        <f>((BM19/(BM50*BM18))+(BM19*(LN(BM19/BM18))/(2*45))+(1/BM58))^-1</f>
        <v>2544.1726766690813</v>
      </c>
      <c r="BO73" s="69">
        <f t="shared" ref="BO73:BV73" si="81">((BO19/(BO50*BO18))+(BO19*(LN(BO19/BO18))/(2*45))+(1/BO58))^-1</f>
        <v>565.29675584618883</v>
      </c>
      <c r="BP73" s="69">
        <f t="shared" si="81"/>
        <v>567.5961780007267</v>
      </c>
      <c r="BQ73" s="69">
        <f t="shared" si="81"/>
        <v>563.70991734571976</v>
      </c>
      <c r="BR73" s="69">
        <f t="shared" si="81"/>
        <v>562.3031063911593</v>
      </c>
      <c r="BS73" s="69">
        <f t="shared" si="81"/>
        <v>565.49761600181307</v>
      </c>
      <c r="BT73" s="69">
        <f t="shared" si="81"/>
        <v>832.53026530221359</v>
      </c>
      <c r="BU73" s="69">
        <f t="shared" si="81"/>
        <v>857.84811712690737</v>
      </c>
      <c r="BV73" s="69">
        <f t="shared" si="81"/>
        <v>863.03371372802258</v>
      </c>
    </row>
    <row r="74" spans="8:75" x14ac:dyDescent="0.2">
      <c r="I74" s="5"/>
      <c r="BJ74" s="5"/>
    </row>
    <row r="75" spans="8:75" x14ac:dyDescent="0.2">
      <c r="H75" s="74" t="s">
        <v>273</v>
      </c>
      <c r="I75" s="5"/>
      <c r="J75" s="73">
        <f t="shared" ref="J75:BF75" si="82">(((J70/J27)*J33)/1000)/0.6</f>
        <v>12.166174251697772</v>
      </c>
      <c r="K75" s="73">
        <f t="shared" si="82"/>
        <v>19.805625259402355</v>
      </c>
      <c r="L75" s="73">
        <f t="shared" si="82"/>
        <v>13.998794561857947</v>
      </c>
      <c r="M75" s="73">
        <f>(((M70/M27)*M33)/1000)/0.6</f>
        <v>21.039036497658632</v>
      </c>
      <c r="N75" s="73">
        <f t="shared" si="82"/>
        <v>14.733246652767507</v>
      </c>
      <c r="O75" s="73">
        <f t="shared" si="82"/>
        <v>8.1810576088975075</v>
      </c>
      <c r="P75" s="73">
        <f t="shared" si="82"/>
        <v>16.130476166202325</v>
      </c>
      <c r="Q75" s="73">
        <f t="shared" si="82"/>
        <v>15.991397546003377</v>
      </c>
      <c r="R75" s="73">
        <f t="shared" si="82"/>
        <v>18.161414658550306</v>
      </c>
      <c r="S75" s="73">
        <f t="shared" si="82"/>
        <v>14.066409708100366</v>
      </c>
      <c r="T75" s="73">
        <f t="shared" si="82"/>
        <v>16.987088217166377</v>
      </c>
      <c r="U75" s="73">
        <f t="shared" si="82"/>
        <v>12.562080476286711</v>
      </c>
      <c r="V75" s="73">
        <f t="shared" si="82"/>
        <v>9.1031081051451554</v>
      </c>
      <c r="W75" s="73">
        <f t="shared" si="82"/>
        <v>9.672539118474182</v>
      </c>
      <c r="X75" s="73">
        <f t="shared" si="82"/>
        <v>16.422735932177972</v>
      </c>
      <c r="Y75" s="73">
        <f t="shared" si="82"/>
        <v>8.3383567049185476</v>
      </c>
      <c r="Z75" s="73">
        <f t="shared" si="82"/>
        <v>9.620506119586933</v>
      </c>
      <c r="AA75" s="73">
        <f t="shared" si="82"/>
        <v>8.6086431667682852</v>
      </c>
      <c r="AB75" s="73">
        <f t="shared" si="82"/>
        <v>7.1881649819750395</v>
      </c>
      <c r="AC75" s="73">
        <f t="shared" si="82"/>
        <v>13.609461218498881</v>
      </c>
      <c r="AD75" s="73">
        <f t="shared" si="82"/>
        <v>19.776450450320329</v>
      </c>
      <c r="AE75" s="73">
        <f t="shared" si="82"/>
        <v>17.709706318637803</v>
      </c>
      <c r="AF75" s="73">
        <f t="shared" si="82"/>
        <v>21.147224012553451</v>
      </c>
      <c r="AG75" s="73">
        <f t="shared" si="82"/>
        <v>16.575268955335943</v>
      </c>
      <c r="AH75" s="73">
        <f t="shared" si="82"/>
        <v>14.395162024691109</v>
      </c>
      <c r="AI75" s="73">
        <f t="shared" si="82"/>
        <v>9.5308910148960759</v>
      </c>
      <c r="AJ75" s="73">
        <f t="shared" si="82"/>
        <v>12.259789588955545</v>
      </c>
      <c r="AK75" s="73">
        <f>(((AK70/AK27)*AK33)/1000)/0.6</f>
        <v>15.534683970575836</v>
      </c>
      <c r="AL75" s="73">
        <f t="shared" si="82"/>
        <v>20.800944944450631</v>
      </c>
      <c r="AM75" s="73">
        <f t="shared" si="82"/>
        <v>18.357793633738126</v>
      </c>
      <c r="AN75" s="73">
        <f t="shared" si="82"/>
        <v>11.261488651447179</v>
      </c>
      <c r="AO75" s="73">
        <f t="shared" si="82"/>
        <v>10.798751186366889</v>
      </c>
      <c r="AP75" s="73">
        <f t="shared" si="82"/>
        <v>17.739142635114771</v>
      </c>
      <c r="AQ75" s="73">
        <f t="shared" si="82"/>
        <v>9.045847353255386</v>
      </c>
      <c r="AR75" s="73">
        <f t="shared" si="82"/>
        <v>8.4653233367390275</v>
      </c>
      <c r="AS75" s="73">
        <f t="shared" si="82"/>
        <v>11.050216919528401</v>
      </c>
      <c r="AT75" s="73">
        <f t="shared" si="82"/>
        <v>13.641083635288002</v>
      </c>
      <c r="AU75" s="73">
        <f t="shared" si="82"/>
        <v>8.4261228265075978</v>
      </c>
      <c r="AV75" s="73">
        <f t="shared" si="82"/>
        <v>9.0048981820613658</v>
      </c>
      <c r="AW75" s="73">
        <f t="shared" si="82"/>
        <v>8.1188591859221599</v>
      </c>
      <c r="AX75" s="73">
        <f t="shared" si="82"/>
        <v>9.0581309289687812</v>
      </c>
      <c r="AY75" s="73">
        <f t="shared" si="82"/>
        <v>9.7111354707796149</v>
      </c>
      <c r="AZ75" s="73">
        <f t="shared" si="82"/>
        <v>16.899962128146637</v>
      </c>
      <c r="BA75" s="73">
        <f t="shared" si="82"/>
        <v>10.211500255456299</v>
      </c>
      <c r="BB75" s="73">
        <f t="shared" si="82"/>
        <v>13.641083635288002</v>
      </c>
      <c r="BC75" s="73">
        <f t="shared" si="82"/>
        <v>10.040965283702507</v>
      </c>
      <c r="BD75" s="73">
        <f t="shared" si="82"/>
        <v>11.503694993579337</v>
      </c>
      <c r="BE75" s="73">
        <f t="shared" si="82"/>
        <v>8.9931650745348168</v>
      </c>
      <c r="BF75" s="73">
        <f t="shared" si="82"/>
        <v>15.859895434089593</v>
      </c>
      <c r="BG75" s="73">
        <f>(((BG70/BG27)*BG33)/1000)/0.6</f>
        <v>15.249990886386129</v>
      </c>
      <c r="BI75" s="74" t="s">
        <v>273</v>
      </c>
      <c r="BJ75" s="5"/>
      <c r="BK75" s="73">
        <f>(((BK70/BK27)*BK33)/1000)/0.6</f>
        <v>0.42996553993873793</v>
      </c>
      <c r="BL75" s="73">
        <f>(((BL70/BL27)*BL33)/1000)/0.6</f>
        <v>21.414195906162142</v>
      </c>
      <c r="BM75" s="73">
        <f>(((BM70/BM27)*BM33)/1000)/0.6</f>
        <v>214.8868059226366</v>
      </c>
      <c r="BO75" s="73">
        <f t="shared" ref="BO75:BV75" si="83">(((BO70/BO27)*BO33)/1000)/0.6</f>
        <v>0.5066106671403291</v>
      </c>
      <c r="BP75" s="73">
        <f t="shared" si="83"/>
        <v>0.56934336954120757</v>
      </c>
      <c r="BQ75" s="73">
        <f t="shared" si="83"/>
        <v>0.62905028080258152</v>
      </c>
      <c r="BR75" s="73">
        <f t="shared" si="83"/>
        <v>0.67061706858885206</v>
      </c>
      <c r="BS75" s="73">
        <f t="shared" si="83"/>
        <v>0.7398682051491885</v>
      </c>
      <c r="BT75" s="73">
        <f t="shared" si="83"/>
        <v>1.4270721032009406</v>
      </c>
      <c r="BU75" s="73">
        <f t="shared" si="83"/>
        <v>1.5903324579685527</v>
      </c>
      <c r="BV75" s="73">
        <f t="shared" si="83"/>
        <v>1.6995656030856465</v>
      </c>
    </row>
    <row r="76" spans="8:75" x14ac:dyDescent="0.2">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c r="BI76" s="65"/>
      <c r="BJ76" s="65"/>
      <c r="BK76" s="65"/>
      <c r="BL76" s="65"/>
      <c r="BM76" s="65"/>
      <c r="BN76" s="65"/>
      <c r="BO76" s="65"/>
      <c r="BP76" s="65"/>
      <c r="BQ76" s="65"/>
      <c r="BR76" s="65"/>
      <c r="BS76" s="65"/>
      <c r="BT76" s="65"/>
      <c r="BU76" s="65"/>
      <c r="BV76" s="65"/>
      <c r="BW76" s="65"/>
    </row>
    <row r="77" spans="8:75" x14ac:dyDescent="0.2">
      <c r="H77" s="2"/>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c r="BL77"/>
      <c r="BM77"/>
      <c r="BN77" s="19"/>
      <c r="BO77" s="19"/>
      <c r="BP77" s="19"/>
      <c r="BQ77" s="19"/>
      <c r="BR77" s="19"/>
      <c r="BS77" s="19"/>
      <c r="BT77" s="19"/>
      <c r="BU77" s="19"/>
      <c r="BV77" s="19"/>
      <c r="BW77" s="19"/>
    </row>
    <row r="78" spans="8:75" x14ac:dyDescent="0.2">
      <c r="H78" s="2"/>
      <c r="I78" s="55"/>
      <c r="K78" s="65"/>
      <c r="L78" s="19"/>
      <c r="M78"/>
      <c r="N78"/>
      <c r="BI78" s="2"/>
      <c r="BJ78" s="55"/>
    </row>
    <row r="79" spans="8:75" x14ac:dyDescent="0.2">
      <c r="H79" s="2"/>
      <c r="I79" s="55"/>
      <c r="K79" s="65"/>
      <c r="L79" s="19"/>
      <c r="M79"/>
      <c r="N79"/>
      <c r="BI79" s="2"/>
      <c r="BJ79" s="55"/>
    </row>
    <row r="80" spans="8:75" x14ac:dyDescent="0.2">
      <c r="H80" s="2"/>
      <c r="I80" s="55"/>
      <c r="K80" s="65"/>
      <c r="L80" s="65"/>
      <c r="M80"/>
      <c r="N80"/>
      <c r="BI80" s="2"/>
      <c r="BJ80" s="55"/>
    </row>
    <row r="81" spans="8:62" x14ac:dyDescent="0.2">
      <c r="H81" s="2"/>
      <c r="I81" s="55"/>
      <c r="K81" s="65"/>
      <c r="L81" s="65"/>
      <c r="M81"/>
      <c r="N81"/>
      <c r="BI81" s="2"/>
      <c r="BJ81" s="55"/>
    </row>
    <row r="82" spans="8:62" x14ac:dyDescent="0.2">
      <c r="H82" s="2"/>
      <c r="I82" s="55"/>
      <c r="K82" s="65"/>
      <c r="L82" s="65"/>
      <c r="M82"/>
      <c r="N82"/>
      <c r="BI82" s="2"/>
      <c r="BJ82" s="55"/>
    </row>
    <row r="83" spans="8:62" x14ac:dyDescent="0.2">
      <c r="H83" s="2"/>
      <c r="I83" s="55"/>
      <c r="K83" s="65"/>
      <c r="L83" s="65"/>
      <c r="M83"/>
      <c r="N83"/>
      <c r="BI83" s="2"/>
      <c r="BJ83" s="55"/>
    </row>
    <row r="84" spans="8:62" x14ac:dyDescent="0.2">
      <c r="H84" s="2"/>
      <c r="I84" s="55"/>
      <c r="K84" s="65"/>
      <c r="L84" s="65"/>
      <c r="M84"/>
      <c r="N84"/>
      <c r="BI84" s="2"/>
      <c r="BJ84" s="55"/>
    </row>
    <row r="85" spans="8:62" x14ac:dyDescent="0.2">
      <c r="H85" s="2"/>
      <c r="I85" s="55"/>
      <c r="K85" s="65"/>
      <c r="L85" s="65"/>
      <c r="M85"/>
      <c r="N85"/>
      <c r="BI85" s="2"/>
      <c r="BJ85" s="55"/>
    </row>
    <row r="86" spans="8:62" x14ac:dyDescent="0.2">
      <c r="H86" s="2"/>
      <c r="I86" s="55"/>
      <c r="K86" s="65"/>
      <c r="L86" s="65"/>
      <c r="M86"/>
      <c r="N86"/>
      <c r="BI86" s="2"/>
      <c r="BJ86" s="55"/>
    </row>
    <row r="87" spans="8:62" x14ac:dyDescent="0.2">
      <c r="H87" s="2"/>
      <c r="I87" s="55"/>
      <c r="K87" s="65"/>
      <c r="L87" s="65"/>
      <c r="M87"/>
      <c r="N87"/>
      <c r="BI87" s="2"/>
      <c r="BJ87" s="55"/>
    </row>
    <row r="88" spans="8:62" x14ac:dyDescent="0.2">
      <c r="H88" s="2"/>
      <c r="I88" s="55"/>
      <c r="K88" s="65"/>
      <c r="L88" s="65"/>
      <c r="M88"/>
      <c r="N88"/>
      <c r="BI88" s="2"/>
      <c r="BJ88" s="55"/>
    </row>
    <row r="89" spans="8:62" x14ac:dyDescent="0.2">
      <c r="H89" s="2"/>
      <c r="I89" s="55"/>
      <c r="K89" s="65"/>
      <c r="L89" s="65"/>
      <c r="M89"/>
      <c r="N89"/>
      <c r="BI89" s="2"/>
      <c r="BJ89" s="55"/>
    </row>
    <row r="90" spans="8:62" x14ac:dyDescent="0.2">
      <c r="H90" s="2"/>
      <c r="I90" s="55"/>
      <c r="K90" s="65"/>
      <c r="L90" s="65"/>
      <c r="M90"/>
      <c r="N90"/>
      <c r="BI90" s="2"/>
      <c r="BJ90" s="55"/>
    </row>
    <row r="91" spans="8:62" x14ac:dyDescent="0.2">
      <c r="H91" s="2"/>
      <c r="I91" s="55"/>
      <c r="K91" s="65"/>
      <c r="L91" s="65"/>
      <c r="M91"/>
      <c r="N91"/>
      <c r="BI91" s="2"/>
      <c r="BJ91" s="55"/>
    </row>
    <row r="92" spans="8:62" x14ac:dyDescent="0.2">
      <c r="H92" s="2"/>
      <c r="I92" s="55"/>
      <c r="K92" s="65"/>
      <c r="L92" s="65"/>
      <c r="M92"/>
      <c r="N92"/>
      <c r="BI92" s="2"/>
      <c r="BJ92" s="55"/>
    </row>
    <row r="93" spans="8:62" x14ac:dyDescent="0.2">
      <c r="H93" s="2"/>
      <c r="I93" s="55"/>
      <c r="K93" s="65"/>
      <c r="L93" s="65"/>
      <c r="M93"/>
      <c r="N93"/>
      <c r="BI93" s="2"/>
      <c r="BJ93" s="55"/>
    </row>
    <row r="94" spans="8:62" x14ac:dyDescent="0.2">
      <c r="H94" s="2"/>
      <c r="I94" s="55"/>
      <c r="K94" s="65"/>
      <c r="L94" s="65"/>
      <c r="M94"/>
      <c r="N94"/>
      <c r="BI94" s="2"/>
      <c r="BJ94" s="55"/>
    </row>
    <row r="95" spans="8:62" x14ac:dyDescent="0.2">
      <c r="H95" s="2"/>
      <c r="I95" s="55"/>
      <c r="K95" s="65"/>
      <c r="L95" s="65"/>
      <c r="M95"/>
      <c r="N95"/>
      <c r="BI95" s="2"/>
      <c r="BJ95" s="55"/>
    </row>
    <row r="96" spans="8:62" x14ac:dyDescent="0.2">
      <c r="H96" s="6"/>
      <c r="I96" s="55"/>
      <c r="J96"/>
      <c r="K96" s="65"/>
      <c r="L96" s="65"/>
      <c r="M96"/>
      <c r="N96"/>
      <c r="BI96" s="6"/>
      <c r="BJ96" s="55"/>
    </row>
    <row r="97" spans="8:62" x14ac:dyDescent="0.2">
      <c r="H97" s="2"/>
      <c r="I97" s="55"/>
      <c r="K97" s="65"/>
      <c r="L97" s="65"/>
      <c r="M97"/>
      <c r="N97"/>
      <c r="BI97" s="2"/>
      <c r="BJ97" s="55"/>
    </row>
    <row r="98" spans="8:62" x14ac:dyDescent="0.2">
      <c r="H98" s="2"/>
      <c r="I98" s="55"/>
      <c r="J98"/>
      <c r="K98" s="65"/>
      <c r="L98" s="65"/>
      <c r="M98"/>
      <c r="N98"/>
      <c r="BI98" s="2"/>
      <c r="BJ98" s="55"/>
    </row>
    <row r="99" spans="8:62" x14ac:dyDescent="0.2">
      <c r="H99" s="2"/>
      <c r="I99" s="55"/>
      <c r="K99" s="65"/>
      <c r="L99" s="65"/>
      <c r="M99"/>
      <c r="N99"/>
      <c r="BI99" s="2"/>
      <c r="BJ99" s="55"/>
    </row>
    <row r="100" spans="8:62" x14ac:dyDescent="0.2">
      <c r="H100" s="2"/>
      <c r="I100" s="55"/>
      <c r="J100"/>
      <c r="K100" s="65"/>
      <c r="L100" s="65"/>
      <c r="M100"/>
      <c r="N100"/>
      <c r="BI100" s="2"/>
      <c r="BJ100" s="55"/>
    </row>
    <row r="101" spans="8:62" x14ac:dyDescent="0.2">
      <c r="H101" s="78"/>
      <c r="I101" s="55"/>
      <c r="K101" s="65"/>
      <c r="L101" s="65"/>
      <c r="M101"/>
      <c r="N101"/>
      <c r="BI101" s="78"/>
      <c r="BJ101" s="55"/>
    </row>
    <row r="102" spans="8:62" x14ac:dyDescent="0.2">
      <c r="H102" s="2"/>
      <c r="I102" s="55"/>
      <c r="K102" s="65"/>
      <c r="L102" s="65"/>
      <c r="M102"/>
      <c r="N102"/>
      <c r="BI102" s="2"/>
      <c r="BJ102" s="55"/>
    </row>
    <row r="103" spans="8:62" x14ac:dyDescent="0.2">
      <c r="H103" s="2"/>
      <c r="I103" s="55"/>
      <c r="K103" s="65"/>
      <c r="L103" s="65"/>
      <c r="M103"/>
      <c r="N103"/>
      <c r="BI103" s="2"/>
      <c r="BJ103" s="55"/>
    </row>
    <row r="104" spans="8:62" x14ac:dyDescent="0.2">
      <c r="H104" s="2"/>
      <c r="I104" s="55"/>
      <c r="K104" s="65"/>
      <c r="L104" s="65"/>
      <c r="M104"/>
      <c r="N104"/>
      <c r="BI104" s="2"/>
      <c r="BJ104" s="55"/>
    </row>
    <row r="105" spans="8:62" x14ac:dyDescent="0.2">
      <c r="H105" s="2"/>
      <c r="I105" s="55"/>
      <c r="K105" s="65"/>
      <c r="L105" s="65"/>
      <c r="M105"/>
      <c r="N105"/>
      <c r="BI105" s="2"/>
      <c r="BJ105" s="55"/>
    </row>
    <row r="106" spans="8:62" x14ac:dyDescent="0.2">
      <c r="H106" s="2"/>
      <c r="I106" s="55"/>
      <c r="K106" s="65"/>
      <c r="L106" s="65"/>
      <c r="M106"/>
      <c r="N106"/>
      <c r="BI106" s="2"/>
      <c r="BJ106" s="55"/>
    </row>
    <row r="107" spans="8:62" x14ac:dyDescent="0.2">
      <c r="H107" s="2"/>
      <c r="I107" s="55"/>
      <c r="K107" s="65"/>
      <c r="L107" s="65"/>
      <c r="M107"/>
      <c r="N107"/>
      <c r="BI107" s="2"/>
      <c r="BJ107" s="55"/>
    </row>
    <row r="108" spans="8:62" x14ac:dyDescent="0.2">
      <c r="H108" s="2"/>
      <c r="I108" s="55"/>
      <c r="K108" s="65"/>
      <c r="L108" s="65"/>
      <c r="M108"/>
      <c r="N108"/>
      <c r="BI108" s="2"/>
      <c r="BJ108" s="55"/>
    </row>
    <row r="109" spans="8:62" x14ac:dyDescent="0.2">
      <c r="H109" s="2"/>
      <c r="I109" s="55"/>
      <c r="K109" s="65"/>
      <c r="L109" s="65"/>
      <c r="M109"/>
      <c r="N109"/>
      <c r="BI109" s="2"/>
      <c r="BJ109" s="55"/>
    </row>
    <row r="110" spans="8:62" x14ac:dyDescent="0.2">
      <c r="H110" s="2"/>
      <c r="I110" s="55"/>
      <c r="K110" s="65"/>
      <c r="L110" s="65"/>
      <c r="M110"/>
      <c r="N110"/>
      <c r="BI110" s="2"/>
      <c r="BJ110" s="55"/>
    </row>
    <row r="111" spans="8:62" x14ac:dyDescent="0.2">
      <c r="H111" s="2"/>
      <c r="I111" s="55"/>
      <c r="J111"/>
      <c r="K111" s="65"/>
      <c r="L111" s="65"/>
      <c r="M111"/>
      <c r="N111"/>
      <c r="BI111" s="2"/>
      <c r="BJ111" s="55"/>
    </row>
    <row r="112" spans="8:62" x14ac:dyDescent="0.2">
      <c r="H112" s="2"/>
      <c r="I112" s="55"/>
      <c r="K112" s="65"/>
      <c r="L112" s="65"/>
      <c r="M112"/>
      <c r="N112"/>
      <c r="BI112" s="2"/>
      <c r="BJ112" s="55"/>
    </row>
    <row r="113" spans="8:62" x14ac:dyDescent="0.2">
      <c r="H113" s="2"/>
      <c r="I113" s="55"/>
      <c r="K113" s="65"/>
      <c r="L113" s="65"/>
      <c r="M113"/>
      <c r="N113"/>
      <c r="BI113" s="2"/>
      <c r="BJ113" s="55"/>
    </row>
    <row r="114" spans="8:62" x14ac:dyDescent="0.2">
      <c r="H114" s="2"/>
      <c r="I114" s="55"/>
      <c r="K114" s="65"/>
      <c r="L114" s="65"/>
      <c r="M114"/>
      <c r="N114"/>
      <c r="BI114" s="2"/>
      <c r="BJ114" s="55"/>
    </row>
    <row r="115" spans="8:62" x14ac:dyDescent="0.2">
      <c r="H115" s="2"/>
      <c r="I115" s="55"/>
      <c r="K115" s="65"/>
      <c r="L115" s="65"/>
      <c r="M115"/>
      <c r="N115"/>
      <c r="BI115" s="2"/>
      <c r="BJ115" s="55"/>
    </row>
    <row r="116" spans="8:62" x14ac:dyDescent="0.2">
      <c r="H116" s="2"/>
      <c r="I116" s="55"/>
      <c r="K116" s="65"/>
      <c r="L116" s="65"/>
      <c r="M116"/>
      <c r="N116"/>
      <c r="BI116" s="2"/>
      <c r="BJ116" s="55"/>
    </row>
    <row r="117" spans="8:62" x14ac:dyDescent="0.2">
      <c r="H117" s="2"/>
      <c r="I117" s="55"/>
      <c r="K117" s="65"/>
      <c r="L117" s="65"/>
      <c r="M117"/>
      <c r="N117"/>
      <c r="BI117" s="2"/>
      <c r="BJ117" s="55"/>
    </row>
    <row r="118" spans="8:62" x14ac:dyDescent="0.2">
      <c r="H118" s="2"/>
      <c r="I118" s="55"/>
      <c r="K118" s="65"/>
      <c r="L118" s="65"/>
      <c r="M118"/>
      <c r="N118"/>
      <c r="BI118" s="2"/>
      <c r="BJ118" s="55"/>
    </row>
    <row r="119" spans="8:62" x14ac:dyDescent="0.2">
      <c r="H119" s="2"/>
      <c r="I119" s="55"/>
      <c r="K119" s="65"/>
      <c r="L119" s="65"/>
      <c r="M119"/>
      <c r="N119"/>
      <c r="BI119" s="2"/>
      <c r="BJ119" s="55"/>
    </row>
    <row r="120" spans="8:62" x14ac:dyDescent="0.2">
      <c r="H120" s="2"/>
      <c r="I120" s="55"/>
      <c r="J120"/>
      <c r="K120" s="65"/>
      <c r="L120" s="65"/>
      <c r="M120"/>
      <c r="N120"/>
      <c r="BI120" s="2"/>
      <c r="BJ120" s="55"/>
    </row>
    <row r="121" spans="8:62" x14ac:dyDescent="0.2">
      <c r="H121" s="2"/>
      <c r="I121" s="55"/>
      <c r="K121" s="65"/>
      <c r="L121" s="65"/>
      <c r="M121"/>
      <c r="N121"/>
      <c r="BI121" s="2"/>
      <c r="BJ121" s="55"/>
    </row>
    <row r="122" spans="8:62" x14ac:dyDescent="0.2">
      <c r="H122" s="6"/>
      <c r="I122" s="55"/>
      <c r="K122" s="65"/>
      <c r="L122" s="65"/>
      <c r="M122"/>
      <c r="N122"/>
      <c r="BI122" s="6"/>
      <c r="BJ122" s="55"/>
    </row>
    <row r="123" spans="8:62" x14ac:dyDescent="0.2">
      <c r="H123" s="2"/>
      <c r="I123" s="55"/>
      <c r="K123" s="65"/>
      <c r="L123" s="65"/>
      <c r="M123"/>
      <c r="N123"/>
      <c r="BI123" s="2"/>
      <c r="BJ123" s="55"/>
    </row>
    <row r="124" spans="8:62" x14ac:dyDescent="0.2">
      <c r="H124" s="2"/>
      <c r="I124" s="55"/>
      <c r="K124" s="65"/>
      <c r="L124" s="65"/>
      <c r="M124"/>
      <c r="N124"/>
      <c r="BI124" s="2"/>
      <c r="BJ124" s="55"/>
    </row>
    <row r="125" spans="8:62" x14ac:dyDescent="0.2">
      <c r="H125" s="2"/>
      <c r="I125" s="55"/>
      <c r="K125" s="65"/>
      <c r="L125" s="65"/>
      <c r="M125"/>
      <c r="N125"/>
      <c r="BI125" s="2"/>
      <c r="BJ125" s="55"/>
    </row>
    <row r="126" spans="8:62" x14ac:dyDescent="0.2">
      <c r="H126" s="2"/>
      <c r="I126" s="55"/>
      <c r="K126" s="65"/>
      <c r="L126" s="65"/>
      <c r="M126"/>
      <c r="N126"/>
      <c r="BI126" s="2"/>
      <c r="BJ126" s="55"/>
    </row>
    <row r="127" spans="8:62" x14ac:dyDescent="0.2">
      <c r="H127" s="2"/>
      <c r="I127" s="80"/>
      <c r="K127" s="65"/>
      <c r="L127" s="65"/>
      <c r="M127"/>
      <c r="N127"/>
      <c r="BI127" s="2"/>
      <c r="BJ127" s="80"/>
    </row>
    <row r="128" spans="8:62" x14ac:dyDescent="0.2">
      <c r="I128"/>
      <c r="J128"/>
      <c r="K128"/>
      <c r="L128"/>
      <c r="M128"/>
      <c r="N128"/>
      <c r="BJ128"/>
    </row>
    <row r="129" spans="9:62" x14ac:dyDescent="0.2">
      <c r="I129"/>
      <c r="J129"/>
      <c r="K129"/>
      <c r="L129"/>
      <c r="M129"/>
      <c r="N129"/>
      <c r="BJ129"/>
    </row>
    <row r="130" spans="9:62" x14ac:dyDescent="0.2">
      <c r="I130"/>
      <c r="J130"/>
      <c r="K130"/>
      <c r="L130"/>
      <c r="M130"/>
      <c r="N130"/>
      <c r="BJ130"/>
    </row>
    <row r="131" spans="9:62" x14ac:dyDescent="0.2">
      <c r="I131"/>
      <c r="J131"/>
      <c r="K131"/>
      <c r="L131"/>
      <c r="M131"/>
      <c r="N131"/>
      <c r="BJ131"/>
    </row>
    <row r="132" spans="9:62" x14ac:dyDescent="0.2">
      <c r="I132"/>
      <c r="J132"/>
      <c r="K132"/>
      <c r="L132"/>
      <c r="M132"/>
      <c r="N132"/>
      <c r="BJ132"/>
    </row>
  </sheetData>
  <mergeCells count="18">
    <mergeCell ref="BI48:BI50"/>
    <mergeCell ref="BI52:BI55"/>
    <mergeCell ref="H2:H8"/>
    <mergeCell ref="H10:H15"/>
    <mergeCell ref="H17:H23"/>
    <mergeCell ref="H26:H31"/>
    <mergeCell ref="H33:H43"/>
    <mergeCell ref="H48:H50"/>
    <mergeCell ref="BI2:BI8"/>
    <mergeCell ref="BI10:BI15"/>
    <mergeCell ref="BI17:BI23"/>
    <mergeCell ref="BI26:BI31"/>
    <mergeCell ref="BI33:BI43"/>
    <mergeCell ref="BI57:BI58"/>
    <mergeCell ref="BI60:BI71"/>
    <mergeCell ref="H52:H55"/>
    <mergeCell ref="H57:H58"/>
    <mergeCell ref="H60:H71"/>
  </mergeCells>
  <pageMargins left="0.7" right="0.7" top="0.75" bottom="0.75" header="0.3" footer="0.3"/>
  <pageSetup paperSize="9" orientation="portrait" horizontalDpi="0" verticalDpi="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2DD6D-C67D-E743-854E-5C38DEAE5748}">
  <dimension ref="A1:O55"/>
  <sheetViews>
    <sheetView zoomScale="80" zoomScaleNormal="80" workbookViewId="0">
      <selection activeCell="T64" sqref="T64"/>
    </sheetView>
  </sheetViews>
  <sheetFormatPr baseColWidth="10" defaultRowHeight="16" x14ac:dyDescent="0.2"/>
  <cols>
    <col min="1" max="1" width="11.6640625" customWidth="1"/>
    <col min="2" max="2" width="10.83203125" customWidth="1"/>
    <col min="3" max="3" width="11" bestFit="1" customWidth="1"/>
    <col min="4" max="4" width="11" customWidth="1"/>
  </cols>
  <sheetData>
    <row r="1" spans="1:15" x14ac:dyDescent="0.2">
      <c r="A1" s="1"/>
      <c r="B1" s="64" t="s">
        <v>104</v>
      </c>
      <c r="C1" s="64" t="s">
        <v>283</v>
      </c>
      <c r="D1" s="64" t="s">
        <v>332</v>
      </c>
      <c r="E1" s="64" t="s">
        <v>114</v>
      </c>
      <c r="F1" s="77" t="s">
        <v>277</v>
      </c>
      <c r="G1" s="64" t="s">
        <v>278</v>
      </c>
      <c r="H1" s="64" t="s">
        <v>279</v>
      </c>
      <c r="I1" s="64" t="s">
        <v>282</v>
      </c>
      <c r="J1" s="64" t="s">
        <v>281</v>
      </c>
      <c r="K1" s="64" t="s">
        <v>280</v>
      </c>
      <c r="L1" s="64" t="s">
        <v>208</v>
      </c>
      <c r="N1" s="64" t="s">
        <v>309</v>
      </c>
      <c r="O1" s="64" t="s">
        <v>308</v>
      </c>
    </row>
    <row r="2" spans="1:15" x14ac:dyDescent="0.2">
      <c r="A2" s="2" t="s">
        <v>132</v>
      </c>
      <c r="B2" s="19">
        <v>2286</v>
      </c>
      <c r="C2" s="19">
        <v>29.921259842519685</v>
      </c>
      <c r="D2" s="3">
        <v>5255000.0000000019</v>
      </c>
      <c r="E2">
        <v>24</v>
      </c>
      <c r="F2" s="19">
        <v>132.143240840625</v>
      </c>
      <c r="G2" s="19">
        <v>19.023278709225298</v>
      </c>
      <c r="H2" s="19">
        <v>2091.1875398405305</v>
      </c>
      <c r="I2" s="58">
        <v>8.1802700848283415E-4</v>
      </c>
      <c r="J2" s="19">
        <v>16.422735932177972</v>
      </c>
      <c r="K2" s="19">
        <v>105.59999999999945</v>
      </c>
      <c r="L2" s="19">
        <f t="shared" ref="L2:L33" si="0">K2-J2</f>
        <v>89.177264067821483</v>
      </c>
      <c r="M2" s="19"/>
      <c r="N2" s="19">
        <v>69.644578313253035</v>
      </c>
      <c r="O2" s="19">
        <f>K2-N2</f>
        <v>35.955421686746419</v>
      </c>
    </row>
    <row r="3" spans="1:15" x14ac:dyDescent="0.2">
      <c r="A3" s="2" t="s">
        <v>122</v>
      </c>
      <c r="B3" s="19">
        <v>2133.6</v>
      </c>
      <c r="C3" s="19">
        <v>32.058492688413949</v>
      </c>
      <c r="D3" s="3">
        <v>5899000.0000000009</v>
      </c>
      <c r="E3">
        <v>24</v>
      </c>
      <c r="F3" s="19">
        <v>163.06829348906251</v>
      </c>
      <c r="G3" s="19">
        <v>18.604705448541271</v>
      </c>
      <c r="H3" s="19">
        <v>1939.9907893172071</v>
      </c>
      <c r="I3" s="58">
        <v>6.8702777389803148E-4</v>
      </c>
      <c r="J3" s="19">
        <v>14.733246652767507</v>
      </c>
      <c r="K3" s="19">
        <v>121.59999999999854</v>
      </c>
      <c r="L3" s="19">
        <f t="shared" si="0"/>
        <v>106.86675334723104</v>
      </c>
      <c r="M3" s="19"/>
      <c r="N3" s="19">
        <v>78.918286814244496</v>
      </c>
      <c r="O3" s="19">
        <f t="shared" ref="O3:O51" si="1">K3-N3</f>
        <v>42.681713185754049</v>
      </c>
    </row>
    <row r="4" spans="1:15" x14ac:dyDescent="0.2">
      <c r="A4" s="2" t="s">
        <v>146</v>
      </c>
      <c r="B4" s="19">
        <v>2453.5202682109111</v>
      </c>
      <c r="C4" s="19">
        <v>28.349289164941343</v>
      </c>
      <c r="D4" s="3">
        <v>5448999.9999999981</v>
      </c>
      <c r="E4">
        <v>23</v>
      </c>
      <c r="F4" s="19">
        <v>168.21265145343753</v>
      </c>
      <c r="G4" s="19">
        <v>18.407534940051388</v>
      </c>
      <c r="H4" s="19">
        <v>1759.4839387706986</v>
      </c>
      <c r="I4" s="58">
        <v>9.4119443515523532E-4</v>
      </c>
      <c r="J4" s="19">
        <v>20.800944944450631</v>
      </c>
      <c r="K4" s="19">
        <v>118.40000000000146</v>
      </c>
      <c r="L4" s="19">
        <f t="shared" si="0"/>
        <v>97.599055055550821</v>
      </c>
      <c r="M4" s="19"/>
      <c r="N4" s="19">
        <v>97.829536679536631</v>
      </c>
      <c r="O4" s="19">
        <f t="shared" si="1"/>
        <v>20.570463320464825</v>
      </c>
    </row>
    <row r="5" spans="1:15" x14ac:dyDescent="0.2">
      <c r="A5" s="2" t="s">
        <v>119</v>
      </c>
      <c r="B5" s="19">
        <v>2225.04</v>
      </c>
      <c r="C5" s="19">
        <v>34.516233416028477</v>
      </c>
      <c r="D5" s="3">
        <v>7234000</v>
      </c>
      <c r="E5">
        <v>24</v>
      </c>
      <c r="F5" s="19">
        <v>193.24721788312499</v>
      </c>
      <c r="G5" s="19">
        <v>17.759422739013615</v>
      </c>
      <c r="H5" s="19">
        <v>2105.2319046506368</v>
      </c>
      <c r="I5" s="58">
        <v>8.9264893343840026E-4</v>
      </c>
      <c r="J5" s="19">
        <v>19.805625259402355</v>
      </c>
      <c r="K5" s="19">
        <v>320.79999999999927</v>
      </c>
      <c r="L5" s="19">
        <f t="shared" si="0"/>
        <v>300.99437474059692</v>
      </c>
      <c r="M5" s="19"/>
      <c r="N5" s="19">
        <v>100.97170172084135</v>
      </c>
      <c r="O5" s="19">
        <f t="shared" si="1"/>
        <v>219.82829827915793</v>
      </c>
    </row>
    <row r="6" spans="1:15" x14ac:dyDescent="0.2">
      <c r="A6" s="2" t="s">
        <v>166</v>
      </c>
      <c r="B6" s="19">
        <v>2167.0222493142332</v>
      </c>
      <c r="C6" s="19">
        <v>34.148241912798881</v>
      </c>
      <c r="D6" s="3">
        <v>6932000</v>
      </c>
      <c r="E6">
        <v>24</v>
      </c>
      <c r="F6" s="19">
        <v>199.09843419374999</v>
      </c>
      <c r="G6" s="19">
        <v>17.943205144793794</v>
      </c>
      <c r="H6" s="19">
        <v>1940.7457152009388</v>
      </c>
      <c r="I6" s="58">
        <v>7.041247198369949E-4</v>
      </c>
      <c r="J6" s="19">
        <v>15.859895434089593</v>
      </c>
      <c r="K6" s="19">
        <v>261.60000000000082</v>
      </c>
      <c r="L6" s="19">
        <f t="shared" si="0"/>
        <v>245.74010456591122</v>
      </c>
      <c r="M6" s="19"/>
      <c r="N6" s="19">
        <v>95.327455678006729</v>
      </c>
      <c r="O6" s="19">
        <f t="shared" si="1"/>
        <v>166.27254432199408</v>
      </c>
    </row>
    <row r="7" spans="1:15" x14ac:dyDescent="0.2">
      <c r="A7" s="2" t="s">
        <v>145</v>
      </c>
      <c r="B7" s="19">
        <v>2411.1551356293812</v>
      </c>
      <c r="C7" s="19">
        <v>29.077810081602269</v>
      </c>
      <c r="D7" s="3">
        <v>5705999.9999999972</v>
      </c>
      <c r="E7">
        <v>23</v>
      </c>
      <c r="F7" s="19">
        <v>202.16148702750004</v>
      </c>
      <c r="G7" s="19">
        <v>18.247429054695839</v>
      </c>
      <c r="H7" s="19">
        <v>1548.4610036960225</v>
      </c>
      <c r="I7" s="58">
        <v>6.6449405072910111E-4</v>
      </c>
      <c r="J7" s="19">
        <v>15.534683970575836</v>
      </c>
      <c r="K7" s="19">
        <v>135.20000000000209</v>
      </c>
      <c r="L7" s="19">
        <f t="shared" si="0"/>
        <v>119.66531602942625</v>
      </c>
      <c r="M7" s="19"/>
      <c r="N7" s="19">
        <v>102.89508196721303</v>
      </c>
      <c r="O7" s="19">
        <f t="shared" si="1"/>
        <v>32.304918032789061</v>
      </c>
    </row>
    <row r="8" spans="1:15" x14ac:dyDescent="0.2">
      <c r="A8" s="21" t="s">
        <v>141</v>
      </c>
      <c r="B8" s="19">
        <v>2286</v>
      </c>
      <c r="C8" s="19">
        <v>34.803149606299215</v>
      </c>
      <c r="D8" s="3">
        <v>7506000</v>
      </c>
      <c r="E8">
        <v>24</v>
      </c>
      <c r="F8" s="19">
        <v>216.06303450375003</v>
      </c>
      <c r="G8" s="19">
        <v>17.595484900518091</v>
      </c>
      <c r="H8" s="19">
        <v>1977.4376606910487</v>
      </c>
      <c r="I8" s="58">
        <v>7.2403242875181486E-4</v>
      </c>
      <c r="J8" s="19">
        <v>16.575268955335943</v>
      </c>
      <c r="K8" s="19">
        <v>394.40000000000055</v>
      </c>
      <c r="L8" s="20">
        <f t="shared" si="0"/>
        <v>377.82473104466459</v>
      </c>
      <c r="M8" s="19"/>
      <c r="N8" s="19">
        <v>106.30815450643773</v>
      </c>
      <c r="O8" s="19">
        <f t="shared" si="1"/>
        <v>288.0918454935628</v>
      </c>
    </row>
    <row r="9" spans="1:15" x14ac:dyDescent="0.2">
      <c r="A9" s="2" t="s">
        <v>160</v>
      </c>
      <c r="B9" s="19">
        <v>2438.28101188662</v>
      </c>
      <c r="C9" s="19">
        <v>30.577097222222225</v>
      </c>
      <c r="D9" s="3">
        <v>6480999.9999999972</v>
      </c>
      <c r="E9">
        <v>23</v>
      </c>
      <c r="F9" s="19">
        <v>237.09207030468752</v>
      </c>
      <c r="G9" s="19">
        <v>17.747397622231333</v>
      </c>
      <c r="H9" s="19">
        <v>1540.1066915657939</v>
      </c>
      <c r="I9" s="58">
        <v>6.9698245332062937E-4</v>
      </c>
      <c r="J9" s="19">
        <v>16.899962128146637</v>
      </c>
      <c r="K9" s="19">
        <v>236.80000000000064</v>
      </c>
      <c r="L9" s="19">
        <f t="shared" si="0"/>
        <v>219.90003787185401</v>
      </c>
      <c r="M9" s="19"/>
      <c r="N9" s="19">
        <v>117.89307025986525</v>
      </c>
      <c r="O9" s="19">
        <f t="shared" si="1"/>
        <v>118.90692974013538</v>
      </c>
    </row>
    <row r="10" spans="1:15" x14ac:dyDescent="0.2">
      <c r="A10" s="2" t="s">
        <v>138</v>
      </c>
      <c r="B10" s="19">
        <v>2770</v>
      </c>
      <c r="C10" s="19">
        <v>24.707581227436823</v>
      </c>
      <c r="D10" s="3">
        <v>5229000.0000000019</v>
      </c>
      <c r="E10">
        <v>21</v>
      </c>
      <c r="F10" s="19">
        <v>237.19024507500004</v>
      </c>
      <c r="G10" s="19">
        <v>17.529467419119083</v>
      </c>
      <c r="H10" s="19">
        <v>1256.9980514485869</v>
      </c>
      <c r="I10" s="58">
        <v>7.8598962306608675E-4</v>
      </c>
      <c r="J10" s="19">
        <v>19.776450450320329</v>
      </c>
      <c r="K10" s="19">
        <v>78.399999999999181</v>
      </c>
      <c r="L10" s="19">
        <f t="shared" si="0"/>
        <v>58.623549549678856</v>
      </c>
      <c r="M10" s="19"/>
      <c r="N10" s="19">
        <v>142.33231441048039</v>
      </c>
      <c r="O10" s="19">
        <f t="shared" si="1"/>
        <v>-63.932314410481212</v>
      </c>
    </row>
    <row r="11" spans="1:15" x14ac:dyDescent="0.2">
      <c r="A11" s="78" t="s">
        <v>124</v>
      </c>
      <c r="B11" s="19">
        <v>2361.5904</v>
      </c>
      <c r="C11" s="19">
        <v>31.080749650743837</v>
      </c>
      <c r="D11" s="3">
        <v>6541000</v>
      </c>
      <c r="E11">
        <v>23</v>
      </c>
      <c r="F11" s="19">
        <v>244.16065376718757</v>
      </c>
      <c r="G11" s="19">
        <v>17.712019222173836</v>
      </c>
      <c r="H11" s="19">
        <v>1512.6696687777837</v>
      </c>
      <c r="I11" s="58">
        <v>6.5966750358654872E-4</v>
      </c>
      <c r="J11" s="19">
        <v>16.130476166202325</v>
      </c>
      <c r="K11" s="19">
        <v>216.79999999999836</v>
      </c>
      <c r="L11" s="19">
        <f t="shared" si="0"/>
        <v>200.66952383379603</v>
      </c>
      <c r="M11" s="19"/>
      <c r="N11" s="19">
        <v>119.24189514189513</v>
      </c>
      <c r="O11" s="19">
        <f t="shared" si="1"/>
        <v>97.558104858103235</v>
      </c>
    </row>
    <row r="12" spans="1:15" x14ac:dyDescent="0.2">
      <c r="A12" s="2" t="s">
        <v>137</v>
      </c>
      <c r="B12" s="19">
        <v>2575.56</v>
      </c>
      <c r="C12" s="19">
        <v>26.790290266971066</v>
      </c>
      <c r="D12" s="3">
        <v>5442000.0000000019</v>
      </c>
      <c r="E12">
        <v>22</v>
      </c>
      <c r="F12" s="19">
        <v>246.02597440312505</v>
      </c>
      <c r="G12" s="19">
        <v>17.914259298636573</v>
      </c>
      <c r="H12" s="19">
        <v>1232.7594315425818</v>
      </c>
      <c r="I12" s="58">
        <v>5.3761710618480314E-4</v>
      </c>
      <c r="J12" s="19">
        <v>13.609461218498881</v>
      </c>
      <c r="K12" s="19">
        <v>99.200000000000728</v>
      </c>
      <c r="L12" s="19">
        <f t="shared" si="0"/>
        <v>85.590538781501849</v>
      </c>
      <c r="M12" s="19"/>
      <c r="N12" s="19">
        <v>123.15551257253389</v>
      </c>
      <c r="O12" s="19">
        <f t="shared" si="1"/>
        <v>-23.955512572533166</v>
      </c>
    </row>
    <row r="13" spans="1:15" x14ac:dyDescent="0.2">
      <c r="A13" s="2" t="s">
        <v>150</v>
      </c>
      <c r="B13" s="19">
        <v>2483.9987808594938</v>
      </c>
      <c r="C13" s="19">
        <v>31.171512883435586</v>
      </c>
      <c r="D13" s="3">
        <v>6863000</v>
      </c>
      <c r="E13">
        <v>23</v>
      </c>
      <c r="F13" s="19">
        <v>253.21236759000004</v>
      </c>
      <c r="G13" s="19">
        <v>17.503981674620185</v>
      </c>
      <c r="H13" s="19">
        <v>1548.4600570316659</v>
      </c>
      <c r="I13" s="58">
        <v>7.2197279750971818E-4</v>
      </c>
      <c r="J13" s="19">
        <v>17.739142635114771</v>
      </c>
      <c r="K13" s="19">
        <v>303.99999999999864</v>
      </c>
      <c r="L13" s="19">
        <f t="shared" si="0"/>
        <v>286.26085736488386</v>
      </c>
      <c r="M13" s="19"/>
      <c r="N13" s="19">
        <v>125.65127342623735</v>
      </c>
      <c r="O13" s="19">
        <f t="shared" si="1"/>
        <v>178.34872657376127</v>
      </c>
    </row>
    <row r="14" spans="1:15" x14ac:dyDescent="0.2">
      <c r="A14" s="2" t="s">
        <v>154</v>
      </c>
      <c r="B14" s="19">
        <v>2697.3483693995731</v>
      </c>
      <c r="C14" s="19">
        <v>25.580677966101696</v>
      </c>
      <c r="D14" s="3">
        <v>5531000</v>
      </c>
      <c r="E14">
        <v>21</v>
      </c>
      <c r="F14" s="19">
        <v>300.02209807499997</v>
      </c>
      <c r="G14" s="19">
        <v>17.356913383697641</v>
      </c>
      <c r="H14" s="19">
        <v>1060.6547754661569</v>
      </c>
      <c r="I14" s="58">
        <v>5.0517753275285582E-4</v>
      </c>
      <c r="J14" s="19">
        <v>13.641083635288002</v>
      </c>
      <c r="K14" s="19">
        <v>92.000000000000455</v>
      </c>
      <c r="L14" s="19">
        <f t="shared" si="0"/>
        <v>78.358916364712456</v>
      </c>
      <c r="M14" s="19"/>
      <c r="N14" s="19">
        <v>151.3324455205811</v>
      </c>
      <c r="O14" s="19">
        <f t="shared" si="1"/>
        <v>-59.332445520580649</v>
      </c>
    </row>
    <row r="15" spans="1:15" x14ac:dyDescent="0.2">
      <c r="A15" s="2" t="s">
        <v>162</v>
      </c>
      <c r="B15" s="19">
        <v>2698.2627247790306</v>
      </c>
      <c r="C15" s="19">
        <v>25.57200948830905</v>
      </c>
      <c r="D15" s="3">
        <v>5528000</v>
      </c>
      <c r="E15">
        <v>21</v>
      </c>
      <c r="F15" s="19">
        <v>300.02209807499997</v>
      </c>
      <c r="G15" s="19">
        <v>17.358836839453563</v>
      </c>
      <c r="H15" s="19">
        <v>1060.6547754661569</v>
      </c>
      <c r="I15" s="58">
        <v>5.0517753275285582E-4</v>
      </c>
      <c r="J15" s="19">
        <v>13.641083635288002</v>
      </c>
      <c r="K15" s="19">
        <v>92.799999999999727</v>
      </c>
      <c r="L15" s="19">
        <f t="shared" si="0"/>
        <v>79.158916364711729</v>
      </c>
      <c r="M15" s="19"/>
      <c r="N15" s="19">
        <v>151.2503631961259</v>
      </c>
      <c r="O15" s="19">
        <f t="shared" si="1"/>
        <v>-58.450363196126176</v>
      </c>
    </row>
    <row r="16" spans="1:15" x14ac:dyDescent="0.2">
      <c r="A16" s="2" t="s">
        <v>140</v>
      </c>
      <c r="B16" s="19">
        <v>2700</v>
      </c>
      <c r="C16" s="19">
        <v>27.407407407407408</v>
      </c>
      <c r="D16" s="3">
        <v>6447000</v>
      </c>
      <c r="E16">
        <v>21</v>
      </c>
      <c r="F16" s="19">
        <v>318.08625581250004</v>
      </c>
      <c r="G16" s="19">
        <v>16.804520732688868</v>
      </c>
      <c r="H16" s="19">
        <v>1206.6881849759036</v>
      </c>
      <c r="I16" s="58">
        <v>7.8967488191686698E-4</v>
      </c>
      <c r="J16" s="19">
        <v>21.147224012553451</v>
      </c>
      <c r="K16" s="19">
        <v>200</v>
      </c>
      <c r="L16" s="19">
        <f t="shared" si="0"/>
        <v>178.85277598744653</v>
      </c>
      <c r="M16" s="19"/>
      <c r="N16" s="19">
        <v>162.27724072178572</v>
      </c>
      <c r="O16" s="19">
        <f t="shared" si="1"/>
        <v>37.722759278214284</v>
      </c>
    </row>
    <row r="17" spans="1:15" x14ac:dyDescent="0.2">
      <c r="A17" s="63" t="s">
        <v>196</v>
      </c>
      <c r="B17" s="19">
        <v>2377.44</v>
      </c>
      <c r="C17" s="19">
        <v>35.096574466653209</v>
      </c>
      <c r="D17" s="3">
        <v>8429225.6383200008</v>
      </c>
      <c r="E17">
        <v>23</v>
      </c>
      <c r="F17" s="19">
        <v>318.08625581249999</v>
      </c>
      <c r="G17" s="19">
        <v>16.540830640125293</v>
      </c>
      <c r="H17" s="19">
        <v>1602.4015430801578</v>
      </c>
      <c r="I17" s="58">
        <v>8.2254440479850692E-4</v>
      </c>
      <c r="J17" s="19">
        <v>21.039036497658632</v>
      </c>
      <c r="K17" s="19">
        <v>487.42833077599926</v>
      </c>
      <c r="L17" s="20">
        <f t="shared" si="0"/>
        <v>466.38929427834063</v>
      </c>
      <c r="M17" s="19"/>
      <c r="N17" s="19">
        <v>178.20217076700436</v>
      </c>
      <c r="O17" s="19">
        <f t="shared" si="1"/>
        <v>309.2261600089949</v>
      </c>
    </row>
    <row r="18" spans="1:15" x14ac:dyDescent="0.2">
      <c r="A18" s="2" t="s">
        <v>126</v>
      </c>
      <c r="B18" s="19">
        <v>2537.46</v>
      </c>
      <c r="C18" s="19">
        <v>30.897038771054518</v>
      </c>
      <c r="D18" s="3">
        <v>7349000.0000000019</v>
      </c>
      <c r="E18">
        <v>22</v>
      </c>
      <c r="F18" s="19">
        <v>349.10948323125007</v>
      </c>
      <c r="G18" s="19">
        <v>16.712742241887131</v>
      </c>
      <c r="H18" s="19">
        <v>1259.3550179618787</v>
      </c>
      <c r="I18" s="58">
        <v>6.7456418015698634E-4</v>
      </c>
      <c r="J18" s="19">
        <v>18.161414658550306</v>
      </c>
      <c r="K18" s="19">
        <v>322.40000000000009</v>
      </c>
      <c r="L18" s="19">
        <f t="shared" si="0"/>
        <v>304.23858534144978</v>
      </c>
      <c r="M18" s="19"/>
      <c r="N18" s="19">
        <v>169.86395963479094</v>
      </c>
      <c r="O18" s="19">
        <f t="shared" si="1"/>
        <v>152.53604036520915</v>
      </c>
    </row>
    <row r="19" spans="1:15" x14ac:dyDescent="0.2">
      <c r="A19" s="21" t="s">
        <v>128</v>
      </c>
      <c r="B19" s="19">
        <v>2575.56</v>
      </c>
      <c r="C19" s="19">
        <v>30.867073568466665</v>
      </c>
      <c r="D19" s="3">
        <v>7418000</v>
      </c>
      <c r="E19">
        <v>22</v>
      </c>
      <c r="F19" s="19">
        <v>364.03204831875001</v>
      </c>
      <c r="G19" s="19">
        <v>16.665502413069945</v>
      </c>
      <c r="H19" s="19">
        <v>1221.2965338030199</v>
      </c>
      <c r="I19" s="58">
        <v>6.2371148806390179E-4</v>
      </c>
      <c r="J19" s="19">
        <v>16.987088217166377</v>
      </c>
      <c r="K19" s="19">
        <v>344.80000000000018</v>
      </c>
      <c r="L19" s="20">
        <f t="shared" si="0"/>
        <v>327.81291178283379</v>
      </c>
      <c r="M19" s="19"/>
      <c r="N19" s="19">
        <v>171.45881787602113</v>
      </c>
      <c r="O19" s="19">
        <f t="shared" si="1"/>
        <v>173.34118212397905</v>
      </c>
    </row>
    <row r="20" spans="1:15" x14ac:dyDescent="0.2">
      <c r="A20" s="21" t="s">
        <v>125</v>
      </c>
      <c r="B20" s="19">
        <v>2560.3200000000002</v>
      </c>
      <c r="C20" s="19">
        <v>31.050806149231345</v>
      </c>
      <c r="D20" s="3">
        <v>7473000.0000000019</v>
      </c>
      <c r="E20">
        <v>22</v>
      </c>
      <c r="F20" s="19">
        <v>378.16921524375005</v>
      </c>
      <c r="G20" s="19">
        <v>16.633264443128557</v>
      </c>
      <c r="H20" s="19">
        <v>1187.5685101394497</v>
      </c>
      <c r="I20" s="58">
        <v>5.8077146523162037E-4</v>
      </c>
      <c r="J20" s="19">
        <v>15.991397546003377</v>
      </c>
      <c r="K20" s="19">
        <v>347.99999999999955</v>
      </c>
      <c r="L20" s="20">
        <f t="shared" si="0"/>
        <v>332.00860245399616</v>
      </c>
      <c r="M20" s="19"/>
      <c r="N20" s="19">
        <v>173.00605187319891</v>
      </c>
      <c r="O20" s="19">
        <f t="shared" si="1"/>
        <v>174.99394812680063</v>
      </c>
    </row>
    <row r="21" spans="1:15" x14ac:dyDescent="0.2">
      <c r="A21" s="21" t="s">
        <v>118</v>
      </c>
      <c r="B21" s="19">
        <v>2426.2080000000001</v>
      </c>
      <c r="C21" s="19">
        <v>34.391115683403896</v>
      </c>
      <c r="D21" s="3">
        <v>8223683.9954899978</v>
      </c>
      <c r="E21">
        <v>23</v>
      </c>
      <c r="F21" s="19">
        <v>384.17751118687505</v>
      </c>
      <c r="G21" s="19">
        <v>16.659377409100877</v>
      </c>
      <c r="H21" s="19">
        <v>1284.5249184354368</v>
      </c>
      <c r="I21" s="58">
        <v>4.4316695672161176E-4</v>
      </c>
      <c r="J21" s="19">
        <v>12.166174251697772</v>
      </c>
      <c r="K21" s="19">
        <v>477.42818331200169</v>
      </c>
      <c r="L21" s="20">
        <f t="shared" si="0"/>
        <v>465.26200906030391</v>
      </c>
      <c r="M21" s="19"/>
      <c r="N21" s="19">
        <v>156.65897161746727</v>
      </c>
      <c r="O21" s="19">
        <f t="shared" si="1"/>
        <v>320.76921169453442</v>
      </c>
    </row>
    <row r="22" spans="1:15" x14ac:dyDescent="0.2">
      <c r="A22" s="21" t="s">
        <v>127</v>
      </c>
      <c r="B22" s="19">
        <v>2654.808</v>
      </c>
      <c r="C22" s="19">
        <v>30.887356072454203</v>
      </c>
      <c r="D22" s="3">
        <v>7606000</v>
      </c>
      <c r="E22">
        <v>22</v>
      </c>
      <c r="F22" s="19">
        <v>410.37053990625003</v>
      </c>
      <c r="G22" s="19">
        <v>16.547308804094882</v>
      </c>
      <c r="H22" s="19">
        <v>1120.7605138452743</v>
      </c>
      <c r="I22" s="58">
        <v>4.9857242685388066E-4</v>
      </c>
      <c r="J22" s="19">
        <v>14.066409708100366</v>
      </c>
      <c r="K22" s="19">
        <v>400</v>
      </c>
      <c r="L22" s="20">
        <f t="shared" si="0"/>
        <v>385.93359029189963</v>
      </c>
      <c r="M22" s="19"/>
      <c r="N22" s="19">
        <v>176.36572251560247</v>
      </c>
      <c r="O22" s="19">
        <f t="shared" si="1"/>
        <v>223.63427748439753</v>
      </c>
    </row>
    <row r="23" spans="1:15" x14ac:dyDescent="0.2">
      <c r="A23" s="21" t="s">
        <v>144</v>
      </c>
      <c r="B23" s="19">
        <v>2451.9963425784822</v>
      </c>
      <c r="C23" s="19">
        <v>29.499772115185419</v>
      </c>
      <c r="D23" s="3">
        <v>6932000.0000000019</v>
      </c>
      <c r="E23">
        <v>21</v>
      </c>
      <c r="F23" s="19">
        <v>449.24774895000007</v>
      </c>
      <c r="G23" s="19">
        <v>16.501461782523126</v>
      </c>
      <c r="H23" s="19">
        <v>935.5384696496468</v>
      </c>
      <c r="I23" s="58">
        <v>4.1392527675869587E-4</v>
      </c>
      <c r="J23" s="19">
        <v>12.259789588955545</v>
      </c>
      <c r="K23" s="19">
        <v>181.59999999999854</v>
      </c>
      <c r="L23" s="19">
        <f t="shared" si="0"/>
        <v>169.34021041104299</v>
      </c>
      <c r="M23" s="19"/>
      <c r="N23" s="19">
        <v>192.3329479768787</v>
      </c>
      <c r="O23" s="19">
        <f t="shared" si="1"/>
        <v>-10.732947976880155</v>
      </c>
    </row>
    <row r="24" spans="1:15" x14ac:dyDescent="0.2">
      <c r="A24" s="2" t="s">
        <v>143</v>
      </c>
      <c r="B24" s="19">
        <v>2529.84</v>
      </c>
      <c r="C24" s="19">
        <v>30.78850836416532</v>
      </c>
      <c r="D24" s="3">
        <v>7278000</v>
      </c>
      <c r="E24">
        <v>22</v>
      </c>
      <c r="F24" s="19">
        <v>453.09619994625001</v>
      </c>
      <c r="G24" s="19">
        <v>16.755793600595421</v>
      </c>
      <c r="H24" s="19">
        <v>958.03478756027482</v>
      </c>
      <c r="I24" s="58">
        <v>3.1774114638744261E-4</v>
      </c>
      <c r="J24" s="19">
        <v>9.5308910148960759</v>
      </c>
      <c r="K24" s="19">
        <v>309.60000000000036</v>
      </c>
      <c r="L24" s="19">
        <f t="shared" si="0"/>
        <v>300.06910898510426</v>
      </c>
      <c r="M24" s="19"/>
      <c r="N24" s="19">
        <v>167.95384615384617</v>
      </c>
      <c r="O24" s="19">
        <f t="shared" si="1"/>
        <v>141.64615384615419</v>
      </c>
    </row>
    <row r="25" spans="1:15" x14ac:dyDescent="0.2">
      <c r="A25" s="21" t="s">
        <v>147</v>
      </c>
      <c r="B25" s="19">
        <v>2759.8293203291678</v>
      </c>
      <c r="C25" s="19">
        <v>29.832762746180752</v>
      </c>
      <c r="D25" s="3">
        <v>7768000</v>
      </c>
      <c r="E25">
        <v>21</v>
      </c>
      <c r="F25" s="19">
        <v>457.10173057500003</v>
      </c>
      <c r="G25" s="19">
        <v>15.966754768750079</v>
      </c>
      <c r="H25" s="19">
        <v>1064.0752980289897</v>
      </c>
      <c r="I25" s="58">
        <v>6.3648028269388949E-4</v>
      </c>
      <c r="J25" s="19">
        <v>18.357793633738126</v>
      </c>
      <c r="K25" s="19">
        <v>396.00000000000136</v>
      </c>
      <c r="L25" s="20">
        <f t="shared" si="0"/>
        <v>377.64220636626322</v>
      </c>
      <c r="M25" s="19"/>
      <c r="N25" s="19">
        <v>216.87688611244593</v>
      </c>
      <c r="O25" s="19">
        <f t="shared" si="1"/>
        <v>179.12311388755543</v>
      </c>
    </row>
    <row r="26" spans="1:15" x14ac:dyDescent="0.2">
      <c r="A26" s="21" t="s">
        <v>139</v>
      </c>
      <c r="B26" s="19">
        <v>2749</v>
      </c>
      <c r="C26" s="19">
        <v>29.949072389959987</v>
      </c>
      <c r="D26" s="3">
        <v>7803000</v>
      </c>
      <c r="E26">
        <v>21</v>
      </c>
      <c r="F26" s="19">
        <v>467.46898632</v>
      </c>
      <c r="G26" s="19">
        <v>15.942949968262566</v>
      </c>
      <c r="H26" s="19">
        <v>1046.4903901703528</v>
      </c>
      <c r="I26" s="58">
        <v>6.1042916821721545E-4</v>
      </c>
      <c r="J26" s="19">
        <v>17.709706318637803</v>
      </c>
      <c r="K26" s="19">
        <v>396.80000000000064</v>
      </c>
      <c r="L26" s="20">
        <f t="shared" si="0"/>
        <v>379.09029368136282</v>
      </c>
      <c r="M26" s="19"/>
      <c r="N26" s="19">
        <v>217.85406054781353</v>
      </c>
      <c r="O26" s="19">
        <f t="shared" si="1"/>
        <v>178.9459394521871</v>
      </c>
    </row>
    <row r="27" spans="1:15" x14ac:dyDescent="0.2">
      <c r="A27" s="2" t="s">
        <v>148</v>
      </c>
      <c r="B27" s="19">
        <v>2682.109113075282</v>
      </c>
      <c r="C27" s="19">
        <v>28.625896464646466</v>
      </c>
      <c r="D27" s="3">
        <v>7011000.0000000019</v>
      </c>
      <c r="E27">
        <v>21</v>
      </c>
      <c r="F27" s="19">
        <v>475.16588831250004</v>
      </c>
      <c r="G27" s="19">
        <v>16.448951649700476</v>
      </c>
      <c r="H27" s="19">
        <v>896.98596403899398</v>
      </c>
      <c r="I27" s="58">
        <v>3.7271124625196599E-4</v>
      </c>
      <c r="J27" s="19">
        <v>11.261488651447179</v>
      </c>
      <c r="K27" s="19">
        <v>265.59999999999945</v>
      </c>
      <c r="L27" s="19">
        <f t="shared" si="0"/>
        <v>254.33851134855229</v>
      </c>
      <c r="M27" s="19"/>
      <c r="N27" s="19">
        <v>194.52485549132956</v>
      </c>
      <c r="O27" s="19">
        <f t="shared" si="1"/>
        <v>71.075144508669894</v>
      </c>
    </row>
    <row r="28" spans="1:15" x14ac:dyDescent="0.2">
      <c r="A28" s="21" t="s">
        <v>289</v>
      </c>
      <c r="B28" s="19">
        <v>2523.7440000000001</v>
      </c>
      <c r="C28" s="19">
        <v>33.061990439600848</v>
      </c>
      <c r="D28" s="3">
        <v>8333000.0000000019</v>
      </c>
      <c r="E28">
        <v>22</v>
      </c>
      <c r="F28" s="19">
        <v>475.1658883125001</v>
      </c>
      <c r="G28" s="19">
        <v>16.091381871910766</v>
      </c>
      <c r="H28" s="19">
        <v>1089.5865983780757</v>
      </c>
      <c r="I28" s="58">
        <v>4.828634331571468E-4</v>
      </c>
      <c r="J28" s="19">
        <v>13.998794561857947</v>
      </c>
      <c r="K28" s="19">
        <v>459.20000000000073</v>
      </c>
      <c r="L28" s="20">
        <f t="shared" si="0"/>
        <v>445.20120543814278</v>
      </c>
      <c r="M28" s="19"/>
      <c r="N28" s="19">
        <v>195.97686424474199</v>
      </c>
      <c r="O28" s="19">
        <f t="shared" si="1"/>
        <v>263.22313575525874</v>
      </c>
    </row>
    <row r="29" spans="1:15" x14ac:dyDescent="0.2">
      <c r="A29" s="21" t="s">
        <v>142</v>
      </c>
      <c r="B29" s="19">
        <v>2743.2</v>
      </c>
      <c r="C29" s="19">
        <v>29.407261592300966</v>
      </c>
      <c r="D29" s="3">
        <v>7526000.0000000019</v>
      </c>
      <c r="E29">
        <v>21</v>
      </c>
      <c r="F29" s="19">
        <v>480.29</v>
      </c>
      <c r="G29" s="19">
        <v>17.600000000000001</v>
      </c>
      <c r="H29" s="19">
        <v>972.34</v>
      </c>
      <c r="I29" s="58">
        <v>4.8999999999999998E-4</v>
      </c>
      <c r="J29" s="19">
        <v>14.4</v>
      </c>
      <c r="K29" s="19">
        <v>354.39999999999827</v>
      </c>
      <c r="L29" s="20">
        <f t="shared" si="0"/>
        <v>339.99999999999829</v>
      </c>
      <c r="M29" s="19"/>
      <c r="N29" s="19">
        <v>209.59855699855703</v>
      </c>
      <c r="O29" s="19">
        <f t="shared" si="1"/>
        <v>144.80144300144124</v>
      </c>
    </row>
    <row r="30" spans="1:15" x14ac:dyDescent="0.2">
      <c r="A30" s="87" t="s">
        <v>167</v>
      </c>
      <c r="B30" s="88">
        <v>2910.6979579396525</v>
      </c>
      <c r="C30" s="88">
        <v>26.797696335078534</v>
      </c>
      <c r="D30" s="89">
        <v>6977000.0000000019</v>
      </c>
      <c r="E30" s="90">
        <v>20</v>
      </c>
      <c r="F30" s="88">
        <v>482.31301159125007</v>
      </c>
      <c r="G30" s="88">
        <v>15.980294423888557</v>
      </c>
      <c r="H30" s="88">
        <v>905.41964847878376</v>
      </c>
      <c r="I30" s="91">
        <v>5.0954379926253701E-4</v>
      </c>
      <c r="J30" s="88">
        <v>15.249990886386129</v>
      </c>
      <c r="K30" s="88">
        <v>273.60000000000127</v>
      </c>
      <c r="L30" s="88">
        <f t="shared" si="0"/>
        <v>258.35000911361516</v>
      </c>
      <c r="M30" s="19"/>
      <c r="N30" s="19">
        <v>226.50849011095033</v>
      </c>
      <c r="O30" s="19">
        <f t="shared" si="1"/>
        <v>47.09150988905094</v>
      </c>
    </row>
    <row r="31" spans="1:15" x14ac:dyDescent="0.2">
      <c r="A31" s="2" t="s">
        <v>129</v>
      </c>
      <c r="B31" s="19">
        <v>2734.9704000000002</v>
      </c>
      <c r="C31" s="19">
        <v>30.713312290326797</v>
      </c>
      <c r="D31" s="3">
        <v>8143000</v>
      </c>
      <c r="E31">
        <v>21</v>
      </c>
      <c r="F31" s="19">
        <v>582.45127731000002</v>
      </c>
      <c r="G31" s="19">
        <v>15.726832121233105</v>
      </c>
      <c r="H31" s="19">
        <v>889.48758863524847</v>
      </c>
      <c r="I31" s="58">
        <v>4.0540293136399533E-4</v>
      </c>
      <c r="J31" s="19">
        <v>12.562080476286711</v>
      </c>
      <c r="K31" s="19">
        <v>442.40000000000009</v>
      </c>
      <c r="L31" s="19">
        <f t="shared" si="0"/>
        <v>429.83791952371337</v>
      </c>
      <c r="M31" s="19"/>
      <c r="N31" s="19">
        <v>228.19155470249521</v>
      </c>
      <c r="O31" s="19">
        <f t="shared" si="1"/>
        <v>214.20844529750488</v>
      </c>
    </row>
    <row r="32" spans="1:15" x14ac:dyDescent="0.2">
      <c r="A32" s="2" t="s">
        <v>149</v>
      </c>
      <c r="B32" s="19">
        <v>2712.5876257238647</v>
      </c>
      <c r="C32" s="19">
        <v>31.171548064918852</v>
      </c>
      <c r="D32" s="3">
        <v>8313000.0000000028</v>
      </c>
      <c r="E32">
        <v>21</v>
      </c>
      <c r="F32" s="19">
        <v>644.18357288250002</v>
      </c>
      <c r="G32" s="19">
        <v>15.620717096683558</v>
      </c>
      <c r="H32" s="19">
        <v>826.04593727393842</v>
      </c>
      <c r="I32" s="58">
        <v>3.3619350481410354E-4</v>
      </c>
      <c r="J32" s="19">
        <v>10.798751186366889</v>
      </c>
      <c r="K32" s="19">
        <v>460.79999999999927</v>
      </c>
      <c r="L32" s="19">
        <f t="shared" si="0"/>
        <v>450.0012488136324</v>
      </c>
      <c r="M32" s="19"/>
      <c r="N32" s="19">
        <v>233.52914669223395</v>
      </c>
      <c r="O32" s="19">
        <f t="shared" si="1"/>
        <v>227.27085330776532</v>
      </c>
    </row>
    <row r="33" spans="1:15" x14ac:dyDescent="0.2">
      <c r="A33" s="2" t="s">
        <v>161</v>
      </c>
      <c r="B33" s="19">
        <v>2697.3483693995731</v>
      </c>
      <c r="C33" s="19">
        <v>31.347658505963594</v>
      </c>
      <c r="D33" s="3">
        <v>8366000</v>
      </c>
      <c r="E33">
        <v>21</v>
      </c>
      <c r="F33" s="19">
        <v>669.15923445000021</v>
      </c>
      <c r="G33" s="19">
        <v>15.584077244931535</v>
      </c>
      <c r="H33" s="19">
        <v>802.64116035749191</v>
      </c>
      <c r="I33" s="58">
        <v>3.1322411810281461E-4</v>
      </c>
      <c r="J33" s="19">
        <v>10.211500255456299</v>
      </c>
      <c r="K33" s="19">
        <v>463.20000000000164</v>
      </c>
      <c r="L33" s="19">
        <f t="shared" si="0"/>
        <v>452.98849974454532</v>
      </c>
      <c r="M33" s="19"/>
      <c r="N33" s="19">
        <v>235.01802492809199</v>
      </c>
      <c r="O33" s="19">
        <f t="shared" si="1"/>
        <v>228.18197507190965</v>
      </c>
    </row>
    <row r="34" spans="1:15" x14ac:dyDescent="0.2">
      <c r="A34" s="2" t="s">
        <v>164</v>
      </c>
      <c r="B34" s="19">
        <v>3123</v>
      </c>
      <c r="C34" s="19">
        <v>29.907140569964778</v>
      </c>
      <c r="D34" s="3">
        <v>9375000</v>
      </c>
      <c r="E34">
        <v>19</v>
      </c>
      <c r="F34" s="19">
        <v>1058.1276744281251</v>
      </c>
      <c r="G34" s="19">
        <v>13.993637776864228</v>
      </c>
      <c r="H34" s="19">
        <v>633.23092802074802</v>
      </c>
      <c r="I34" s="58">
        <v>3.2248653087512855E-4</v>
      </c>
      <c r="J34" s="19">
        <v>11.503694993579337</v>
      </c>
      <c r="K34" s="19">
        <v>645.60000000000173</v>
      </c>
      <c r="L34" s="19">
        <f t="shared" ref="L34:L51" si="2">K34-J34</f>
        <v>634.09630500642243</v>
      </c>
      <c r="M34" s="19"/>
      <c r="N34" s="19">
        <v>354.08688367640025</v>
      </c>
      <c r="O34" s="19">
        <f t="shared" si="1"/>
        <v>291.51311632360148</v>
      </c>
    </row>
    <row r="35" spans="1:15" x14ac:dyDescent="0.2">
      <c r="A35" s="2" t="s">
        <v>153</v>
      </c>
      <c r="B35" s="19">
        <v>3123.7427613532459</v>
      </c>
      <c r="C35" s="19">
        <v>29.996067909064301</v>
      </c>
      <c r="D35" s="3">
        <v>9421000.0000000019</v>
      </c>
      <c r="E35">
        <v>19</v>
      </c>
      <c r="F35" s="19">
        <v>1088.1691541437501</v>
      </c>
      <c r="G35" s="19">
        <v>13.967517828657972</v>
      </c>
      <c r="H35" s="19">
        <v>619.80197041552719</v>
      </c>
      <c r="I35" s="58">
        <v>3.0624848838969258E-4</v>
      </c>
      <c r="J35" s="19">
        <v>11.050216919528401</v>
      </c>
      <c r="K35" s="19">
        <v>654.40000000000055</v>
      </c>
      <c r="L35" s="19">
        <f t="shared" si="2"/>
        <v>643.34978308047209</v>
      </c>
      <c r="M35" s="19"/>
      <c r="N35" s="19">
        <v>356.10478468899521</v>
      </c>
      <c r="O35" s="19">
        <f t="shared" si="1"/>
        <v>298.29521531100534</v>
      </c>
    </row>
    <row r="36" spans="1:15" x14ac:dyDescent="0.2">
      <c r="A36" s="2" t="s">
        <v>163</v>
      </c>
      <c r="B36" s="19">
        <v>3520.2682109113075</v>
      </c>
      <c r="C36" s="19">
        <v>24.998095238095239</v>
      </c>
      <c r="D36" s="3">
        <v>8603000</v>
      </c>
      <c r="E36">
        <v>16</v>
      </c>
      <c r="F36" s="19">
        <v>1394.513707426875</v>
      </c>
      <c r="G36" s="19">
        <v>12.9940884207815</v>
      </c>
      <c r="H36" s="19">
        <v>474.8190307797903</v>
      </c>
      <c r="I36" s="58">
        <v>2.5255578517794177E-4</v>
      </c>
      <c r="J36" s="19">
        <v>10.040965283702507</v>
      </c>
      <c r="K36" s="19">
        <v>453.60000000000127</v>
      </c>
      <c r="L36" s="19">
        <f t="shared" si="2"/>
        <v>443.55903471629875</v>
      </c>
      <c r="M36" s="19"/>
      <c r="N36" s="19">
        <v>445.6975903614458</v>
      </c>
      <c r="O36" s="19">
        <f t="shared" si="1"/>
        <v>7.9024096385554685</v>
      </c>
    </row>
    <row r="37" spans="1:15" x14ac:dyDescent="0.2">
      <c r="A37" s="2" t="s">
        <v>131</v>
      </c>
      <c r="B37" s="19">
        <v>3276.6000000000004</v>
      </c>
      <c r="C37" s="19">
        <v>30.214246475004575</v>
      </c>
      <c r="D37" s="3">
        <v>10215000</v>
      </c>
      <c r="E37">
        <v>18</v>
      </c>
      <c r="F37" s="19">
        <v>1555.0883617500003</v>
      </c>
      <c r="G37" s="19">
        <v>13.008541970055427</v>
      </c>
      <c r="H37" s="19">
        <v>504.93299758823269</v>
      </c>
      <c r="I37" s="58">
        <v>2.4116712521858006E-4</v>
      </c>
      <c r="J37" s="19">
        <v>9.672539118474182</v>
      </c>
      <c r="K37" s="19">
        <v>782.40000000000009</v>
      </c>
      <c r="L37" s="19">
        <f t="shared" si="2"/>
        <v>772.72746088152587</v>
      </c>
      <c r="M37" s="19"/>
      <c r="N37" s="19">
        <v>437.22926596758822</v>
      </c>
      <c r="O37" s="19">
        <f t="shared" si="1"/>
        <v>345.17073403241187</v>
      </c>
    </row>
    <row r="38" spans="1:15" x14ac:dyDescent="0.2">
      <c r="A38" s="2" t="s">
        <v>130</v>
      </c>
      <c r="B38" s="19">
        <v>3244.9008000000003</v>
      </c>
      <c r="C38" s="19">
        <v>30.509407252141571</v>
      </c>
      <c r="D38" s="3">
        <v>10297999.999999998</v>
      </c>
      <c r="E38">
        <v>18</v>
      </c>
      <c r="F38" s="19">
        <v>1630.4865853499998</v>
      </c>
      <c r="G38" s="19">
        <v>12.962171669786992</v>
      </c>
      <c r="H38" s="19">
        <v>487.3432389240993</v>
      </c>
      <c r="I38" s="58">
        <v>2.2110464956267656E-4</v>
      </c>
      <c r="J38" s="19">
        <v>9.1031081051451554</v>
      </c>
      <c r="K38" s="19">
        <v>787.20000000000027</v>
      </c>
      <c r="L38" s="19">
        <f t="shared" si="2"/>
        <v>778.09689189485516</v>
      </c>
      <c r="M38" s="19"/>
      <c r="N38" s="19">
        <v>441.34285714285704</v>
      </c>
      <c r="O38" s="19">
        <f t="shared" si="1"/>
        <v>345.85714285714323</v>
      </c>
    </row>
    <row r="39" spans="1:15" x14ac:dyDescent="0.2">
      <c r="A39" s="2" t="s">
        <v>134</v>
      </c>
      <c r="B39" s="19">
        <v>3331.7688000000003</v>
      </c>
      <c r="C39" s="19">
        <v>28.813523915585016</v>
      </c>
      <c r="D39" s="3">
        <v>9953000</v>
      </c>
      <c r="E39">
        <v>17</v>
      </c>
      <c r="F39" s="19">
        <v>1693.0435489931256</v>
      </c>
      <c r="G39" s="19">
        <v>12.671278457461971</v>
      </c>
      <c r="H39" s="19">
        <v>463.9008348260042</v>
      </c>
      <c r="I39" s="58">
        <v>2.3248644355003447E-4</v>
      </c>
      <c r="J39" s="19">
        <v>9.620506119586933</v>
      </c>
      <c r="K39" s="19">
        <v>687.99999999999955</v>
      </c>
      <c r="L39" s="19">
        <f t="shared" si="2"/>
        <v>678.37949388041261</v>
      </c>
      <c r="M39" s="19"/>
      <c r="N39" s="19">
        <v>470.95613026819922</v>
      </c>
      <c r="O39" s="19">
        <f t="shared" si="1"/>
        <v>217.04386973180033</v>
      </c>
    </row>
    <row r="40" spans="1:15" x14ac:dyDescent="0.2">
      <c r="A40" s="2" t="s">
        <v>123</v>
      </c>
      <c r="B40" s="19">
        <v>3185.1600000000003</v>
      </c>
      <c r="C40" s="19">
        <v>31.08164111065064</v>
      </c>
      <c r="D40" s="3">
        <v>10456000</v>
      </c>
      <c r="E40">
        <v>18</v>
      </c>
      <c r="F40" s="19">
        <v>1779.7122362250004</v>
      </c>
      <c r="G40" s="19">
        <v>12.874633522082203</v>
      </c>
      <c r="H40" s="19">
        <v>456.44026350106157</v>
      </c>
      <c r="I40" s="58">
        <v>1.883030247066343E-4</v>
      </c>
      <c r="J40" s="19">
        <v>8.1810576088975075</v>
      </c>
      <c r="K40" s="19">
        <v>798.39999999999918</v>
      </c>
      <c r="L40" s="19">
        <f t="shared" si="2"/>
        <v>790.21894239110168</v>
      </c>
      <c r="M40" s="19"/>
      <c r="N40" s="19">
        <v>449.2501901140684</v>
      </c>
      <c r="O40" s="19">
        <f t="shared" si="1"/>
        <v>349.14980988593078</v>
      </c>
    </row>
    <row r="41" spans="1:15" x14ac:dyDescent="0.2">
      <c r="A41" s="2" t="s">
        <v>152</v>
      </c>
      <c r="B41" s="19">
        <v>3565.9859798841817</v>
      </c>
      <c r="C41" s="19">
        <v>28.541272554605889</v>
      </c>
      <c r="D41" s="3">
        <v>10615000</v>
      </c>
      <c r="E41">
        <v>16</v>
      </c>
      <c r="F41" s="19">
        <v>2370.3316544250001</v>
      </c>
      <c r="G41" s="19">
        <v>11.786669341921151</v>
      </c>
      <c r="H41" s="19">
        <v>379.93955439897189</v>
      </c>
      <c r="I41" s="58">
        <v>1.7764228149922282E-4</v>
      </c>
      <c r="J41" s="19">
        <v>8.4653233367390275</v>
      </c>
      <c r="K41" s="19">
        <v>818.39999999999918</v>
      </c>
      <c r="L41" s="19">
        <f t="shared" si="2"/>
        <v>809.93467666326012</v>
      </c>
      <c r="M41" s="19"/>
      <c r="N41" s="19">
        <v>554.33325370281887</v>
      </c>
      <c r="O41" s="19">
        <f t="shared" si="1"/>
        <v>264.06674629718032</v>
      </c>
    </row>
    <row r="42" spans="1:15" x14ac:dyDescent="0.2">
      <c r="A42" s="2" t="s">
        <v>136</v>
      </c>
      <c r="B42" s="19">
        <v>3596.6400000000003</v>
      </c>
      <c r="C42" s="19">
        <v>27.525690644601625</v>
      </c>
      <c r="D42" s="3">
        <v>10130000.000000002</v>
      </c>
      <c r="E42">
        <v>16</v>
      </c>
      <c r="F42" s="19">
        <v>2380.1491314562504</v>
      </c>
      <c r="G42" s="19">
        <v>12.066079495877471</v>
      </c>
      <c r="H42" s="19">
        <v>352.6811349824315</v>
      </c>
      <c r="I42" s="58">
        <v>1.3967244282694154E-4</v>
      </c>
      <c r="J42" s="19">
        <v>7.1881649819750395</v>
      </c>
      <c r="K42" s="19">
        <v>734.40000000000055</v>
      </c>
      <c r="L42" s="19">
        <f t="shared" si="2"/>
        <v>727.21183501802545</v>
      </c>
      <c r="M42" s="19"/>
      <c r="N42" s="19">
        <v>527.14868105515598</v>
      </c>
      <c r="O42" s="19">
        <f t="shared" si="1"/>
        <v>207.25131894484457</v>
      </c>
    </row>
    <row r="43" spans="1:15" x14ac:dyDescent="0.2">
      <c r="A43" s="2" t="s">
        <v>158</v>
      </c>
      <c r="B43" s="19">
        <v>3470</v>
      </c>
      <c r="C43" s="19">
        <v>29.394812680115272</v>
      </c>
      <c r="D43" s="3">
        <v>10868000</v>
      </c>
      <c r="E43">
        <v>16</v>
      </c>
      <c r="F43" s="19">
        <v>2393.5009002187498</v>
      </c>
      <c r="G43" s="19">
        <v>11.645328804664986</v>
      </c>
      <c r="H43" s="19">
        <v>389.91632973513384</v>
      </c>
      <c r="I43" s="58">
        <v>1.9470190216316907E-4</v>
      </c>
      <c r="J43" s="19">
        <v>9.0581309289687812</v>
      </c>
      <c r="K43" s="19">
        <v>840</v>
      </c>
      <c r="L43" s="19">
        <f t="shared" si="2"/>
        <v>830.94186907103119</v>
      </c>
      <c r="M43" s="19"/>
      <c r="N43" s="19">
        <v>568.78284080076264</v>
      </c>
      <c r="O43" s="19">
        <f t="shared" si="1"/>
        <v>271.21715919923736</v>
      </c>
    </row>
    <row r="44" spans="1:15" x14ac:dyDescent="0.2">
      <c r="A44" s="2" t="s">
        <v>151</v>
      </c>
      <c r="B44" s="19">
        <v>3545</v>
      </c>
      <c r="C44" s="19">
        <v>28.710233505720108</v>
      </c>
      <c r="D44" s="3">
        <v>10870000.000000002</v>
      </c>
      <c r="E44">
        <v>16</v>
      </c>
      <c r="F44" s="19">
        <v>2396.4461433281253</v>
      </c>
      <c r="G44" s="19">
        <v>11.643979140529533</v>
      </c>
      <c r="H44" s="19">
        <v>389.54324949064596</v>
      </c>
      <c r="I44" s="58">
        <v>1.942640441421495E-4</v>
      </c>
      <c r="J44" s="19">
        <v>9.045847353255386</v>
      </c>
      <c r="K44" s="19">
        <v>655.19999999999982</v>
      </c>
      <c r="L44" s="19">
        <f t="shared" si="2"/>
        <v>646.15415264674448</v>
      </c>
      <c r="M44" s="19"/>
      <c r="N44" s="19">
        <v>568.88751191611072</v>
      </c>
      <c r="O44" s="19">
        <f t="shared" si="1"/>
        <v>86.312488083889093</v>
      </c>
    </row>
    <row r="45" spans="1:15" x14ac:dyDescent="0.2">
      <c r="A45" s="2" t="s">
        <v>133</v>
      </c>
      <c r="B45" s="19">
        <v>3505.2000000000003</v>
      </c>
      <c r="C45" s="19">
        <v>28.81433299098482</v>
      </c>
      <c r="D45" s="3">
        <v>10636000.000000002</v>
      </c>
      <c r="E45">
        <v>16</v>
      </c>
      <c r="F45" s="19">
        <v>2404.260855045</v>
      </c>
      <c r="G45" s="19">
        <v>11.772610805248217</v>
      </c>
      <c r="H45" s="19">
        <v>375.75639169833693</v>
      </c>
      <c r="I45" s="58">
        <v>1.7307751226724175E-4</v>
      </c>
      <c r="J45" s="19">
        <v>8.3383567049185476</v>
      </c>
      <c r="K45" s="19">
        <v>804.80000000000018</v>
      </c>
      <c r="L45" s="19">
        <f t="shared" si="2"/>
        <v>796.46164329508167</v>
      </c>
      <c r="M45" s="19"/>
      <c r="N45" s="19">
        <v>555.42990922121362</v>
      </c>
      <c r="O45" s="19">
        <f t="shared" si="1"/>
        <v>249.37009077878656</v>
      </c>
    </row>
    <row r="46" spans="1:15" x14ac:dyDescent="0.2">
      <c r="A46" s="2" t="s">
        <v>165</v>
      </c>
      <c r="B46" s="19">
        <v>3596.4644925327643</v>
      </c>
      <c r="C46" s="19">
        <v>28.917288135593221</v>
      </c>
      <c r="D46" s="3">
        <v>10875999.999999998</v>
      </c>
      <c r="E46">
        <v>16</v>
      </c>
      <c r="F46" s="19">
        <v>2409.2088634687502</v>
      </c>
      <c r="G46" s="19">
        <v>11.639929473152531</v>
      </c>
      <c r="H46" s="19">
        <v>387.9358383957499</v>
      </c>
      <c r="I46" s="58">
        <v>1.9238415762543954E-4</v>
      </c>
      <c r="J46" s="65">
        <v>8.9931650745348168</v>
      </c>
      <c r="K46" s="19">
        <v>879.20000000000073</v>
      </c>
      <c r="L46" s="19">
        <f t="shared" si="2"/>
        <v>870.20683492546596</v>
      </c>
      <c r="N46" s="19">
        <v>569.20152526215452</v>
      </c>
      <c r="O46" s="19">
        <f t="shared" si="1"/>
        <v>309.99847473784621</v>
      </c>
    </row>
    <row r="47" spans="1:15" x14ac:dyDescent="0.2">
      <c r="A47" s="6" t="s">
        <v>197</v>
      </c>
      <c r="B47" s="19">
        <v>3587.0161536117034</v>
      </c>
      <c r="C47" s="19">
        <v>29.148336968117754</v>
      </c>
      <c r="D47" s="3">
        <v>10980000.000000002</v>
      </c>
      <c r="E47">
        <v>16</v>
      </c>
      <c r="F47" s="19">
        <v>2561.3797574531254</v>
      </c>
      <c r="G47" s="19">
        <v>11.580411929145928</v>
      </c>
      <c r="H47" s="19">
        <v>370.17779103843537</v>
      </c>
      <c r="I47" s="58">
        <v>1.7200595553664948E-4</v>
      </c>
      <c r="J47" s="19">
        <v>8.4261228265075978</v>
      </c>
      <c r="K47" s="19">
        <v>896.79999999999836</v>
      </c>
      <c r="L47" s="19">
        <f t="shared" si="2"/>
        <v>888.37387717349077</v>
      </c>
      <c r="N47" s="19">
        <v>575.14285714285722</v>
      </c>
      <c r="O47" s="19">
        <f t="shared" si="1"/>
        <v>321.65714285714114</v>
      </c>
    </row>
    <row r="48" spans="1:15" x14ac:dyDescent="0.2">
      <c r="A48" s="2" t="s">
        <v>135</v>
      </c>
      <c r="B48" s="19">
        <v>3640</v>
      </c>
      <c r="C48" s="19">
        <v>27.747252747252748</v>
      </c>
      <c r="D48" s="3">
        <v>10651999.999999998</v>
      </c>
      <c r="E48">
        <v>15</v>
      </c>
      <c r="F48" s="19">
        <v>2696.5075113112498</v>
      </c>
      <c r="G48" s="19">
        <v>11.262057205606343</v>
      </c>
      <c r="H48" s="19">
        <v>350.76985230534609</v>
      </c>
      <c r="I48" s="58">
        <v>1.7250022593250487E-4</v>
      </c>
      <c r="J48" s="19">
        <v>8.6086431667682852</v>
      </c>
      <c r="K48" s="19">
        <v>784.00000000000091</v>
      </c>
      <c r="L48" s="19">
        <f t="shared" si="2"/>
        <v>775.39135683323263</v>
      </c>
      <c r="N48" s="19">
        <v>606.06206896551714</v>
      </c>
      <c r="O48" s="19">
        <f t="shared" si="1"/>
        <v>177.93793103448377</v>
      </c>
    </row>
    <row r="49" spans="1:15" x14ac:dyDescent="0.2">
      <c r="A49" s="2" t="s">
        <v>156</v>
      </c>
      <c r="B49" s="19">
        <v>3687.5952453520267</v>
      </c>
      <c r="C49" s="19">
        <v>28.654627104168391</v>
      </c>
      <c r="D49" s="3">
        <v>11233999.999999996</v>
      </c>
      <c r="E49">
        <v>15</v>
      </c>
      <c r="F49" s="19">
        <v>2954.5108076925003</v>
      </c>
      <c r="G49" s="19">
        <v>10.937940726018427</v>
      </c>
      <c r="H49" s="19">
        <v>347.63544653531767</v>
      </c>
      <c r="I49" s="58">
        <v>1.782680304069629E-4</v>
      </c>
      <c r="J49" s="19">
        <v>9.0048981820613658</v>
      </c>
      <c r="K49" s="19">
        <v>913.60000000000127</v>
      </c>
      <c r="L49" s="19">
        <f t="shared" si="2"/>
        <v>904.59510181793996</v>
      </c>
      <c r="N49" s="19">
        <v>641.71348261076696</v>
      </c>
      <c r="O49" s="19">
        <f t="shared" si="1"/>
        <v>271.88651738923431</v>
      </c>
    </row>
    <row r="50" spans="1:15" x14ac:dyDescent="0.2">
      <c r="A50" s="2" t="s">
        <v>159</v>
      </c>
      <c r="B50" s="19">
        <v>3826.5772630295642</v>
      </c>
      <c r="C50" s="19">
        <v>27.323518739767248</v>
      </c>
      <c r="D50" s="3">
        <v>11088000</v>
      </c>
      <c r="E50">
        <v>14</v>
      </c>
      <c r="F50" s="19">
        <v>3116.0672097187512</v>
      </c>
      <c r="G50" s="19">
        <v>10.509120432195722</v>
      </c>
      <c r="H50" s="19">
        <v>338.58910282148571</v>
      </c>
      <c r="I50" s="58">
        <v>1.9334587668545401E-4</v>
      </c>
      <c r="J50" s="19">
        <v>9.7111354707796149</v>
      </c>
      <c r="K50" s="19">
        <v>859.19999999999845</v>
      </c>
      <c r="L50" s="19">
        <f t="shared" si="2"/>
        <v>849.48886452921886</v>
      </c>
      <c r="N50" s="19">
        <v>684.37894736842111</v>
      </c>
      <c r="O50" s="19">
        <f t="shared" si="1"/>
        <v>174.82105263157734</v>
      </c>
    </row>
    <row r="51" spans="1:15" x14ac:dyDescent="0.2">
      <c r="A51" s="2" t="s">
        <v>157</v>
      </c>
      <c r="B51" s="19">
        <v>3637.0009143553793</v>
      </c>
      <c r="C51" s="19">
        <v>29.205992718604808</v>
      </c>
      <c r="D51" s="3">
        <v>11425999.999999998</v>
      </c>
      <c r="E51">
        <v>15</v>
      </c>
      <c r="F51" s="19">
        <v>3309.667856775</v>
      </c>
      <c r="G51" s="19">
        <v>10.836286110559119</v>
      </c>
      <c r="H51" s="19">
        <v>318.60880649018026</v>
      </c>
      <c r="I51" s="58">
        <v>1.4491757190707459E-4</v>
      </c>
      <c r="J51" s="19">
        <v>8.1188591859221599</v>
      </c>
      <c r="K51" s="19">
        <v>938.39999999999918</v>
      </c>
      <c r="L51" s="19">
        <f t="shared" si="2"/>
        <v>930.28114081407705</v>
      </c>
      <c r="N51" s="19">
        <v>653.84524714828888</v>
      </c>
      <c r="O51" s="19">
        <f t="shared" si="1"/>
        <v>284.5547528517103</v>
      </c>
    </row>
    <row r="53" spans="1:15" x14ac:dyDescent="0.2">
      <c r="F53" s="19"/>
      <c r="G53" s="19"/>
      <c r="H53" s="19"/>
      <c r="I53" s="19"/>
      <c r="J53" s="19"/>
      <c r="K53" s="19"/>
      <c r="L53" s="19"/>
    </row>
    <row r="55" spans="1:15" x14ac:dyDescent="0.2">
      <c r="L55" s="19"/>
    </row>
  </sheetData>
  <sortState xmlns:xlrd2="http://schemas.microsoft.com/office/spreadsheetml/2017/richdata2" ref="K64:L113">
    <sortCondition ref="K64:K113"/>
  </sortState>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182F0-569D-5B4C-AE2A-6618E76B91A1}">
  <dimension ref="A1:AO257"/>
  <sheetViews>
    <sheetView zoomScaleNormal="120" workbookViewId="0">
      <selection activeCell="J49" sqref="J49"/>
    </sheetView>
  </sheetViews>
  <sheetFormatPr baseColWidth="10" defaultRowHeight="16" x14ac:dyDescent="0.2"/>
  <cols>
    <col min="1" max="1" width="10.83203125" customWidth="1"/>
    <col min="5" max="5" width="12.1640625" bestFit="1" customWidth="1"/>
    <col min="6" max="6" width="13.83203125" bestFit="1" customWidth="1"/>
    <col min="10" max="11" width="12.1640625" bestFit="1" customWidth="1"/>
  </cols>
  <sheetData>
    <row r="1" spans="1:39" x14ac:dyDescent="0.2">
      <c r="O1" s="113" t="s">
        <v>198</v>
      </c>
      <c r="P1" s="113"/>
      <c r="Q1" s="113"/>
      <c r="R1" s="113"/>
      <c r="S1" s="113"/>
      <c r="T1" s="113"/>
      <c r="U1" s="113"/>
      <c r="Y1" s="114" t="s">
        <v>200</v>
      </c>
      <c r="Z1" s="114"/>
      <c r="AA1" s="114"/>
      <c r="AB1" s="114"/>
      <c r="AC1" s="114"/>
      <c r="AD1" s="114"/>
      <c r="AH1" s="115" t="s">
        <v>199</v>
      </c>
      <c r="AI1" s="115"/>
      <c r="AJ1" s="115"/>
      <c r="AK1" s="115"/>
      <c r="AL1" s="115"/>
      <c r="AM1" s="115"/>
    </row>
    <row r="2" spans="1:39" x14ac:dyDescent="0.2">
      <c r="A2" s="23" t="s">
        <v>103</v>
      </c>
      <c r="B2" s="41" t="s">
        <v>182</v>
      </c>
      <c r="C2" s="41" t="s">
        <v>183</v>
      </c>
      <c r="D2" s="41" t="s">
        <v>184</v>
      </c>
      <c r="E2" s="41" t="s">
        <v>185</v>
      </c>
      <c r="F2" s="41" t="s">
        <v>327</v>
      </c>
      <c r="G2" s="41" t="s">
        <v>186</v>
      </c>
      <c r="H2" s="41" t="s">
        <v>187</v>
      </c>
      <c r="I2" s="36" t="s">
        <v>188</v>
      </c>
      <c r="J2" s="36" t="s">
        <v>189</v>
      </c>
      <c r="K2" s="36" t="s">
        <v>190</v>
      </c>
      <c r="L2" s="36" t="s">
        <v>191</v>
      </c>
      <c r="M2" s="36" t="s">
        <v>192</v>
      </c>
      <c r="N2" s="36"/>
      <c r="O2" s="92" t="s">
        <v>1</v>
      </c>
      <c r="P2" s="92" t="s">
        <v>191</v>
      </c>
      <c r="Q2" s="92" t="s">
        <v>192</v>
      </c>
      <c r="R2" s="92" t="s">
        <v>193</v>
      </c>
      <c r="S2" s="92" t="s">
        <v>194</v>
      </c>
      <c r="T2" s="92" t="s">
        <v>195</v>
      </c>
      <c r="U2" s="92" t="s">
        <v>291</v>
      </c>
      <c r="Y2" s="36" t="s">
        <v>1</v>
      </c>
      <c r="Z2" s="41" t="s">
        <v>191</v>
      </c>
      <c r="AA2" s="41" t="s">
        <v>192</v>
      </c>
      <c r="AB2" s="41" t="s">
        <v>193</v>
      </c>
      <c r="AC2" s="41" t="s">
        <v>194</v>
      </c>
      <c r="AD2" s="41" t="s">
        <v>195</v>
      </c>
      <c r="AH2" s="36" t="s">
        <v>1</v>
      </c>
      <c r="AI2" s="41" t="s">
        <v>191</v>
      </c>
      <c r="AJ2" s="41" t="s">
        <v>192</v>
      </c>
      <c r="AK2" s="41" t="s">
        <v>193</v>
      </c>
      <c r="AL2" s="41" t="s">
        <v>194</v>
      </c>
      <c r="AM2" s="41" t="s">
        <v>195</v>
      </c>
    </row>
    <row r="3" spans="1:39" x14ac:dyDescent="0.2">
      <c r="A3" s="45" t="s">
        <v>196</v>
      </c>
      <c r="B3" s="22">
        <v>2377.44</v>
      </c>
      <c r="C3" s="19">
        <f>(B3^2+H3^2)^0.5</f>
        <v>2480.3366613425687</v>
      </c>
      <c r="D3" s="52">
        <v>14</v>
      </c>
      <c r="E3" s="95">
        <v>4.6731398565699999E-5</v>
      </c>
      <c r="F3">
        <v>600</v>
      </c>
      <c r="G3">
        <v>77.724000000000004</v>
      </c>
      <c r="H3">
        <v>707</v>
      </c>
      <c r="I3" s="1">
        <v>713.55</v>
      </c>
      <c r="J3" s="12">
        <v>594.3017765948</v>
      </c>
      <c r="K3" s="30">
        <v>2.41</v>
      </c>
      <c r="L3" s="101">
        <f>(((0.02*((2*C3)/(D3^5))*((8)/(3.14159265359^2))*(1/J3))+(0.02*((2*C3)/(D3^5))*((8)/(3.14159265359^2))*(1/I3)))/2)*10000</f>
        <v>2.3057795286215419E-3</v>
      </c>
      <c r="M3" s="101">
        <f>((((E3/J3)*(1/(F3*G3))*(1/3.14159265359)*(LN(H3/(D3*2.71828))))+((E3/I3)*(1/(F3*G3))*(1/3.14159265359)*(LN(H3/(D3*2.71828)))))/2)*1000000000</f>
        <v>1.4372289382856586E-3</v>
      </c>
      <c r="N3" s="46"/>
      <c r="O3" s="42">
        <v>0</v>
      </c>
      <c r="P3" s="43">
        <f>(O3^2)*$L$3</f>
        <v>0</v>
      </c>
      <c r="Q3" s="43">
        <f>O3*$M$9</f>
        <v>0</v>
      </c>
      <c r="R3" s="43">
        <f>P3+Q3</f>
        <v>0</v>
      </c>
      <c r="S3" s="19">
        <f>$K$3-R3</f>
        <v>2.41</v>
      </c>
      <c r="T3" s="19">
        <f>O3*0.8*(S3/((424.48+365.19)/2))*1000</f>
        <v>0</v>
      </c>
      <c r="U3" s="19">
        <f t="shared" ref="U3:U66" si="0">(O3*0.8*(-137.53--143.63))</f>
        <v>0</v>
      </c>
      <c r="Y3" s="42">
        <v>0</v>
      </c>
      <c r="Z3" s="43">
        <f>(Y3^2)*$L$4</f>
        <v>0</v>
      </c>
      <c r="AA3" s="43">
        <f>Y3*$M$4</f>
        <v>0</v>
      </c>
      <c r="AB3" s="43">
        <f>Z3+AA3</f>
        <v>0</v>
      </c>
      <c r="AC3" s="19">
        <f>$K$4-AB3</f>
        <v>2.41</v>
      </c>
      <c r="AD3" s="19">
        <f>Y3*0.8*(AC3/((424.48+365.19)/2))*1000</f>
        <v>0</v>
      </c>
      <c r="AH3" s="42">
        <v>0</v>
      </c>
      <c r="AI3" s="43">
        <f>(AH3^2)*$L$5</f>
        <v>0</v>
      </c>
      <c r="AJ3" s="43">
        <f>AH3*$M$5</f>
        <v>0</v>
      </c>
      <c r="AK3" s="43">
        <f>AI3+AJ3</f>
        <v>0</v>
      </c>
      <c r="AL3" s="19">
        <f>$K$5-AK3</f>
        <v>2.41</v>
      </c>
      <c r="AM3" s="19">
        <f>AH3*0.8*(AL3/((424.48+365.19)/2))*1000</f>
        <v>0</v>
      </c>
    </row>
    <row r="4" spans="1:39" x14ac:dyDescent="0.2">
      <c r="A4" s="45" t="s">
        <v>196</v>
      </c>
      <c r="B4" s="22">
        <v>2377.44</v>
      </c>
      <c r="C4" s="19">
        <f>(B4^2+H4^2)^0.5</f>
        <v>2480.3366613425687</v>
      </c>
      <c r="D4" s="51">
        <v>28</v>
      </c>
      <c r="E4" s="95">
        <v>4.6731398565699999E-5</v>
      </c>
      <c r="F4">
        <v>600</v>
      </c>
      <c r="G4">
        <v>77.724000000000004</v>
      </c>
      <c r="H4">
        <v>707</v>
      </c>
      <c r="I4" s="1">
        <v>713.55</v>
      </c>
      <c r="J4" s="12">
        <v>594.3017765948</v>
      </c>
      <c r="K4" s="30">
        <v>2.41</v>
      </c>
      <c r="L4" s="101">
        <f>(((0.02*((2*C4)/(D4^5))*((8)/(3.14159265359^2))*(1/J4))+(0.02*((2*C4)/(D4^5))*((8)/(3.14159265359^2))*(1/I4)))/2)*10000</f>
        <v>7.2055610269423185E-5</v>
      </c>
      <c r="M4" s="101">
        <f>((((E4/J4)*(1/(F4*G4))*(1/3.14159265359)*(LN(H4/(D4*2.71828))))+((E4/I4)*(1/(F4*G4))*(1/3.14159265359)*(LN(H4/(D4*2.71828)))))/2)*1000000000</f>
        <v>1.0962912080574227E-3</v>
      </c>
      <c r="N4" s="46"/>
      <c r="O4">
        <v>1</v>
      </c>
      <c r="P4" s="43">
        <f t="shared" ref="P4:P67" si="1">(O4^2)*$L$3</f>
        <v>2.3057795286215419E-3</v>
      </c>
      <c r="Q4" s="43">
        <f t="shared" ref="Q4:Q67" si="2">O4*$M$3</f>
        <v>1.4372289382856586E-3</v>
      </c>
      <c r="R4" s="43">
        <f t="shared" ref="R4:R67" si="3">P4+Q4</f>
        <v>3.7430084669072003E-3</v>
      </c>
      <c r="S4" s="19">
        <f t="shared" ref="S4:S67" si="4">$K$3-R4</f>
        <v>2.4062569915330929</v>
      </c>
      <c r="T4" s="19">
        <f t="shared" ref="T4:T67" si="5">O4*0.8*(S4/((424.48+365.19)/2))*1000</f>
        <v>4.8754684696809409</v>
      </c>
      <c r="U4" s="19">
        <f t="shared" si="0"/>
        <v>4.8799999999999955</v>
      </c>
      <c r="Y4">
        <v>1</v>
      </c>
      <c r="Z4" s="43">
        <f t="shared" ref="Z4:Z67" si="6">(Y4^2)*$L$4</f>
        <v>7.2055610269423185E-5</v>
      </c>
      <c r="AA4" s="43">
        <f t="shared" ref="AA4:AA67" si="7">Y4*$M$4</f>
        <v>1.0962912080574227E-3</v>
      </c>
      <c r="AB4" s="43">
        <f t="shared" ref="AB4:AB67" si="8">Z4+AA4</f>
        <v>1.168346818326846E-3</v>
      </c>
      <c r="AC4" s="19">
        <f t="shared" ref="AC4:AC67" si="9">$K$4-AB4</f>
        <v>2.4088316531816734</v>
      </c>
      <c r="AD4" s="19">
        <f t="shared" ref="AD4:AD67" si="10">Y4*0.8*(AC4/((424.48+365.19)/2))*1000</f>
        <v>4.8806851534067102</v>
      </c>
      <c r="AH4">
        <v>1</v>
      </c>
      <c r="AI4" s="43">
        <f t="shared" ref="AI4:AI67" si="11">(AH4^2)*$L$5</f>
        <v>1.0703816960141408E-5</v>
      </c>
      <c r="AJ4" s="43">
        <f t="shared" ref="AJ4:AJ67" si="12">AH4*$M$5</f>
        <v>9.0870826355105548E-4</v>
      </c>
      <c r="AK4" s="43">
        <f t="shared" ref="AK4:AK67" si="13">AI4+AJ4</f>
        <v>9.1941208051119687E-4</v>
      </c>
      <c r="AL4" s="19">
        <f t="shared" ref="AL4:AL67" si="14">$K$5-AK4</f>
        <v>2.409080587919489</v>
      </c>
      <c r="AM4" s="19">
        <f t="shared" ref="AM4:AM67" si="15">AH4*0.8*(AL4/((424.48+365.19)/2))*1000</f>
        <v>4.8811895357189492</v>
      </c>
    </row>
    <row r="5" spans="1:39" x14ac:dyDescent="0.2">
      <c r="A5" s="45" t="s">
        <v>196</v>
      </c>
      <c r="B5" s="22">
        <v>2377.44</v>
      </c>
      <c r="C5" s="19">
        <f>(B5^2+H5^2)^0.5</f>
        <v>2480.3366613425687</v>
      </c>
      <c r="D5" s="53">
        <v>41</v>
      </c>
      <c r="E5" s="95">
        <v>4.6731398565699999E-5</v>
      </c>
      <c r="F5">
        <v>600</v>
      </c>
      <c r="G5">
        <v>77.724000000000004</v>
      </c>
      <c r="H5">
        <v>707</v>
      </c>
      <c r="I5" s="1">
        <v>713.55</v>
      </c>
      <c r="J5" s="12">
        <v>594.3017765948</v>
      </c>
      <c r="K5" s="30">
        <v>2.41</v>
      </c>
      <c r="L5" s="101">
        <f>(((0.02*((2*C5)/(D5^5))*((8)/(3.14159265359^2))*(1/J5))+(0.02*((2*C5)/(D5^5))*((8)/(3.14159265359^2))*(1/I5)))/2)*10000</f>
        <v>1.0703816960141408E-5</v>
      </c>
      <c r="M5" s="101">
        <f>((((E5/J5)*(1/(F5*G5))*(1/3.14159265359)*(LN(H5/(D5*2.71828))))+((E5/I5)*(1/(F5*G5))*(1/3.14159265359)*(LN(H5/(D5*2.71828)))))/2)*1000000000</f>
        <v>9.0870826355105548E-4</v>
      </c>
      <c r="N5" s="46"/>
      <c r="O5" s="42">
        <v>2</v>
      </c>
      <c r="P5" s="43">
        <f t="shared" si="1"/>
        <v>9.2231181144861677E-3</v>
      </c>
      <c r="Q5" s="43">
        <f t="shared" si="2"/>
        <v>2.8744578765713172E-3</v>
      </c>
      <c r="R5" s="43">
        <f t="shared" si="3"/>
        <v>1.2097575991057485E-2</v>
      </c>
      <c r="S5" s="19">
        <f t="shared" si="4"/>
        <v>2.3979024240089428</v>
      </c>
      <c r="T5" s="19">
        <f t="shared" si="5"/>
        <v>9.7170815110471676</v>
      </c>
      <c r="U5" s="19">
        <f t="shared" si="0"/>
        <v>9.7599999999999909</v>
      </c>
      <c r="Y5" s="42">
        <v>2</v>
      </c>
      <c r="Z5" s="43">
        <f t="shared" si="6"/>
        <v>2.8822244107769274E-4</v>
      </c>
      <c r="AA5" s="43">
        <f t="shared" si="7"/>
        <v>2.1925824161148455E-3</v>
      </c>
      <c r="AB5" s="43">
        <f t="shared" si="8"/>
        <v>2.4808048571925384E-3</v>
      </c>
      <c r="AC5" s="19">
        <f t="shared" si="9"/>
        <v>2.4075191951428074</v>
      </c>
      <c r="AD5" s="19">
        <f t="shared" si="10"/>
        <v>9.756051799431388</v>
      </c>
      <c r="AH5" s="42">
        <v>2</v>
      </c>
      <c r="AI5" s="43">
        <f t="shared" si="11"/>
        <v>4.2815267840565633E-5</v>
      </c>
      <c r="AJ5" s="43">
        <f t="shared" si="12"/>
        <v>1.817416527102111E-3</v>
      </c>
      <c r="AK5" s="43">
        <f t="shared" si="13"/>
        <v>1.8602317949426765E-3</v>
      </c>
      <c r="AL5" s="19">
        <f t="shared" si="14"/>
        <v>2.4081397682050576</v>
      </c>
      <c r="AM5" s="19">
        <f t="shared" si="15"/>
        <v>9.7585665635723586</v>
      </c>
    </row>
    <row r="6" spans="1:39" x14ac:dyDescent="0.2">
      <c r="E6" s="43"/>
      <c r="O6">
        <v>3</v>
      </c>
      <c r="P6" s="43">
        <f t="shared" si="1"/>
        <v>2.0752015757593879E-2</v>
      </c>
      <c r="Q6" s="43">
        <f t="shared" si="2"/>
        <v>4.3116868148569756E-3</v>
      </c>
      <c r="R6" s="43">
        <f t="shared" si="3"/>
        <v>2.5063702572450854E-2</v>
      </c>
      <c r="S6" s="19">
        <f t="shared" si="4"/>
        <v>2.3849362974275494</v>
      </c>
      <c r="T6" s="19">
        <f t="shared" si="5"/>
        <v>14.496807815482716</v>
      </c>
      <c r="U6" s="19">
        <f t="shared" si="0"/>
        <v>14.639999999999988</v>
      </c>
      <c r="Y6">
        <v>3</v>
      </c>
      <c r="Z6" s="43">
        <f t="shared" si="6"/>
        <v>6.4850049242480871E-4</v>
      </c>
      <c r="AA6" s="43">
        <f t="shared" si="7"/>
        <v>3.288873624172268E-3</v>
      </c>
      <c r="AB6" s="43">
        <f t="shared" si="8"/>
        <v>3.937374116597077E-3</v>
      </c>
      <c r="AC6" s="19">
        <f t="shared" si="9"/>
        <v>2.4060626258834032</v>
      </c>
      <c r="AD6" s="19">
        <f t="shared" si="10"/>
        <v>14.625223959679785</v>
      </c>
      <c r="AH6">
        <v>3</v>
      </c>
      <c r="AI6" s="43">
        <f t="shared" si="11"/>
        <v>9.6334352641272672E-5</v>
      </c>
      <c r="AJ6" s="43">
        <f t="shared" si="12"/>
        <v>2.7261247906531665E-3</v>
      </c>
      <c r="AK6" s="43">
        <f t="shared" si="13"/>
        <v>2.8224591432944391E-3</v>
      </c>
      <c r="AL6" s="19">
        <f t="shared" si="14"/>
        <v>2.4071775408567055</v>
      </c>
      <c r="AM6" s="19">
        <f t="shared" si="15"/>
        <v>14.632000957504005</v>
      </c>
    </row>
    <row r="7" spans="1:39" x14ac:dyDescent="0.2">
      <c r="E7" s="43"/>
      <c r="I7" t="s">
        <v>330</v>
      </c>
      <c r="J7" s="12">
        <v>653.92588829739998</v>
      </c>
      <c r="L7" s="49">
        <f>0.02*((2*C3)/(D3^5))*((8)/(3.14159265359^2))*(1/J7)*10000</f>
        <v>2.2866103033658946E-3</v>
      </c>
      <c r="M7" s="49"/>
      <c r="O7" s="42">
        <v>4</v>
      </c>
      <c r="P7" s="43">
        <f t="shared" si="1"/>
        <v>3.6892472457944671E-2</v>
      </c>
      <c r="Q7" s="43">
        <f t="shared" si="2"/>
        <v>5.7489157531426345E-3</v>
      </c>
      <c r="R7" s="43">
        <f t="shared" si="3"/>
        <v>4.2641388211087303E-2</v>
      </c>
      <c r="S7" s="19">
        <f t="shared" si="4"/>
        <v>2.3673586117889127</v>
      </c>
      <c r="T7" s="19">
        <f t="shared" si="5"/>
        <v>19.186616074371624</v>
      </c>
      <c r="U7" s="19">
        <f t="shared" si="0"/>
        <v>19.519999999999982</v>
      </c>
      <c r="Y7" s="42">
        <v>4</v>
      </c>
      <c r="Z7" s="43">
        <f t="shared" si="6"/>
        <v>1.152889764310771E-3</v>
      </c>
      <c r="AA7" s="43">
        <f t="shared" si="7"/>
        <v>4.385164832229691E-3</v>
      </c>
      <c r="AB7" s="43">
        <f t="shared" si="8"/>
        <v>5.5380545965404617E-3</v>
      </c>
      <c r="AC7" s="19">
        <f t="shared" si="9"/>
        <v>2.4044619454034595</v>
      </c>
      <c r="AD7" s="19">
        <f t="shared" si="10"/>
        <v>19.487325655757648</v>
      </c>
      <c r="AH7" s="42">
        <v>4</v>
      </c>
      <c r="AI7" s="43">
        <f t="shared" si="11"/>
        <v>1.7126107136226253E-4</v>
      </c>
      <c r="AJ7" s="43">
        <f t="shared" si="12"/>
        <v>3.6348330542042219E-3</v>
      </c>
      <c r="AK7" s="43">
        <f t="shared" si="13"/>
        <v>3.8060941255664846E-3</v>
      </c>
      <c r="AL7" s="19">
        <f t="shared" si="14"/>
        <v>2.4061939058744337</v>
      </c>
      <c r="AM7" s="19">
        <f t="shared" si="15"/>
        <v>19.501362591457667</v>
      </c>
    </row>
    <row r="8" spans="1:39" x14ac:dyDescent="0.2">
      <c r="F8" s="55"/>
      <c r="O8">
        <v>5</v>
      </c>
      <c r="P8" s="43">
        <f t="shared" si="1"/>
        <v>5.7644488215538546E-2</v>
      </c>
      <c r="Q8" s="43">
        <f t="shared" si="2"/>
        <v>7.1861446914282933E-3</v>
      </c>
      <c r="R8" s="43">
        <f t="shared" si="3"/>
        <v>6.4830632906966834E-2</v>
      </c>
      <c r="S8" s="19">
        <f t="shared" si="4"/>
        <v>2.3451693670930331</v>
      </c>
      <c r="T8" s="19">
        <f t="shared" si="5"/>
        <v>23.758474979097933</v>
      </c>
      <c r="U8" s="19">
        <f t="shared" si="0"/>
        <v>24.399999999999977</v>
      </c>
      <c r="Y8">
        <v>5</v>
      </c>
      <c r="Z8" s="43">
        <f t="shared" si="6"/>
        <v>1.8013902567355796E-3</v>
      </c>
      <c r="AA8" s="43">
        <f t="shared" si="7"/>
        <v>5.4814560402871139E-3</v>
      </c>
      <c r="AB8" s="43">
        <f t="shared" si="8"/>
        <v>7.2828462970226937E-3</v>
      </c>
      <c r="AC8" s="19">
        <f t="shared" si="9"/>
        <v>2.4027171537029774</v>
      </c>
      <c r="AD8" s="19">
        <f t="shared" si="10"/>
        <v>24.341480909270729</v>
      </c>
      <c r="AH8">
        <v>5</v>
      </c>
      <c r="AI8" s="43">
        <f t="shared" si="11"/>
        <v>2.6759542400353522E-4</v>
      </c>
      <c r="AJ8" s="43">
        <f t="shared" si="12"/>
        <v>4.5435413177552777E-3</v>
      </c>
      <c r="AK8" s="43">
        <f t="shared" si="13"/>
        <v>4.8111367417588129E-3</v>
      </c>
      <c r="AL8" s="19">
        <f t="shared" si="14"/>
        <v>2.4051888632582412</v>
      </c>
      <c r="AM8" s="19">
        <f t="shared" si="15"/>
        <v>24.366521339377115</v>
      </c>
    </row>
    <row r="9" spans="1:39" x14ac:dyDescent="0.2">
      <c r="F9" s="55"/>
      <c r="H9">
        <v>594.29999999999995</v>
      </c>
      <c r="I9">
        <v>813.67</v>
      </c>
      <c r="J9">
        <f>AVERAGE(H9:I9)</f>
        <v>703.9849999999999</v>
      </c>
      <c r="M9" s="49">
        <f>((((E3/J9)*(1/(F3*G3))*(1/3.14159265359)*(LN(H3/(D3*2.71828))))*1000000000))</f>
        <v>1.3239313173294496E-3</v>
      </c>
      <c r="O9" s="42">
        <v>6</v>
      </c>
      <c r="P9" s="43">
        <f t="shared" si="1"/>
        <v>8.3008063030375515E-2</v>
      </c>
      <c r="Q9" s="43">
        <f t="shared" si="2"/>
        <v>8.6233736297139513E-3</v>
      </c>
      <c r="R9" s="43">
        <f t="shared" si="3"/>
        <v>9.1631436660089466E-2</v>
      </c>
      <c r="S9" s="19">
        <f t="shared" si="4"/>
        <v>2.3183685633399107</v>
      </c>
      <c r="T9" s="19">
        <f t="shared" si="5"/>
        <v>28.184353221045683</v>
      </c>
      <c r="U9" s="19">
        <f t="shared" si="0"/>
        <v>29.279999999999976</v>
      </c>
      <c r="Y9" s="42">
        <v>6</v>
      </c>
      <c r="Z9" s="43">
        <f t="shared" si="6"/>
        <v>2.5940019696992348E-3</v>
      </c>
      <c r="AA9" s="43">
        <f t="shared" si="7"/>
        <v>6.577747248344536E-3</v>
      </c>
      <c r="AB9" s="43">
        <f t="shared" si="8"/>
        <v>9.1717492180437704E-3</v>
      </c>
      <c r="AC9" s="19">
        <f t="shared" si="9"/>
        <v>2.4008282507819563</v>
      </c>
      <c r="AD9" s="19">
        <f t="shared" si="10"/>
        <v>29.186813741824789</v>
      </c>
      <c r="AH9" s="42">
        <v>6</v>
      </c>
      <c r="AI9" s="43">
        <f t="shared" si="11"/>
        <v>3.8533741056509069E-4</v>
      </c>
      <c r="AJ9" s="43">
        <f t="shared" si="12"/>
        <v>5.4522495813063331E-3</v>
      </c>
      <c r="AK9" s="43">
        <f t="shared" si="13"/>
        <v>5.837586991871424E-3</v>
      </c>
      <c r="AL9" s="19">
        <f t="shared" si="14"/>
        <v>2.4041624130081285</v>
      </c>
      <c r="AM9" s="19">
        <f t="shared" si="15"/>
        <v>29.22734707520614</v>
      </c>
    </row>
    <row r="10" spans="1:39" x14ac:dyDescent="0.2">
      <c r="O10">
        <v>7</v>
      </c>
      <c r="P10" s="43">
        <f t="shared" si="1"/>
        <v>0.11298319690245555</v>
      </c>
      <c r="Q10" s="43">
        <f t="shared" si="2"/>
        <v>1.0060602567999611E-2</v>
      </c>
      <c r="R10" s="43">
        <f t="shared" si="3"/>
        <v>0.12304379947045516</v>
      </c>
      <c r="S10" s="19">
        <f t="shared" si="4"/>
        <v>2.286956200529545</v>
      </c>
      <c r="T10" s="19">
        <f t="shared" si="5"/>
        <v>32.436219491598905</v>
      </c>
      <c r="U10" s="19">
        <f t="shared" si="0"/>
        <v>34.159999999999968</v>
      </c>
      <c r="Y10">
        <v>7</v>
      </c>
      <c r="Z10" s="43">
        <f t="shared" si="6"/>
        <v>3.5307249032017359E-3</v>
      </c>
      <c r="AA10" s="43">
        <f t="shared" si="7"/>
        <v>7.674038456401959E-3</v>
      </c>
      <c r="AB10" s="43">
        <f t="shared" si="8"/>
        <v>1.1204763359603695E-2</v>
      </c>
      <c r="AC10" s="19">
        <f t="shared" si="9"/>
        <v>2.3987952366403964</v>
      </c>
      <c r="AD10" s="19">
        <f t="shared" si="10"/>
        <v>34.022448175025566</v>
      </c>
      <c r="AH10">
        <v>7</v>
      </c>
      <c r="AI10" s="43">
        <f t="shared" si="11"/>
        <v>5.2448703104692905E-4</v>
      </c>
      <c r="AJ10" s="43">
        <f t="shared" si="12"/>
        <v>6.3609578448573885E-3</v>
      </c>
      <c r="AK10" s="43">
        <f t="shared" si="13"/>
        <v>6.8854448759043171E-3</v>
      </c>
      <c r="AL10" s="19">
        <f t="shared" si="14"/>
        <v>2.403114555124096</v>
      </c>
      <c r="AM10" s="19">
        <f t="shared" si="15"/>
        <v>34.083709672888517</v>
      </c>
    </row>
    <row r="11" spans="1:39" x14ac:dyDescent="0.2">
      <c r="O11" s="42">
        <v>8</v>
      </c>
      <c r="P11" s="43">
        <f t="shared" si="1"/>
        <v>0.14756988983177868</v>
      </c>
      <c r="Q11" s="43">
        <f t="shared" si="2"/>
        <v>1.1497831506285269E-2</v>
      </c>
      <c r="R11" s="43">
        <f t="shared" si="3"/>
        <v>0.15906772133806396</v>
      </c>
      <c r="S11" s="19">
        <f t="shared" si="4"/>
        <v>2.2509322786619363</v>
      </c>
      <c r="T11" s="19">
        <f t="shared" si="5"/>
        <v>36.486042482141634</v>
      </c>
      <c r="U11" s="19">
        <f t="shared" si="0"/>
        <v>39.039999999999964</v>
      </c>
      <c r="Y11" s="42">
        <v>8</v>
      </c>
      <c r="Z11" s="43">
        <f t="shared" si="6"/>
        <v>4.6115590572430839E-3</v>
      </c>
      <c r="AA11" s="43">
        <f t="shared" si="7"/>
        <v>8.7703296644593819E-3</v>
      </c>
      <c r="AB11" s="43">
        <f t="shared" si="8"/>
        <v>1.3381888721702467E-2</v>
      </c>
      <c r="AC11" s="19">
        <f t="shared" si="9"/>
        <v>2.3966181112782978</v>
      </c>
      <c r="AD11" s="19">
        <f t="shared" si="10"/>
        <v>38.847508230478823</v>
      </c>
      <c r="AH11" s="42">
        <v>8</v>
      </c>
      <c r="AI11" s="43">
        <f t="shared" si="11"/>
        <v>6.8504428544905013E-4</v>
      </c>
      <c r="AJ11" s="43">
        <f t="shared" si="12"/>
        <v>7.2696661084084438E-3</v>
      </c>
      <c r="AK11" s="43">
        <f t="shared" si="13"/>
        <v>7.9547103938574937E-3</v>
      </c>
      <c r="AL11" s="19">
        <f t="shared" si="14"/>
        <v>2.4020452896061428</v>
      </c>
      <c r="AM11" s="19">
        <f t="shared" si="15"/>
        <v>38.935479006368013</v>
      </c>
    </row>
    <row r="12" spans="1:39" x14ac:dyDescent="0.2">
      <c r="O12">
        <v>9</v>
      </c>
      <c r="P12" s="43">
        <f t="shared" si="1"/>
        <v>0.18676814181834489</v>
      </c>
      <c r="Q12" s="43">
        <f t="shared" si="2"/>
        <v>1.2935060444570927E-2</v>
      </c>
      <c r="R12" s="43">
        <f t="shared" si="3"/>
        <v>0.19970320226291582</v>
      </c>
      <c r="S12" s="19">
        <f t="shared" si="4"/>
        <v>2.2102967977370844</v>
      </c>
      <c r="T12" s="19">
        <f t="shared" si="5"/>
        <v>40.30579088405792</v>
      </c>
      <c r="U12" s="19">
        <f t="shared" si="0"/>
        <v>43.919999999999959</v>
      </c>
      <c r="Y12">
        <v>9</v>
      </c>
      <c r="Z12" s="43">
        <f t="shared" si="6"/>
        <v>5.8365044318232778E-3</v>
      </c>
      <c r="AA12" s="43">
        <f t="shared" si="7"/>
        <v>9.8666208725168049E-3</v>
      </c>
      <c r="AB12" s="43">
        <f t="shared" si="8"/>
        <v>1.5703125304340083E-2</v>
      </c>
      <c r="AC12" s="19">
        <f t="shared" si="9"/>
        <v>2.3942968746956601</v>
      </c>
      <c r="AD12" s="19">
        <f t="shared" si="10"/>
        <v>43.661117929790294</v>
      </c>
      <c r="AH12">
        <v>9</v>
      </c>
      <c r="AI12" s="43">
        <f t="shared" si="11"/>
        <v>8.6700917377145411E-4</v>
      </c>
      <c r="AJ12" s="43">
        <f t="shared" si="12"/>
        <v>8.1783743719595001E-3</v>
      </c>
      <c r="AK12" s="43">
        <f t="shared" si="13"/>
        <v>9.0453835457309541E-3</v>
      </c>
      <c r="AL12" s="19">
        <f t="shared" si="14"/>
        <v>2.400954616454269</v>
      </c>
      <c r="AM12" s="19">
        <f t="shared" si="15"/>
        <v>43.782524949588399</v>
      </c>
    </row>
    <row r="13" spans="1:39" x14ac:dyDescent="0.2">
      <c r="O13" s="42">
        <v>10</v>
      </c>
      <c r="P13" s="43">
        <f t="shared" si="1"/>
        <v>0.23057795286215418</v>
      </c>
      <c r="Q13" s="43">
        <f t="shared" si="2"/>
        <v>1.4372289382856587E-2</v>
      </c>
      <c r="R13" s="43">
        <f t="shared" si="3"/>
        <v>0.24495024224501077</v>
      </c>
      <c r="S13" s="19">
        <f t="shared" si="4"/>
        <v>2.1650497577549892</v>
      </c>
      <c r="T13" s="19">
        <f t="shared" si="5"/>
        <v>43.867433388731783</v>
      </c>
      <c r="U13" s="19">
        <f t="shared" si="0"/>
        <v>48.799999999999955</v>
      </c>
      <c r="Y13" s="42">
        <v>10</v>
      </c>
      <c r="Z13" s="43">
        <f t="shared" si="6"/>
        <v>7.2055610269423183E-3</v>
      </c>
      <c r="AA13" s="43">
        <f t="shared" si="7"/>
        <v>1.0962912080574228E-2</v>
      </c>
      <c r="AB13" s="43">
        <f t="shared" si="8"/>
        <v>1.8168473107516545E-2</v>
      </c>
      <c r="AC13" s="19">
        <f t="shared" si="9"/>
        <v>2.3918315268924837</v>
      </c>
      <c r="AD13" s="19">
        <f t="shared" si="10"/>
        <v>48.462401294565751</v>
      </c>
      <c r="AH13" s="42">
        <v>10</v>
      </c>
      <c r="AI13" s="43">
        <f t="shared" si="11"/>
        <v>1.0703816960141409E-3</v>
      </c>
      <c r="AJ13" s="43">
        <f t="shared" si="12"/>
        <v>9.0870826355105554E-3</v>
      </c>
      <c r="AK13" s="43">
        <f t="shared" si="13"/>
        <v>1.0157464331524696E-2</v>
      </c>
      <c r="AL13" s="19">
        <f t="shared" si="14"/>
        <v>2.3998425356684754</v>
      </c>
      <c r="AM13" s="19">
        <f t="shared" si="15"/>
        <v>48.624717376493471</v>
      </c>
    </row>
    <row r="14" spans="1:39" x14ac:dyDescent="0.2">
      <c r="O14">
        <v>11</v>
      </c>
      <c r="P14" s="43">
        <f t="shared" si="1"/>
        <v>0.27899932296320656</v>
      </c>
      <c r="Q14" s="43">
        <f t="shared" si="2"/>
        <v>1.5809518321142246E-2</v>
      </c>
      <c r="R14" s="43">
        <f t="shared" si="3"/>
        <v>0.29480884128434881</v>
      </c>
      <c r="S14" s="19">
        <f t="shared" si="4"/>
        <v>2.1151911587156516</v>
      </c>
      <c r="T14" s="19">
        <f t="shared" si="5"/>
        <v>47.142938687547293</v>
      </c>
      <c r="U14" s="19">
        <f t="shared" si="0"/>
        <v>53.679999999999957</v>
      </c>
      <c r="Y14">
        <v>11</v>
      </c>
      <c r="Z14" s="43">
        <f t="shared" si="6"/>
        <v>8.7187288426002051E-3</v>
      </c>
      <c r="AA14" s="43">
        <f t="shared" si="7"/>
        <v>1.2059203288631651E-2</v>
      </c>
      <c r="AB14" s="43">
        <f t="shared" si="8"/>
        <v>2.0777932131231858E-2</v>
      </c>
      <c r="AC14" s="19">
        <f t="shared" si="9"/>
        <v>2.3892220678687681</v>
      </c>
      <c r="AD14" s="19">
        <f t="shared" si="10"/>
        <v>53.250482346410926</v>
      </c>
      <c r="AH14">
        <v>11</v>
      </c>
      <c r="AI14" s="43">
        <f t="shared" si="11"/>
        <v>1.2951618521771103E-3</v>
      </c>
      <c r="AJ14" s="43">
        <f t="shared" si="12"/>
        <v>9.9957908990616108E-3</v>
      </c>
      <c r="AK14" s="43">
        <f t="shared" si="13"/>
        <v>1.129095275123872E-2</v>
      </c>
      <c r="AL14" s="19">
        <f t="shared" si="14"/>
        <v>2.3987090472487616</v>
      </c>
      <c r="AM14" s="19">
        <f t="shared" si="15"/>
        <v>53.461926161027009</v>
      </c>
    </row>
    <row r="15" spans="1:39" x14ac:dyDescent="0.2">
      <c r="O15" s="42">
        <v>12</v>
      </c>
      <c r="P15" s="43">
        <f t="shared" si="1"/>
        <v>0.33203225212150206</v>
      </c>
      <c r="Q15" s="43">
        <f t="shared" si="2"/>
        <v>1.7246747259427903E-2</v>
      </c>
      <c r="R15" s="43">
        <f t="shared" si="3"/>
        <v>0.34927899938092999</v>
      </c>
      <c r="S15" s="19">
        <f t="shared" si="4"/>
        <v>2.0607210006190702</v>
      </c>
      <c r="T15" s="19">
        <f t="shared" si="5"/>
        <v>50.104275471888442</v>
      </c>
      <c r="U15" s="19">
        <f t="shared" si="0"/>
        <v>58.559999999999953</v>
      </c>
      <c r="Y15" s="42">
        <v>12</v>
      </c>
      <c r="Z15" s="43">
        <f t="shared" si="6"/>
        <v>1.0376007878796939E-2</v>
      </c>
      <c r="AA15" s="43">
        <f t="shared" si="7"/>
        <v>1.3155494496689072E-2</v>
      </c>
      <c r="AB15" s="43">
        <f t="shared" si="8"/>
        <v>2.3531502375486013E-2</v>
      </c>
      <c r="AC15" s="19">
        <f t="shared" si="9"/>
        <v>2.3864684976245143</v>
      </c>
      <c r="AD15" s="19">
        <f t="shared" si="10"/>
        <v>58.024485106931593</v>
      </c>
      <c r="AH15" s="42">
        <v>12</v>
      </c>
      <c r="AI15" s="43">
        <f t="shared" si="11"/>
        <v>1.5413496422603627E-3</v>
      </c>
      <c r="AJ15" s="43">
        <f t="shared" si="12"/>
        <v>1.0904499162612666E-2</v>
      </c>
      <c r="AK15" s="43">
        <f t="shared" si="13"/>
        <v>1.2445848804873028E-2</v>
      </c>
      <c r="AL15" s="19">
        <f t="shared" si="14"/>
        <v>2.397554151195127</v>
      </c>
      <c r="AM15" s="19">
        <f t="shared" si="15"/>
        <v>58.294021177132784</v>
      </c>
    </row>
    <row r="16" spans="1:39" x14ac:dyDescent="0.2">
      <c r="O16">
        <v>13</v>
      </c>
      <c r="P16" s="43">
        <f t="shared" si="1"/>
        <v>0.38967674033704058</v>
      </c>
      <c r="Q16" s="43">
        <f t="shared" si="2"/>
        <v>1.8683976197713562E-2</v>
      </c>
      <c r="R16" s="43">
        <f t="shared" si="3"/>
        <v>0.40836071653475414</v>
      </c>
      <c r="S16" s="19">
        <f t="shared" si="4"/>
        <v>2.0016392834652459</v>
      </c>
      <c r="T16" s="19">
        <f t="shared" si="5"/>
        <v>52.723412433139302</v>
      </c>
      <c r="U16" s="19">
        <f t="shared" si="0"/>
        <v>63.439999999999941</v>
      </c>
      <c r="Y16">
        <v>13</v>
      </c>
      <c r="Z16" s="43">
        <f t="shared" si="6"/>
        <v>1.2177398135532518E-2</v>
      </c>
      <c r="AA16" s="43">
        <f t="shared" si="7"/>
        <v>1.4251785704746495E-2</v>
      </c>
      <c r="AB16" s="43">
        <f t="shared" si="8"/>
        <v>2.6429183840279015E-2</v>
      </c>
      <c r="AC16" s="19">
        <f t="shared" si="9"/>
        <v>2.3835708161597213</v>
      </c>
      <c r="AD16" s="19">
        <f t="shared" si="10"/>
        <v>62.783533597733488</v>
      </c>
      <c r="AH16">
        <v>13</v>
      </c>
      <c r="AI16" s="43">
        <f t="shared" si="11"/>
        <v>1.808945066263898E-3</v>
      </c>
      <c r="AJ16" s="43">
        <f t="shared" si="12"/>
        <v>1.1813207426163722E-2</v>
      </c>
      <c r="AK16" s="43">
        <f t="shared" si="13"/>
        <v>1.362215249242762E-2</v>
      </c>
      <c r="AL16" s="19">
        <f t="shared" si="14"/>
        <v>2.3963778475075723</v>
      </c>
      <c r="AM16" s="19">
        <f t="shared" si="15"/>
        <v>63.120872298754541</v>
      </c>
    </row>
    <row r="17" spans="15:39" x14ac:dyDescent="0.2">
      <c r="O17" s="42">
        <v>14</v>
      </c>
      <c r="P17" s="43">
        <f t="shared" si="1"/>
        <v>0.4519327876098222</v>
      </c>
      <c r="Q17" s="43">
        <f t="shared" si="2"/>
        <v>2.0121205135999222E-2</v>
      </c>
      <c r="R17" s="43">
        <f t="shared" si="3"/>
        <v>0.47205399274582144</v>
      </c>
      <c r="S17" s="19">
        <f t="shared" si="4"/>
        <v>1.9379460072541788</v>
      </c>
      <c r="T17" s="19">
        <f t="shared" si="5"/>
        <v>54.972318262683906</v>
      </c>
      <c r="U17" s="19">
        <f t="shared" si="0"/>
        <v>68.319999999999936</v>
      </c>
      <c r="Y17" s="42">
        <v>14</v>
      </c>
      <c r="Z17" s="43">
        <f t="shared" si="6"/>
        <v>1.4122899612806944E-2</v>
      </c>
      <c r="AA17" s="43">
        <f t="shared" si="7"/>
        <v>1.5348076912803918E-2</v>
      </c>
      <c r="AB17" s="43">
        <f t="shared" si="8"/>
        <v>2.9470976525610863E-2</v>
      </c>
      <c r="AC17" s="19">
        <f t="shared" si="9"/>
        <v>2.3805290234743892</v>
      </c>
      <c r="AD17" s="19">
        <f t="shared" si="10"/>
        <v>67.526751840422349</v>
      </c>
      <c r="AH17" s="42">
        <v>14</v>
      </c>
      <c r="AI17" s="43">
        <f t="shared" si="11"/>
        <v>2.0979481241877162E-3</v>
      </c>
      <c r="AJ17" s="43">
        <f t="shared" si="12"/>
        <v>1.2721915689714777E-2</v>
      </c>
      <c r="AK17" s="43">
        <f t="shared" si="13"/>
        <v>1.4819863813902493E-2</v>
      </c>
      <c r="AL17" s="19">
        <f t="shared" si="14"/>
        <v>2.3951801361860978</v>
      </c>
      <c r="AM17" s="19">
        <f t="shared" si="15"/>
        <v>67.942349399836118</v>
      </c>
    </row>
    <row r="18" spans="15:39" x14ac:dyDescent="0.2">
      <c r="O18">
        <v>15</v>
      </c>
      <c r="P18" s="43">
        <f t="shared" si="1"/>
        <v>0.51880039393984689</v>
      </c>
      <c r="Q18" s="43">
        <f t="shared" si="2"/>
        <v>2.1558434074284878E-2</v>
      </c>
      <c r="R18" s="43">
        <f t="shared" si="3"/>
        <v>0.54035882801413182</v>
      </c>
      <c r="S18" s="19">
        <f t="shared" si="4"/>
        <v>1.8696411719858683</v>
      </c>
      <c r="T18" s="19">
        <f t="shared" si="5"/>
        <v>56.822961651906283</v>
      </c>
      <c r="U18" s="19">
        <f t="shared" si="0"/>
        <v>73.199999999999932</v>
      </c>
      <c r="Y18">
        <v>15</v>
      </c>
      <c r="Z18" s="43">
        <f t="shared" si="6"/>
        <v>1.6212512310620215E-2</v>
      </c>
      <c r="AA18" s="43">
        <f t="shared" si="7"/>
        <v>1.6444368120861343E-2</v>
      </c>
      <c r="AB18" s="43">
        <f t="shared" si="8"/>
        <v>3.2656880431481558E-2</v>
      </c>
      <c r="AC18" s="19">
        <f t="shared" si="9"/>
        <v>2.3773431195685184</v>
      </c>
      <c r="AD18" s="19">
        <f t="shared" si="10"/>
        <v>72.253263856603951</v>
      </c>
      <c r="AH18">
        <v>15</v>
      </c>
      <c r="AI18" s="43">
        <f t="shared" si="11"/>
        <v>2.408358816031817E-3</v>
      </c>
      <c r="AJ18" s="43">
        <f t="shared" si="12"/>
        <v>1.3630623953265832E-2</v>
      </c>
      <c r="AK18" s="43">
        <f t="shared" si="13"/>
        <v>1.603898276929765E-2</v>
      </c>
      <c r="AL18" s="19">
        <f t="shared" si="14"/>
        <v>2.3939610172307026</v>
      </c>
      <c r="AM18" s="19">
        <f t="shared" si="15"/>
        <v>72.758322354321237</v>
      </c>
    </row>
    <row r="19" spans="15:39" x14ac:dyDescent="0.2">
      <c r="O19" s="42">
        <v>16</v>
      </c>
      <c r="P19" s="43">
        <f t="shared" si="1"/>
        <v>0.59027955932711473</v>
      </c>
      <c r="Q19" s="43">
        <f t="shared" si="2"/>
        <v>2.2995663012570538E-2</v>
      </c>
      <c r="R19" s="43">
        <f t="shared" si="3"/>
        <v>0.61327522233968523</v>
      </c>
      <c r="S19" s="19">
        <f t="shared" si="4"/>
        <v>1.796724777660315</v>
      </c>
      <c r="T19" s="19">
        <f t="shared" si="5"/>
        <v>58.247311292190489</v>
      </c>
      <c r="U19" s="19">
        <f t="shared" si="0"/>
        <v>78.079999999999927</v>
      </c>
      <c r="Y19" s="42">
        <v>16</v>
      </c>
      <c r="Z19" s="43">
        <f t="shared" si="6"/>
        <v>1.8446236228972335E-2</v>
      </c>
      <c r="AA19" s="43">
        <f t="shared" si="7"/>
        <v>1.7540659328918764E-2</v>
      </c>
      <c r="AB19" s="43">
        <f t="shared" si="8"/>
        <v>3.5986895557891099E-2</v>
      </c>
      <c r="AC19" s="19">
        <f t="shared" si="9"/>
        <v>2.3740131044421089</v>
      </c>
      <c r="AD19" s="19">
        <f t="shared" si="10"/>
        <v>76.962193667884037</v>
      </c>
      <c r="AH19" s="42">
        <v>16</v>
      </c>
      <c r="AI19" s="43">
        <f t="shared" si="11"/>
        <v>2.7401771417962005E-3</v>
      </c>
      <c r="AJ19" s="43">
        <f t="shared" si="12"/>
        <v>1.4539332216816888E-2</v>
      </c>
      <c r="AK19" s="43">
        <f t="shared" si="13"/>
        <v>1.7279509358613089E-2</v>
      </c>
      <c r="AL19" s="19">
        <f t="shared" si="14"/>
        <v>2.3927204906413873</v>
      </c>
      <c r="AM19" s="19">
        <f t="shared" si="15"/>
        <v>77.568661036153728</v>
      </c>
    </row>
    <row r="20" spans="15:39" x14ac:dyDescent="0.2">
      <c r="O20">
        <v>17</v>
      </c>
      <c r="P20" s="43">
        <f t="shared" si="1"/>
        <v>0.66637028377162566</v>
      </c>
      <c r="Q20" s="43">
        <f t="shared" si="2"/>
        <v>2.4432891950856198E-2</v>
      </c>
      <c r="R20" s="43">
        <f t="shared" si="3"/>
        <v>0.69080317572248184</v>
      </c>
      <c r="S20" s="19">
        <f t="shared" si="4"/>
        <v>1.7191968242775184</v>
      </c>
      <c r="T20" s="19">
        <f t="shared" si="5"/>
        <v>59.217335874920543</v>
      </c>
      <c r="U20" s="19">
        <f t="shared" si="0"/>
        <v>82.959999999999937</v>
      </c>
      <c r="V20" s="4" t="s">
        <v>292</v>
      </c>
      <c r="W20" s="4" t="s">
        <v>293</v>
      </c>
      <c r="Y20">
        <v>17</v>
      </c>
      <c r="Z20" s="43">
        <f t="shared" si="6"/>
        <v>2.0824071367863302E-2</v>
      </c>
      <c r="AA20" s="43">
        <f t="shared" si="7"/>
        <v>1.8636950536976185E-2</v>
      </c>
      <c r="AB20" s="43">
        <f t="shared" si="8"/>
        <v>3.9461021904839487E-2</v>
      </c>
      <c r="AC20" s="19">
        <f t="shared" si="9"/>
        <v>2.3705389780951607</v>
      </c>
      <c r="AD20" s="19">
        <f t="shared" si="10"/>
        <v>81.65266529586836</v>
      </c>
      <c r="AH20">
        <v>17</v>
      </c>
      <c r="AI20" s="43">
        <f t="shared" si="11"/>
        <v>3.0934031014808669E-3</v>
      </c>
      <c r="AJ20" s="43">
        <f t="shared" si="12"/>
        <v>1.5448040480367943E-2</v>
      </c>
      <c r="AK20" s="43">
        <f t="shared" si="13"/>
        <v>1.854144358184881E-2</v>
      </c>
      <c r="AL20" s="19">
        <f t="shared" si="14"/>
        <v>2.3914585564181512</v>
      </c>
      <c r="AM20" s="19">
        <f t="shared" si="15"/>
        <v>82.373235319277299</v>
      </c>
    </row>
    <row r="21" spans="15:39" x14ac:dyDescent="0.2">
      <c r="O21" s="57">
        <v>18</v>
      </c>
      <c r="P21" s="50">
        <f t="shared" si="1"/>
        <v>0.74707256727337956</v>
      </c>
      <c r="Q21" s="50">
        <f t="shared" si="2"/>
        <v>2.5870120889141854E-2</v>
      </c>
      <c r="R21" s="50">
        <f t="shared" si="3"/>
        <v>0.77294268816252143</v>
      </c>
      <c r="S21" s="47">
        <f>$K$3-R21</f>
        <v>1.6370573118374787</v>
      </c>
      <c r="T21" s="47">
        <f t="shared" si="5"/>
        <v>59.705004091480468</v>
      </c>
      <c r="U21" s="47">
        <f t="shared" si="0"/>
        <v>87.839999999999918</v>
      </c>
      <c r="V21">
        <v>0.43</v>
      </c>
      <c r="W21" s="19">
        <f>T21-V21</f>
        <v>59.275004091480469</v>
      </c>
      <c r="Y21" s="42">
        <v>18</v>
      </c>
      <c r="Z21" s="43">
        <f t="shared" si="6"/>
        <v>2.3346017727293111E-2</v>
      </c>
      <c r="AA21" s="43">
        <f t="shared" si="7"/>
        <v>1.973324174503361E-2</v>
      </c>
      <c r="AB21" s="43">
        <f t="shared" si="8"/>
        <v>4.3079259472326721E-2</v>
      </c>
      <c r="AC21" s="19">
        <f t="shared" si="9"/>
        <v>2.3669207405276733</v>
      </c>
      <c r="AD21" s="19">
        <f t="shared" si="10"/>
        <v>86.323802762162657</v>
      </c>
      <c r="AH21" s="42">
        <v>18</v>
      </c>
      <c r="AI21" s="43">
        <f t="shared" si="11"/>
        <v>3.4680366950858165E-3</v>
      </c>
      <c r="AJ21" s="43">
        <f t="shared" si="12"/>
        <v>1.6356748743919E-2</v>
      </c>
      <c r="AK21" s="43">
        <f t="shared" si="13"/>
        <v>1.9824785439004816E-2</v>
      </c>
      <c r="AL21" s="19">
        <f t="shared" si="14"/>
        <v>2.3901752145609954</v>
      </c>
      <c r="AM21" s="19">
        <f t="shared" si="15"/>
        <v>87.171915077635802</v>
      </c>
    </row>
    <row r="22" spans="15:39" x14ac:dyDescent="0.2">
      <c r="O22">
        <v>19</v>
      </c>
      <c r="P22" s="43">
        <f t="shared" si="1"/>
        <v>0.83238640983237666</v>
      </c>
      <c r="Q22" s="43">
        <f t="shared" si="2"/>
        <v>2.7307349827427514E-2</v>
      </c>
      <c r="R22" s="43">
        <f t="shared" si="3"/>
        <v>0.85969375965980421</v>
      </c>
      <c r="S22" s="19">
        <f t="shared" si="4"/>
        <v>1.5503062403401959</v>
      </c>
      <c r="T22" s="19">
        <f t="shared" si="5"/>
        <v>59.682284633254341</v>
      </c>
      <c r="U22" s="19">
        <f t="shared" si="0"/>
        <v>92.719999999999914</v>
      </c>
      <c r="Y22">
        <v>19</v>
      </c>
      <c r="Z22" s="43">
        <f t="shared" si="6"/>
        <v>2.6012075307261771E-2</v>
      </c>
      <c r="AA22" s="43">
        <f t="shared" si="7"/>
        <v>2.0829532953091031E-2</v>
      </c>
      <c r="AB22" s="43">
        <f t="shared" si="8"/>
        <v>4.6841608260352802E-2</v>
      </c>
      <c r="AC22" s="19">
        <f t="shared" si="9"/>
        <v>2.3631583917396473</v>
      </c>
      <c r="AD22" s="19">
        <f t="shared" si="10"/>
        <v>90.974730088372709</v>
      </c>
      <c r="AH22">
        <v>19</v>
      </c>
      <c r="AI22" s="43">
        <f t="shared" si="11"/>
        <v>3.8640779226110484E-3</v>
      </c>
      <c r="AJ22" s="43">
        <f t="shared" si="12"/>
        <v>1.7265457007470054E-2</v>
      </c>
      <c r="AK22" s="43">
        <f t="shared" si="13"/>
        <v>2.1129534930081101E-2</v>
      </c>
      <c r="AL22" s="19">
        <f t="shared" si="14"/>
        <v>2.3888704650699188</v>
      </c>
      <c r="AM22" s="19">
        <f t="shared" si="15"/>
        <v>91.96457018517296</v>
      </c>
    </row>
    <row r="23" spans="15:39" x14ac:dyDescent="0.2">
      <c r="O23" s="42">
        <v>20</v>
      </c>
      <c r="P23" s="43">
        <f t="shared" si="1"/>
        <v>0.92231181144861674</v>
      </c>
      <c r="Q23" s="43">
        <f t="shared" si="2"/>
        <v>2.8744578765713173E-2</v>
      </c>
      <c r="R23" s="43">
        <f t="shared" si="3"/>
        <v>0.95105639021432986</v>
      </c>
      <c r="S23" s="19">
        <f t="shared" si="4"/>
        <v>1.4589436097856703</v>
      </c>
      <c r="T23" s="19">
        <f t="shared" si="5"/>
        <v>59.121146191626181</v>
      </c>
      <c r="U23" s="19">
        <f t="shared" si="0"/>
        <v>97.599999999999909</v>
      </c>
      <c r="Y23" s="42">
        <v>20</v>
      </c>
      <c r="Z23" s="43">
        <f t="shared" si="6"/>
        <v>2.8822244107769273E-2</v>
      </c>
      <c r="AA23" s="43">
        <f t="shared" si="7"/>
        <v>2.1925824161148456E-2</v>
      </c>
      <c r="AB23" s="43">
        <f t="shared" si="8"/>
        <v>5.0748068268917729E-2</v>
      </c>
      <c r="AC23" s="19">
        <f t="shared" si="9"/>
        <v>2.3592519317310825</v>
      </c>
      <c r="AD23" s="19">
        <f t="shared" si="10"/>
        <v>95.60457129610424</v>
      </c>
      <c r="AH23" s="42">
        <v>20</v>
      </c>
      <c r="AI23" s="43">
        <f t="shared" si="11"/>
        <v>4.2815267840565635E-3</v>
      </c>
      <c r="AJ23" s="43">
        <f t="shared" si="12"/>
        <v>1.8174165271021111E-2</v>
      </c>
      <c r="AK23" s="43">
        <f t="shared" si="13"/>
        <v>2.2455692055077674E-2</v>
      </c>
      <c r="AL23" s="19">
        <f t="shared" si="14"/>
        <v>2.3875443079449226</v>
      </c>
      <c r="AM23" s="19">
        <f t="shared" si="15"/>
        <v>96.751070515832581</v>
      </c>
    </row>
    <row r="24" spans="15:39" x14ac:dyDescent="0.2">
      <c r="O24">
        <v>21</v>
      </c>
      <c r="P24" s="43">
        <f t="shared" si="1"/>
        <v>1.0168487721221</v>
      </c>
      <c r="Q24" s="43">
        <f t="shared" si="2"/>
        <v>3.0181807703998829E-2</v>
      </c>
      <c r="R24" s="43">
        <f t="shared" si="3"/>
        <v>1.0470305798260988</v>
      </c>
      <c r="S24" s="19">
        <f t="shared" si="4"/>
        <v>1.3629694201739013</v>
      </c>
      <c r="T24" s="19">
        <f t="shared" si="5"/>
        <v>57.993557457980017</v>
      </c>
      <c r="U24" s="19">
        <f t="shared" si="0"/>
        <v>102.4799999999999</v>
      </c>
      <c r="Y24">
        <v>21</v>
      </c>
      <c r="Z24" s="43">
        <f t="shared" si="6"/>
        <v>3.1776524128815625E-2</v>
      </c>
      <c r="AA24" s="43">
        <f t="shared" si="7"/>
        <v>2.3022115369205877E-2</v>
      </c>
      <c r="AB24" s="43">
        <f t="shared" si="8"/>
        <v>5.4798639498021502E-2</v>
      </c>
      <c r="AC24" s="19">
        <f t="shared" si="9"/>
        <v>2.3552013605019786</v>
      </c>
      <c r="AD24" s="19">
        <f t="shared" si="10"/>
        <v>100.212450406963</v>
      </c>
      <c r="AH24">
        <v>21</v>
      </c>
      <c r="AI24" s="43">
        <f t="shared" si="11"/>
        <v>4.720383279422361E-3</v>
      </c>
      <c r="AJ24" s="43">
        <f t="shared" si="12"/>
        <v>1.9082873534572165E-2</v>
      </c>
      <c r="AK24" s="43">
        <f t="shared" si="13"/>
        <v>2.3803256813994526E-2</v>
      </c>
      <c r="AL24" s="19">
        <f t="shared" si="14"/>
        <v>2.3861967431860056</v>
      </c>
      <c r="AM24" s="19">
        <f t="shared" si="15"/>
        <v>101.53128594355843</v>
      </c>
    </row>
    <row r="25" spans="15:39" x14ac:dyDescent="0.2">
      <c r="O25" s="42">
        <v>22</v>
      </c>
      <c r="P25" s="43">
        <f t="shared" si="1"/>
        <v>1.1159972918528263</v>
      </c>
      <c r="Q25" s="43">
        <f t="shared" si="2"/>
        <v>3.1619036642284493E-2</v>
      </c>
      <c r="R25" s="43">
        <f t="shared" si="3"/>
        <v>1.1476163284951109</v>
      </c>
      <c r="S25" s="19">
        <f t="shared" si="4"/>
        <v>1.2623836715048893</v>
      </c>
      <c r="T25" s="19">
        <f t="shared" si="5"/>
        <v>56.271487123699899</v>
      </c>
      <c r="U25" s="19">
        <f t="shared" si="0"/>
        <v>107.35999999999991</v>
      </c>
      <c r="Y25" s="42">
        <v>22</v>
      </c>
      <c r="Z25" s="43">
        <f t="shared" si="6"/>
        <v>3.4874915370400821E-2</v>
      </c>
      <c r="AA25" s="43">
        <f t="shared" si="7"/>
        <v>2.4118406577263302E-2</v>
      </c>
      <c r="AB25" s="43">
        <f t="shared" si="8"/>
        <v>5.8993321947664122E-2</v>
      </c>
      <c r="AC25" s="19">
        <f t="shared" si="9"/>
        <v>2.351006678052336</v>
      </c>
      <c r="AD25" s="19">
        <f t="shared" si="10"/>
        <v>104.79749144255477</v>
      </c>
      <c r="AH25" s="42">
        <v>22</v>
      </c>
      <c r="AI25" s="43">
        <f t="shared" si="11"/>
        <v>5.1806474087084413E-3</v>
      </c>
      <c r="AJ25" s="43">
        <f t="shared" si="12"/>
        <v>1.9991581798123222E-2</v>
      </c>
      <c r="AK25" s="43">
        <f t="shared" si="13"/>
        <v>2.5172229206831664E-2</v>
      </c>
      <c r="AL25" s="19">
        <f t="shared" si="14"/>
        <v>2.3848277707931684</v>
      </c>
      <c r="AM25" s="19">
        <f t="shared" si="15"/>
        <v>106.30508634229429</v>
      </c>
    </row>
    <row r="26" spans="15:39" x14ac:dyDescent="0.2">
      <c r="O26">
        <v>23</v>
      </c>
      <c r="P26" s="43">
        <f t="shared" si="1"/>
        <v>1.2197573706407956</v>
      </c>
      <c r="Q26" s="43">
        <f t="shared" si="2"/>
        <v>3.3056265580570149E-2</v>
      </c>
      <c r="R26" s="43">
        <f t="shared" si="3"/>
        <v>1.2528136362213658</v>
      </c>
      <c r="S26" s="19">
        <f t="shared" si="4"/>
        <v>1.1571863637786344</v>
      </c>
      <c r="T26" s="19">
        <f t="shared" si="5"/>
        <v>53.926903880169874</v>
      </c>
      <c r="U26" s="19">
        <f t="shared" si="0"/>
        <v>112.23999999999991</v>
      </c>
      <c r="Y26">
        <v>23</v>
      </c>
      <c r="Z26" s="43">
        <f t="shared" si="6"/>
        <v>3.8117417832524862E-2</v>
      </c>
      <c r="AA26" s="43">
        <f t="shared" si="7"/>
        <v>2.5214697785320723E-2</v>
      </c>
      <c r="AB26" s="43">
        <f t="shared" si="8"/>
        <v>6.3332115617845589E-2</v>
      </c>
      <c r="AC26" s="19">
        <f t="shared" si="9"/>
        <v>2.3466678843821547</v>
      </c>
      <c r="AD26" s="19">
        <f t="shared" si="10"/>
        <v>109.35881842448529</v>
      </c>
      <c r="AH26">
        <v>23</v>
      </c>
      <c r="AI26" s="43">
        <f t="shared" si="11"/>
        <v>5.6623191719148052E-3</v>
      </c>
      <c r="AJ26" s="43">
        <f t="shared" si="12"/>
        <v>2.0900290061674275E-2</v>
      </c>
      <c r="AK26" s="43">
        <f t="shared" si="13"/>
        <v>2.656260923358908E-2</v>
      </c>
      <c r="AL26" s="19">
        <f t="shared" si="14"/>
        <v>2.383437390766411</v>
      </c>
      <c r="AM26" s="19">
        <f t="shared" si="15"/>
        <v>111.07234158598393</v>
      </c>
    </row>
    <row r="27" spans="15:39" x14ac:dyDescent="0.2">
      <c r="O27" s="42">
        <v>24</v>
      </c>
      <c r="P27" s="43">
        <f t="shared" si="1"/>
        <v>1.3281290084860082</v>
      </c>
      <c r="Q27" s="43">
        <f t="shared" si="2"/>
        <v>3.4493494518855805E-2</v>
      </c>
      <c r="R27" s="43">
        <f t="shared" si="3"/>
        <v>1.362622503004864</v>
      </c>
      <c r="S27" s="19">
        <f t="shared" si="4"/>
        <v>1.0473774969951362</v>
      </c>
      <c r="T27" s="19">
        <f t="shared" si="5"/>
        <v>50.931776418773957</v>
      </c>
      <c r="U27" s="19">
        <f t="shared" si="0"/>
        <v>117.11999999999991</v>
      </c>
      <c r="Y27" s="42">
        <v>24</v>
      </c>
      <c r="Z27" s="43">
        <f t="shared" si="6"/>
        <v>4.1504031515187757E-2</v>
      </c>
      <c r="AA27" s="43">
        <f t="shared" si="7"/>
        <v>2.6310988993378144E-2</v>
      </c>
      <c r="AB27" s="43">
        <f t="shared" si="8"/>
        <v>6.7815020508565901E-2</v>
      </c>
      <c r="AC27" s="19">
        <f t="shared" si="9"/>
        <v>2.3421849794914342</v>
      </c>
      <c r="AD27" s="19">
        <f t="shared" si="10"/>
        <v>113.89555537436027</v>
      </c>
      <c r="AH27" s="42">
        <v>24</v>
      </c>
      <c r="AI27" s="43">
        <f t="shared" si="11"/>
        <v>6.165398569041451E-3</v>
      </c>
      <c r="AJ27" s="43">
        <f t="shared" si="12"/>
        <v>2.1808998325225332E-2</v>
      </c>
      <c r="AK27" s="43">
        <f t="shared" si="13"/>
        <v>2.7974396894266784E-2</v>
      </c>
      <c r="AL27" s="19">
        <f t="shared" si="14"/>
        <v>2.3820256031057334</v>
      </c>
      <c r="AM27" s="19">
        <f t="shared" si="15"/>
        <v>115.83292154857114</v>
      </c>
    </row>
    <row r="28" spans="15:39" x14ac:dyDescent="0.2">
      <c r="O28">
        <v>25</v>
      </c>
      <c r="P28" s="43">
        <f t="shared" si="1"/>
        <v>1.4411122053884637</v>
      </c>
      <c r="Q28" s="43">
        <f t="shared" si="2"/>
        <v>3.5930723457141468E-2</v>
      </c>
      <c r="R28" s="43">
        <f t="shared" si="3"/>
        <v>1.4770429288456053</v>
      </c>
      <c r="S28" s="19">
        <f t="shared" si="4"/>
        <v>0.93295707115439486</v>
      </c>
      <c r="T28" s="19">
        <f t="shared" si="5"/>
        <v>47.258073430896182</v>
      </c>
      <c r="U28" s="19">
        <f t="shared" si="0"/>
        <v>121.99999999999989</v>
      </c>
      <c r="Y28">
        <v>25</v>
      </c>
      <c r="Z28" s="43">
        <f t="shared" si="6"/>
        <v>4.5034756418389492E-2</v>
      </c>
      <c r="AA28" s="43">
        <f t="shared" si="7"/>
        <v>2.7407280201435569E-2</v>
      </c>
      <c r="AB28" s="43">
        <f t="shared" si="8"/>
        <v>7.2442036619825068E-2</v>
      </c>
      <c r="AC28" s="19">
        <f t="shared" si="9"/>
        <v>2.3375579633801751</v>
      </c>
      <c r="AD28" s="19">
        <f t="shared" si="10"/>
        <v>118.4068263137855</v>
      </c>
      <c r="AH28">
        <v>25</v>
      </c>
      <c r="AI28" s="43">
        <f t="shared" si="11"/>
        <v>6.6898856000883805E-3</v>
      </c>
      <c r="AJ28" s="43">
        <f t="shared" si="12"/>
        <v>2.2717706588776386E-2</v>
      </c>
      <c r="AK28" s="43">
        <f t="shared" si="13"/>
        <v>2.9407592188864767E-2</v>
      </c>
      <c r="AL28" s="19">
        <f t="shared" si="14"/>
        <v>2.3805924078111356</v>
      </c>
      <c r="AM28" s="19">
        <f t="shared" si="15"/>
        <v>120.58669610399966</v>
      </c>
    </row>
    <row r="29" spans="15:39" x14ac:dyDescent="0.2">
      <c r="O29" s="42">
        <v>26</v>
      </c>
      <c r="P29" s="43">
        <f t="shared" si="1"/>
        <v>1.5587069613481623</v>
      </c>
      <c r="Q29" s="43">
        <f t="shared" si="2"/>
        <v>3.7367952395427124E-2</v>
      </c>
      <c r="R29" s="43">
        <f t="shared" si="3"/>
        <v>1.5960749137435895</v>
      </c>
      <c r="S29" s="19">
        <f t="shared" si="4"/>
        <v>0.81392508625641069</v>
      </c>
      <c r="T29" s="19">
        <f t="shared" si="5"/>
        <v>42.877763607920627</v>
      </c>
      <c r="U29" s="19">
        <f t="shared" si="0"/>
        <v>126.87999999999988</v>
      </c>
      <c r="Y29" s="42">
        <v>26</v>
      </c>
      <c r="Z29" s="43">
        <f t="shared" si="6"/>
        <v>4.8709592542130073E-2</v>
      </c>
      <c r="AA29" s="43">
        <f t="shared" si="7"/>
        <v>2.850357140949299E-2</v>
      </c>
      <c r="AB29" s="43">
        <f t="shared" si="8"/>
        <v>7.7213163951623059E-2</v>
      </c>
      <c r="AC29" s="19">
        <f t="shared" si="9"/>
        <v>2.3327868360483772</v>
      </c>
      <c r="AD29" s="19">
        <f t="shared" si="10"/>
        <v>122.89175526436674</v>
      </c>
      <c r="AH29" s="42">
        <v>26</v>
      </c>
      <c r="AI29" s="43">
        <f t="shared" si="11"/>
        <v>7.2357802650555919E-3</v>
      </c>
      <c r="AJ29" s="43">
        <f t="shared" si="12"/>
        <v>2.3626414852327443E-2</v>
      </c>
      <c r="AK29" s="43">
        <f t="shared" si="13"/>
        <v>3.0862195117383036E-2</v>
      </c>
      <c r="AL29" s="19">
        <f t="shared" si="14"/>
        <v>2.3791378048826171</v>
      </c>
      <c r="AM29" s="19">
        <f t="shared" si="15"/>
        <v>125.33353512621332</v>
      </c>
    </row>
    <row r="30" spans="15:39" x14ac:dyDescent="0.2">
      <c r="O30">
        <v>27</v>
      </c>
      <c r="P30" s="43">
        <f t="shared" si="1"/>
        <v>1.680913276365104</v>
      </c>
      <c r="Q30" s="43">
        <f t="shared" si="2"/>
        <v>3.8805181333712781E-2</v>
      </c>
      <c r="R30" s="43">
        <f t="shared" si="3"/>
        <v>1.7197184576988167</v>
      </c>
      <c r="S30" s="19">
        <f t="shared" si="4"/>
        <v>0.69028154230118344</v>
      </c>
      <c r="T30" s="19">
        <f t="shared" si="5"/>
        <v>37.762815641231299</v>
      </c>
      <c r="U30" s="19">
        <f t="shared" si="0"/>
        <v>131.75999999999988</v>
      </c>
      <c r="Y30">
        <v>27</v>
      </c>
      <c r="Z30" s="43">
        <f t="shared" si="6"/>
        <v>5.25285398864095E-2</v>
      </c>
      <c r="AA30" s="43">
        <f t="shared" si="7"/>
        <v>2.9599862617550415E-2</v>
      </c>
      <c r="AB30" s="43">
        <f t="shared" si="8"/>
        <v>8.2128402503959919E-2</v>
      </c>
      <c r="AC30" s="19">
        <f t="shared" si="9"/>
        <v>2.3278715974960402</v>
      </c>
      <c r="AD30" s="19">
        <f t="shared" si="10"/>
        <v>127.34946624770971</v>
      </c>
      <c r="AH30">
        <v>27</v>
      </c>
      <c r="AI30" s="43">
        <f t="shared" si="11"/>
        <v>7.8030825639430869E-3</v>
      </c>
      <c r="AJ30" s="43">
        <f t="shared" si="12"/>
        <v>2.4535123115878497E-2</v>
      </c>
      <c r="AK30" s="43">
        <f t="shared" si="13"/>
        <v>3.2338205679821583E-2</v>
      </c>
      <c r="AL30" s="19">
        <f t="shared" si="14"/>
        <v>2.3776617943201788</v>
      </c>
      <c r="AM30" s="19">
        <f t="shared" si="15"/>
        <v>130.07330848915589</v>
      </c>
    </row>
    <row r="31" spans="15:39" x14ac:dyDescent="0.2">
      <c r="O31" s="42">
        <v>28</v>
      </c>
      <c r="P31" s="43">
        <f t="shared" si="1"/>
        <v>1.8077311504392888</v>
      </c>
      <c r="Q31" s="43">
        <f t="shared" si="2"/>
        <v>4.0242410271998444E-2</v>
      </c>
      <c r="R31" s="43">
        <f t="shared" si="3"/>
        <v>1.8479735607112873</v>
      </c>
      <c r="S31" s="19">
        <f t="shared" si="4"/>
        <v>0.56202643928871288</v>
      </c>
      <c r="T31" s="19">
        <f t="shared" si="5"/>
        <v>31.885198222212239</v>
      </c>
      <c r="U31" s="19">
        <f t="shared" si="0"/>
        <v>136.63999999999987</v>
      </c>
      <c r="Y31" s="42">
        <v>28</v>
      </c>
      <c r="Z31" s="43">
        <f t="shared" si="6"/>
        <v>5.6491598451227774E-2</v>
      </c>
      <c r="AA31" s="43">
        <f t="shared" si="7"/>
        <v>3.0696153825607836E-2</v>
      </c>
      <c r="AB31" s="43">
        <f t="shared" si="8"/>
        <v>8.7187752276835617E-2</v>
      </c>
      <c r="AC31" s="19">
        <f t="shared" si="9"/>
        <v>2.3228122477231645</v>
      </c>
      <c r="AD31" s="19">
        <f t="shared" si="10"/>
        <v>131.7790832854202</v>
      </c>
      <c r="AH31" s="42">
        <v>28</v>
      </c>
      <c r="AI31" s="43">
        <f t="shared" si="11"/>
        <v>8.3917924967508647E-3</v>
      </c>
      <c r="AJ31" s="43">
        <f t="shared" si="12"/>
        <v>2.5443831379429554E-2</v>
      </c>
      <c r="AK31" s="43">
        <f t="shared" si="13"/>
        <v>3.3835623876180415E-2</v>
      </c>
      <c r="AL31" s="19">
        <f t="shared" si="14"/>
        <v>2.3761643761238198</v>
      </c>
      <c r="AM31" s="19">
        <f t="shared" si="15"/>
        <v>134.80588606677111</v>
      </c>
    </row>
    <row r="32" spans="15:39" x14ac:dyDescent="0.2">
      <c r="O32">
        <v>29</v>
      </c>
      <c r="P32" s="43">
        <f t="shared" si="1"/>
        <v>1.9391605835707169</v>
      </c>
      <c r="Q32" s="43">
        <f t="shared" si="2"/>
        <v>4.16796392102841E-2</v>
      </c>
      <c r="R32" s="43">
        <f t="shared" si="3"/>
        <v>1.9808402227810009</v>
      </c>
      <c r="S32" s="19">
        <f t="shared" si="4"/>
        <v>0.42915977721899923</v>
      </c>
      <c r="T32" s="19">
        <f t="shared" si="5"/>
        <v>25.216880042247475</v>
      </c>
      <c r="U32" s="19">
        <f t="shared" si="0"/>
        <v>141.5199999999999</v>
      </c>
      <c r="Y32">
        <v>29</v>
      </c>
      <c r="Z32" s="43">
        <f t="shared" si="6"/>
        <v>6.0598768236584902E-2</v>
      </c>
      <c r="AA32" s="43">
        <f t="shared" si="7"/>
        <v>3.1792445033665261E-2</v>
      </c>
      <c r="AB32" s="43">
        <f t="shared" si="8"/>
        <v>9.2391213270250155E-2</v>
      </c>
      <c r="AC32" s="19">
        <f t="shared" si="9"/>
        <v>2.3176087867297501</v>
      </c>
      <c r="AD32" s="19">
        <f t="shared" si="10"/>
        <v>136.17973039910393</v>
      </c>
      <c r="AH32">
        <v>29</v>
      </c>
      <c r="AI32" s="43">
        <f t="shared" si="11"/>
        <v>9.0019100634789236E-3</v>
      </c>
      <c r="AJ32" s="43">
        <f t="shared" si="12"/>
        <v>2.6352539642980607E-2</v>
      </c>
      <c r="AK32" s="43">
        <f t="shared" si="13"/>
        <v>3.5354449706459533E-2</v>
      </c>
      <c r="AL32" s="19">
        <f t="shared" si="14"/>
        <v>2.3746455502935406</v>
      </c>
      <c r="AM32" s="19">
        <f t="shared" si="15"/>
        <v>139.53113773300277</v>
      </c>
    </row>
    <row r="33" spans="15:39" x14ac:dyDescent="0.2">
      <c r="O33" s="42">
        <v>30</v>
      </c>
      <c r="P33" s="43">
        <f t="shared" si="1"/>
        <v>2.0752015757593876</v>
      </c>
      <c r="Q33" s="43">
        <f t="shared" si="2"/>
        <v>4.3116868148569756E-2</v>
      </c>
      <c r="R33" s="43">
        <f t="shared" si="3"/>
        <v>2.1183184439079574</v>
      </c>
      <c r="S33" s="19">
        <f t="shared" si="4"/>
        <v>0.29168155609204272</v>
      </c>
      <c r="T33" s="19">
        <f t="shared" si="5"/>
        <v>17.729829792721073</v>
      </c>
      <c r="U33" s="19">
        <f t="shared" si="0"/>
        <v>146.39999999999986</v>
      </c>
      <c r="Y33" s="42">
        <v>30</v>
      </c>
      <c r="Z33" s="43">
        <f t="shared" si="6"/>
        <v>6.4850049242480862E-2</v>
      </c>
      <c r="AA33" s="43">
        <f t="shared" si="7"/>
        <v>3.2888736241722685E-2</v>
      </c>
      <c r="AB33" s="43">
        <f t="shared" si="8"/>
        <v>9.7738785484203547E-2</v>
      </c>
      <c r="AC33" s="19">
        <f t="shared" si="9"/>
        <v>2.3122612145157966</v>
      </c>
      <c r="AD33" s="19">
        <f t="shared" si="10"/>
        <v>140.55053161036662</v>
      </c>
      <c r="AH33" s="42">
        <v>30</v>
      </c>
      <c r="AI33" s="43">
        <f t="shared" si="11"/>
        <v>9.6334352641272679E-3</v>
      </c>
      <c r="AJ33" s="43">
        <f t="shared" si="12"/>
        <v>2.7261247906531665E-2</v>
      </c>
      <c r="AK33" s="43">
        <f t="shared" si="13"/>
        <v>3.6894683170658929E-2</v>
      </c>
      <c r="AL33" s="19">
        <f t="shared" si="14"/>
        <v>2.3731053168293412</v>
      </c>
      <c r="AM33" s="19">
        <f t="shared" si="15"/>
        <v>144.24893336179463</v>
      </c>
    </row>
    <row r="34" spans="15:39" x14ac:dyDescent="0.2">
      <c r="O34">
        <v>31</v>
      </c>
      <c r="P34" s="43">
        <f t="shared" si="1"/>
        <v>2.2158541270053016</v>
      </c>
      <c r="Q34" s="43">
        <f t="shared" si="2"/>
        <v>4.455409708685542E-2</v>
      </c>
      <c r="R34" s="43">
        <f t="shared" si="3"/>
        <v>2.2604082240921568</v>
      </c>
      <c r="S34" s="19">
        <f t="shared" si="4"/>
        <v>0.14959177590784334</v>
      </c>
      <c r="T34" s="19">
        <f t="shared" si="5"/>
        <v>9.3960161650170697</v>
      </c>
      <c r="U34" s="19">
        <f t="shared" si="0"/>
        <v>151.27999999999986</v>
      </c>
      <c r="Y34">
        <v>31</v>
      </c>
      <c r="Z34" s="43">
        <f t="shared" si="6"/>
        <v>6.9245441468915675E-2</v>
      </c>
      <c r="AA34" s="43">
        <f t="shared" si="7"/>
        <v>3.3985027449780103E-2</v>
      </c>
      <c r="AB34" s="43">
        <f t="shared" si="8"/>
        <v>0.10323046891869578</v>
      </c>
      <c r="AC34" s="19">
        <f t="shared" si="9"/>
        <v>2.3067695310813043</v>
      </c>
      <c r="AD34" s="19">
        <f t="shared" si="10"/>
        <v>144.89061094081413</v>
      </c>
      <c r="AH34">
        <v>31</v>
      </c>
      <c r="AI34" s="43">
        <f t="shared" si="11"/>
        <v>1.0286368098695894E-2</v>
      </c>
      <c r="AJ34" s="43">
        <f t="shared" si="12"/>
        <v>2.8169956170082718E-2</v>
      </c>
      <c r="AK34" s="43">
        <f t="shared" si="13"/>
        <v>3.8456324268778611E-2</v>
      </c>
      <c r="AL34" s="19">
        <f t="shared" si="14"/>
        <v>2.3715436757312216</v>
      </c>
      <c r="AM34" s="19">
        <f t="shared" si="15"/>
        <v>148.95914282709055</v>
      </c>
    </row>
    <row r="35" spans="15:39" x14ac:dyDescent="0.2">
      <c r="O35" s="42">
        <v>32</v>
      </c>
      <c r="P35" s="43">
        <f t="shared" si="1"/>
        <v>2.3611182373084589</v>
      </c>
      <c r="Q35" s="43">
        <f t="shared" si="2"/>
        <v>4.5991326025141076E-2</v>
      </c>
      <c r="R35" s="43">
        <f t="shared" si="3"/>
        <v>2.4071095633335999</v>
      </c>
      <c r="S35" s="19">
        <f t="shared" si="4"/>
        <v>2.890436666400209E-3</v>
      </c>
      <c r="T35" s="19">
        <f t="shared" si="5"/>
        <v>0.1874078505194457</v>
      </c>
      <c r="U35" s="19">
        <f t="shared" si="0"/>
        <v>156.15999999999985</v>
      </c>
      <c r="Y35" s="42">
        <v>32</v>
      </c>
      <c r="Z35" s="43">
        <f t="shared" si="6"/>
        <v>7.3784944915889342E-2</v>
      </c>
      <c r="AA35" s="43">
        <f t="shared" si="7"/>
        <v>3.5081318657837528E-2</v>
      </c>
      <c r="AB35" s="43">
        <f t="shared" si="8"/>
        <v>0.10886626357372686</v>
      </c>
      <c r="AC35" s="19">
        <f t="shared" si="9"/>
        <v>2.3011337364262734</v>
      </c>
      <c r="AD35" s="19">
        <f t="shared" si="10"/>
        <v>149.19909241205212</v>
      </c>
      <c r="AH35" s="42">
        <v>32</v>
      </c>
      <c r="AI35" s="43">
        <f t="shared" si="11"/>
        <v>1.0960708567184802E-2</v>
      </c>
      <c r="AJ35" s="43">
        <f t="shared" si="12"/>
        <v>2.9078664433633775E-2</v>
      </c>
      <c r="AK35" s="43">
        <f t="shared" si="13"/>
        <v>4.0039373000818577E-2</v>
      </c>
      <c r="AL35" s="19">
        <f t="shared" si="14"/>
        <v>2.3699606269991818</v>
      </c>
      <c r="AM35" s="19">
        <f t="shared" si="15"/>
        <v>153.66163600283423</v>
      </c>
    </row>
    <row r="36" spans="15:39" x14ac:dyDescent="0.2">
      <c r="O36">
        <v>33</v>
      </c>
      <c r="P36" s="43">
        <f t="shared" si="1"/>
        <v>2.5109939066688591</v>
      </c>
      <c r="Q36" s="43">
        <f t="shared" si="2"/>
        <v>4.7428554963426732E-2</v>
      </c>
      <c r="R36" s="43">
        <f t="shared" si="3"/>
        <v>2.5584224616322859</v>
      </c>
      <c r="S36" s="19">
        <f t="shared" si="4"/>
        <v>-0.14842246163228578</v>
      </c>
      <c r="T36" s="19">
        <f t="shared" si="5"/>
        <v>-9.9240264593877061</v>
      </c>
      <c r="U36" s="19">
        <f t="shared" si="0"/>
        <v>161.03999999999985</v>
      </c>
      <c r="Y36">
        <v>33</v>
      </c>
      <c r="Z36" s="43">
        <f t="shared" si="6"/>
        <v>7.8468559583401848E-2</v>
      </c>
      <c r="AA36" s="43">
        <f t="shared" si="7"/>
        <v>3.6177609865894952E-2</v>
      </c>
      <c r="AB36" s="43">
        <f t="shared" si="8"/>
        <v>0.1146461694492968</v>
      </c>
      <c r="AC36" s="19">
        <f t="shared" si="9"/>
        <v>2.2953538305507033</v>
      </c>
      <c r="AD36" s="19">
        <f t="shared" si="10"/>
        <v>153.47510004568636</v>
      </c>
      <c r="AH36">
        <v>33</v>
      </c>
      <c r="AI36" s="43">
        <f t="shared" si="11"/>
        <v>1.1656456669593994E-2</v>
      </c>
      <c r="AJ36" s="43">
        <f t="shared" si="12"/>
        <v>2.9987372697184832E-2</v>
      </c>
      <c r="AK36" s="43">
        <f t="shared" si="13"/>
        <v>4.1643829366778823E-2</v>
      </c>
      <c r="AL36" s="19">
        <f t="shared" si="14"/>
        <v>2.3683561706332212</v>
      </c>
      <c r="AM36" s="19">
        <f t="shared" si="15"/>
        <v>158.35628276296944</v>
      </c>
    </row>
    <row r="37" spans="15:39" x14ac:dyDescent="0.2">
      <c r="O37" s="42">
        <v>34</v>
      </c>
      <c r="P37" s="43">
        <f t="shared" si="1"/>
        <v>2.6654811350865026</v>
      </c>
      <c r="Q37" s="43">
        <f t="shared" si="2"/>
        <v>4.8865783901712395E-2</v>
      </c>
      <c r="R37" s="43">
        <f t="shared" si="3"/>
        <v>2.7143469189882152</v>
      </c>
      <c r="S37" s="19">
        <f t="shared" si="4"/>
        <v>-0.30434691898821509</v>
      </c>
      <c r="T37" s="19">
        <f t="shared" si="5"/>
        <v>-20.966318073320377</v>
      </c>
      <c r="U37" s="19">
        <f t="shared" si="0"/>
        <v>165.91999999999987</v>
      </c>
      <c r="Y37" s="42">
        <v>34</v>
      </c>
      <c r="Z37" s="43">
        <f t="shared" si="6"/>
        <v>8.3296285471453207E-2</v>
      </c>
      <c r="AA37" s="43">
        <f t="shared" si="7"/>
        <v>3.727390107395237E-2</v>
      </c>
      <c r="AB37" s="43">
        <f t="shared" si="8"/>
        <v>0.12057018654540558</v>
      </c>
      <c r="AC37" s="19">
        <f t="shared" si="9"/>
        <v>2.2894298134545945</v>
      </c>
      <c r="AD37" s="19">
        <f t="shared" si="10"/>
        <v>157.71775786332256</v>
      </c>
      <c r="AH37" s="42">
        <v>34</v>
      </c>
      <c r="AI37" s="43">
        <f t="shared" si="11"/>
        <v>1.2373612405923468E-2</v>
      </c>
      <c r="AJ37" s="43">
        <f t="shared" si="12"/>
        <v>3.0896080960735886E-2</v>
      </c>
      <c r="AK37" s="43">
        <f t="shared" si="13"/>
        <v>4.3269693366659354E-2</v>
      </c>
      <c r="AL37" s="19">
        <f t="shared" si="14"/>
        <v>2.3667303066333409</v>
      </c>
      <c r="AM37" s="19">
        <f t="shared" si="15"/>
        <v>163.04295298144004</v>
      </c>
    </row>
    <row r="38" spans="15:39" x14ac:dyDescent="0.2">
      <c r="O38">
        <v>35</v>
      </c>
      <c r="P38" s="43">
        <f t="shared" si="1"/>
        <v>2.824579922561389</v>
      </c>
      <c r="Q38" s="43">
        <f t="shared" si="2"/>
        <v>5.0303012839998051E-2</v>
      </c>
      <c r="R38" s="43">
        <f t="shared" si="3"/>
        <v>2.874882935401387</v>
      </c>
      <c r="S38" s="19">
        <f t="shared" si="4"/>
        <v>-0.46488293540138681</v>
      </c>
      <c r="T38" s="19">
        <f t="shared" si="5"/>
        <v>-32.967498299894459</v>
      </c>
      <c r="U38" s="19">
        <f t="shared" si="0"/>
        <v>170.79999999999984</v>
      </c>
      <c r="Y38">
        <v>35</v>
      </c>
      <c r="Z38" s="43">
        <f t="shared" si="6"/>
        <v>8.8268122580043407E-2</v>
      </c>
      <c r="AA38" s="43">
        <f t="shared" si="7"/>
        <v>3.8370192282009795E-2</v>
      </c>
      <c r="AB38" s="43">
        <f t="shared" si="8"/>
        <v>0.12663831486205321</v>
      </c>
      <c r="AC38" s="19">
        <f t="shared" si="9"/>
        <v>2.283361685137947</v>
      </c>
      <c r="AD38" s="19">
        <f t="shared" si="10"/>
        <v>161.92618988656656</v>
      </c>
      <c r="AH38">
        <v>35</v>
      </c>
      <c r="AI38" s="43">
        <f t="shared" si="11"/>
        <v>1.3112175776173225E-2</v>
      </c>
      <c r="AJ38" s="43">
        <f t="shared" si="12"/>
        <v>3.1804789224286943E-2</v>
      </c>
      <c r="AK38" s="43">
        <f t="shared" si="13"/>
        <v>4.491696500046017E-2</v>
      </c>
      <c r="AL38" s="19">
        <f t="shared" si="14"/>
        <v>2.36508303499954</v>
      </c>
      <c r="AM38" s="19">
        <f t="shared" si="15"/>
        <v>167.72151653218967</v>
      </c>
    </row>
    <row r="39" spans="15:39" x14ac:dyDescent="0.2">
      <c r="O39" s="42">
        <v>36</v>
      </c>
      <c r="P39" s="43">
        <f t="shared" si="1"/>
        <v>2.9882902690935182</v>
      </c>
      <c r="Q39" s="43">
        <f t="shared" si="2"/>
        <v>5.1740241778283708E-2</v>
      </c>
      <c r="R39" s="43">
        <f t="shared" si="3"/>
        <v>3.040030510871802</v>
      </c>
      <c r="S39" s="19">
        <f t="shared" si="4"/>
        <v>-0.63003051087180184</v>
      </c>
      <c r="T39" s="19">
        <f t="shared" si="5"/>
        <v>-45.95559844772599</v>
      </c>
      <c r="U39" s="19">
        <f t="shared" si="0"/>
        <v>175.67999999999984</v>
      </c>
      <c r="Y39" s="42">
        <v>36</v>
      </c>
      <c r="Z39" s="43">
        <f t="shared" si="6"/>
        <v>9.3384070909172445E-2</v>
      </c>
      <c r="AA39" s="43">
        <f t="shared" si="7"/>
        <v>3.946648349006722E-2</v>
      </c>
      <c r="AB39" s="43">
        <f t="shared" si="8"/>
        <v>0.13285055439923965</v>
      </c>
      <c r="AC39" s="19">
        <f t="shared" si="9"/>
        <v>2.2771494456007604</v>
      </c>
      <c r="AD39" s="19">
        <f t="shared" si="10"/>
        <v>166.09952013702406</v>
      </c>
      <c r="AH39" s="42">
        <v>36</v>
      </c>
      <c r="AI39" s="43">
        <f t="shared" si="11"/>
        <v>1.3872146780343266E-2</v>
      </c>
      <c r="AJ39" s="43">
        <f t="shared" si="12"/>
        <v>3.2713497487838E-2</v>
      </c>
      <c r="AK39" s="43">
        <f t="shared" si="13"/>
        <v>4.6585644268181264E-2</v>
      </c>
      <c r="AL39" s="19">
        <f t="shared" si="14"/>
        <v>2.3634143557318188</v>
      </c>
      <c r="AM39" s="19">
        <f t="shared" si="15"/>
        <v>172.39184328916224</v>
      </c>
    </row>
    <row r="40" spans="15:39" x14ac:dyDescent="0.2">
      <c r="O40">
        <v>37</v>
      </c>
      <c r="P40" s="43">
        <f t="shared" si="1"/>
        <v>3.1566121746828908</v>
      </c>
      <c r="Q40" s="43">
        <f t="shared" si="2"/>
        <v>5.3177470716569371E-2</v>
      </c>
      <c r="R40" s="43">
        <f t="shared" si="3"/>
        <v>3.2097896453994603</v>
      </c>
      <c r="S40" s="19">
        <f t="shared" si="4"/>
        <v>-0.79978964539946018</v>
      </c>
      <c r="T40" s="19">
        <f t="shared" si="5"/>
        <v>-59.958649825430918</v>
      </c>
      <c r="U40" s="19">
        <f t="shared" si="0"/>
        <v>180.55999999999983</v>
      </c>
      <c r="Y40">
        <v>37</v>
      </c>
      <c r="Z40" s="43">
        <f t="shared" si="6"/>
        <v>9.8644130458840337E-2</v>
      </c>
      <c r="AA40" s="43">
        <f t="shared" si="7"/>
        <v>4.0562774698124644E-2</v>
      </c>
      <c r="AB40" s="43">
        <f t="shared" si="8"/>
        <v>0.13920690515696499</v>
      </c>
      <c r="AC40" s="19">
        <f t="shared" si="9"/>
        <v>2.270793094843035</v>
      </c>
      <c r="AD40" s="19">
        <f t="shared" si="10"/>
        <v>170.2368726363008</v>
      </c>
      <c r="AH40">
        <v>37</v>
      </c>
      <c r="AI40" s="43">
        <f t="shared" si="11"/>
        <v>1.4653525418433589E-2</v>
      </c>
      <c r="AJ40" s="43">
        <f t="shared" si="12"/>
        <v>3.362220575138905E-2</v>
      </c>
      <c r="AK40" s="43">
        <f t="shared" si="13"/>
        <v>4.8275731169822637E-2</v>
      </c>
      <c r="AL40" s="19">
        <f t="shared" si="14"/>
        <v>2.3617242688301774</v>
      </c>
      <c r="AM40" s="19">
        <f t="shared" si="15"/>
        <v>177.05380312630152</v>
      </c>
    </row>
    <row r="41" spans="15:39" x14ac:dyDescent="0.2">
      <c r="O41" s="42">
        <v>38</v>
      </c>
      <c r="P41" s="43">
        <f t="shared" si="1"/>
        <v>3.3295456393295066</v>
      </c>
      <c r="Q41" s="43">
        <f t="shared" si="2"/>
        <v>5.4614699654855027E-2</v>
      </c>
      <c r="R41" s="43">
        <f t="shared" si="3"/>
        <v>3.3841603389843615</v>
      </c>
      <c r="S41" s="19">
        <f t="shared" si="4"/>
        <v>-0.97416033898436138</v>
      </c>
      <c r="T41" s="19">
        <f t="shared" si="5"/>
        <v>-75.0046837416252</v>
      </c>
      <c r="U41" s="19">
        <f t="shared" si="0"/>
        <v>185.43999999999983</v>
      </c>
      <c r="Y41" s="42">
        <v>38</v>
      </c>
      <c r="Z41" s="43">
        <f t="shared" si="6"/>
        <v>0.10404830122904708</v>
      </c>
      <c r="AA41" s="43">
        <f t="shared" si="7"/>
        <v>4.1659065906182062E-2</v>
      </c>
      <c r="AB41" s="43">
        <f t="shared" si="8"/>
        <v>0.14570736713522914</v>
      </c>
      <c r="AC41" s="19">
        <f t="shared" si="9"/>
        <v>2.264292632864771</v>
      </c>
      <c r="AD41" s="19">
        <f t="shared" si="10"/>
        <v>174.33737140600257</v>
      </c>
      <c r="AH41" s="42">
        <v>38</v>
      </c>
      <c r="AI41" s="43">
        <f t="shared" si="11"/>
        <v>1.5456311690444193E-2</v>
      </c>
      <c r="AJ41" s="43">
        <f t="shared" si="12"/>
        <v>3.4530914014940108E-2</v>
      </c>
      <c r="AK41" s="43">
        <f t="shared" si="13"/>
        <v>4.9987225705384303E-2</v>
      </c>
      <c r="AL41" s="19">
        <f t="shared" si="14"/>
        <v>2.3600127742946158</v>
      </c>
      <c r="AM41" s="19">
        <f t="shared" si="15"/>
        <v>181.70726591755118</v>
      </c>
    </row>
    <row r="42" spans="15:39" x14ac:dyDescent="0.2">
      <c r="O42">
        <v>39</v>
      </c>
      <c r="P42" s="43">
        <f t="shared" si="1"/>
        <v>3.5070906630333654</v>
      </c>
      <c r="Q42" s="43">
        <f t="shared" si="2"/>
        <v>5.6051928593140683E-2</v>
      </c>
      <c r="R42" s="43">
        <f t="shared" si="3"/>
        <v>3.563142591626506</v>
      </c>
      <c r="S42" s="19">
        <f t="shared" si="4"/>
        <v>-1.1531425916265059</v>
      </c>
      <c r="T42" s="19">
        <f t="shared" si="5"/>
        <v>-91.12173150492481</v>
      </c>
      <c r="U42" s="19">
        <f t="shared" si="0"/>
        <v>190.31999999999985</v>
      </c>
      <c r="Y42">
        <v>39</v>
      </c>
      <c r="Z42" s="43">
        <f t="shared" si="6"/>
        <v>0.10959658321979267</v>
      </c>
      <c r="AA42" s="43">
        <f t="shared" si="7"/>
        <v>4.2755357114239487E-2</v>
      </c>
      <c r="AB42" s="43">
        <f t="shared" si="8"/>
        <v>0.15235194033403215</v>
      </c>
      <c r="AC42" s="19">
        <f t="shared" si="9"/>
        <v>2.2576480596659678</v>
      </c>
      <c r="AD42" s="19">
        <f t="shared" si="10"/>
        <v>178.40014046773513</v>
      </c>
      <c r="AH42">
        <v>39</v>
      </c>
      <c r="AI42" s="43">
        <f t="shared" si="11"/>
        <v>1.6280505596375082E-2</v>
      </c>
      <c r="AJ42" s="43">
        <f t="shared" si="12"/>
        <v>3.5439622278491165E-2</v>
      </c>
      <c r="AK42" s="43">
        <f t="shared" si="13"/>
        <v>5.1720127874866247E-2</v>
      </c>
      <c r="AL42" s="19">
        <f t="shared" si="14"/>
        <v>2.3582798721251339</v>
      </c>
      <c r="AM42" s="19">
        <f t="shared" si="15"/>
        <v>186.35210153685509</v>
      </c>
    </row>
    <row r="43" spans="15:39" x14ac:dyDescent="0.2">
      <c r="O43" s="42">
        <v>40</v>
      </c>
      <c r="P43" s="43">
        <f t="shared" si="1"/>
        <v>3.6892472457944669</v>
      </c>
      <c r="Q43" s="43">
        <f t="shared" si="2"/>
        <v>5.7489157531426346E-2</v>
      </c>
      <c r="R43" s="43">
        <f t="shared" si="3"/>
        <v>3.7467364033258934</v>
      </c>
      <c r="S43" s="19">
        <f t="shared" si="4"/>
        <v>-1.3367364033258933</v>
      </c>
      <c r="T43" s="19">
        <f t="shared" si="5"/>
        <v>-108.33782442394566</v>
      </c>
      <c r="U43" s="19">
        <f t="shared" si="0"/>
        <v>195.19999999999982</v>
      </c>
      <c r="Y43" s="42">
        <v>40</v>
      </c>
      <c r="Z43" s="43">
        <f t="shared" si="6"/>
        <v>0.11528897643107709</v>
      </c>
      <c r="AA43" s="43">
        <f t="shared" si="7"/>
        <v>4.3851648322296911E-2</v>
      </c>
      <c r="AB43" s="43">
        <f t="shared" si="8"/>
        <v>0.15914062475337401</v>
      </c>
      <c r="AC43" s="19">
        <f t="shared" si="9"/>
        <v>2.2508593752466259</v>
      </c>
      <c r="AD43" s="19">
        <f t="shared" si="10"/>
        <v>182.42430384310416</v>
      </c>
      <c r="AH43" s="42">
        <v>40</v>
      </c>
      <c r="AI43" s="43">
        <f t="shared" si="11"/>
        <v>1.7126107136226254E-2</v>
      </c>
      <c r="AJ43" s="43">
        <f t="shared" si="12"/>
        <v>3.6348330542042222E-2</v>
      </c>
      <c r="AK43" s="43">
        <f t="shared" si="13"/>
        <v>5.3474437678268476E-2</v>
      </c>
      <c r="AL43" s="19">
        <f t="shared" si="14"/>
        <v>2.3565255623217318</v>
      </c>
      <c r="AM43" s="19">
        <f t="shared" si="15"/>
        <v>190.98817985815697</v>
      </c>
    </row>
    <row r="44" spans="15:39" x14ac:dyDescent="0.2">
      <c r="O44">
        <v>41</v>
      </c>
      <c r="P44" s="43">
        <f t="shared" si="1"/>
        <v>3.8760153876128118</v>
      </c>
      <c r="Q44" s="43">
        <f t="shared" si="2"/>
        <v>5.8926386469712003E-2</v>
      </c>
      <c r="R44" s="43">
        <f t="shared" si="3"/>
        <v>3.9349417740825237</v>
      </c>
      <c r="S44" s="19">
        <f t="shared" si="4"/>
        <v>-1.5249417740825235</v>
      </c>
      <c r="T44" s="19">
        <f t="shared" si="5"/>
        <v>-126.68099380730375</v>
      </c>
      <c r="U44" s="19">
        <f t="shared" si="0"/>
        <v>200.07999999999984</v>
      </c>
      <c r="Y44">
        <v>41</v>
      </c>
      <c r="Z44" s="43">
        <f t="shared" si="6"/>
        <v>0.12112548086290037</v>
      </c>
      <c r="AA44" s="43">
        <f t="shared" si="7"/>
        <v>4.4947939530354329E-2</v>
      </c>
      <c r="AB44" s="43">
        <f t="shared" si="8"/>
        <v>0.16607342039325471</v>
      </c>
      <c r="AC44" s="19">
        <f t="shared" si="9"/>
        <v>2.2439265796067454</v>
      </c>
      <c r="AD44" s="19">
        <f t="shared" si="10"/>
        <v>186.40898555371547</v>
      </c>
      <c r="AH44">
        <v>41</v>
      </c>
      <c r="AI44" s="43">
        <f t="shared" si="11"/>
        <v>1.7993116309997708E-2</v>
      </c>
      <c r="AJ44" s="43">
        <f t="shared" si="12"/>
        <v>3.7257038805593272E-2</v>
      </c>
      <c r="AK44" s="43">
        <f t="shared" si="13"/>
        <v>5.5250155115590976E-2</v>
      </c>
      <c r="AL44" s="19">
        <f t="shared" si="14"/>
        <v>2.3547498448844091</v>
      </c>
      <c r="AM44" s="19">
        <f t="shared" si="15"/>
        <v>195.61537075540068</v>
      </c>
    </row>
    <row r="45" spans="15:39" x14ac:dyDescent="0.2">
      <c r="O45" s="42">
        <v>42</v>
      </c>
      <c r="P45" s="43">
        <f t="shared" si="1"/>
        <v>4.0673950884884</v>
      </c>
      <c r="Q45" s="43">
        <f t="shared" si="2"/>
        <v>6.0363615407997659E-2</v>
      </c>
      <c r="R45" s="43">
        <f t="shared" si="3"/>
        <v>4.1277587038963981</v>
      </c>
      <c r="S45" s="19">
        <f t="shared" si="4"/>
        <v>-1.717758703896398</v>
      </c>
      <c r="T45" s="19">
        <f t="shared" si="5"/>
        <v>-146.1792709636151</v>
      </c>
      <c r="U45" s="19">
        <f t="shared" si="0"/>
        <v>204.95999999999981</v>
      </c>
      <c r="Y45" s="42">
        <v>42</v>
      </c>
      <c r="Z45" s="43">
        <f t="shared" si="6"/>
        <v>0.1271060965152625</v>
      </c>
      <c r="AA45" s="43">
        <f t="shared" si="7"/>
        <v>4.6044230738411754E-2</v>
      </c>
      <c r="AB45" s="43">
        <f t="shared" si="8"/>
        <v>0.17315032725367424</v>
      </c>
      <c r="AC45" s="19">
        <f t="shared" si="9"/>
        <v>2.2368496727463261</v>
      </c>
      <c r="AD45" s="19">
        <f t="shared" si="10"/>
        <v>190.35330962117482</v>
      </c>
      <c r="AH45" s="42">
        <v>42</v>
      </c>
      <c r="AI45" s="43">
        <f t="shared" si="11"/>
        <v>1.8881533117689444E-2</v>
      </c>
      <c r="AJ45" s="43">
        <f t="shared" si="12"/>
        <v>3.8165747069144329E-2</v>
      </c>
      <c r="AK45" s="43">
        <f t="shared" si="13"/>
        <v>5.7047280186833776E-2</v>
      </c>
      <c r="AL45" s="19">
        <f t="shared" si="14"/>
        <v>2.3529527198131666</v>
      </c>
      <c r="AM45" s="19">
        <f t="shared" si="15"/>
        <v>200.23354410252992</v>
      </c>
    </row>
    <row r="46" spans="15:39" x14ac:dyDescent="0.2">
      <c r="O46">
        <v>43</v>
      </c>
      <c r="P46" s="43">
        <f t="shared" si="1"/>
        <v>4.2633863484212311</v>
      </c>
      <c r="Q46" s="43">
        <f t="shared" si="2"/>
        <v>6.1800844346283322E-2</v>
      </c>
      <c r="R46" s="43">
        <f t="shared" si="3"/>
        <v>4.3251871927675145</v>
      </c>
      <c r="S46" s="19">
        <f t="shared" si="4"/>
        <v>-1.9151871927675144</v>
      </c>
      <c r="T46" s="19">
        <f t="shared" si="5"/>
        <v>-166.86068720149552</v>
      </c>
      <c r="U46" s="19">
        <f t="shared" si="0"/>
        <v>209.8399999999998</v>
      </c>
      <c r="Y46">
        <v>43</v>
      </c>
      <c r="Z46" s="43">
        <f t="shared" si="6"/>
        <v>0.13323082338816347</v>
      </c>
      <c r="AA46" s="43">
        <f t="shared" si="7"/>
        <v>4.7140521946469179E-2</v>
      </c>
      <c r="AB46" s="43">
        <f t="shared" si="8"/>
        <v>0.18037134533463264</v>
      </c>
      <c r="AC46" s="19">
        <f t="shared" si="9"/>
        <v>2.2296286546653676</v>
      </c>
      <c r="AD46" s="19">
        <f t="shared" si="10"/>
        <v>194.2564000670879</v>
      </c>
      <c r="AH46">
        <v>43</v>
      </c>
      <c r="AI46" s="43">
        <f t="shared" si="11"/>
        <v>1.9791357559301465E-2</v>
      </c>
      <c r="AJ46" s="43">
        <f t="shared" si="12"/>
        <v>3.9074455332695386E-2</v>
      </c>
      <c r="AK46" s="43">
        <f t="shared" si="13"/>
        <v>5.8865812891996855E-2</v>
      </c>
      <c r="AL46" s="19">
        <f t="shared" si="14"/>
        <v>2.3511341871080034</v>
      </c>
      <c r="AM46" s="19">
        <f t="shared" si="15"/>
        <v>204.84256977348841</v>
      </c>
    </row>
    <row r="47" spans="15:39" x14ac:dyDescent="0.2">
      <c r="O47" s="42">
        <v>44</v>
      </c>
      <c r="P47" s="43">
        <f t="shared" si="1"/>
        <v>4.463989167411305</v>
      </c>
      <c r="Q47" s="43">
        <f t="shared" si="2"/>
        <v>6.3238073284568985E-2</v>
      </c>
      <c r="R47" s="43">
        <f t="shared" si="3"/>
        <v>4.5272272406958738</v>
      </c>
      <c r="S47" s="19">
        <f t="shared" si="4"/>
        <v>-2.1172272406958736</v>
      </c>
      <c r="T47" s="19">
        <f t="shared" si="5"/>
        <v>-188.7532738295611</v>
      </c>
      <c r="U47" s="19">
        <f t="shared" si="0"/>
        <v>214.71999999999983</v>
      </c>
      <c r="Y47" s="42">
        <v>44</v>
      </c>
      <c r="Z47" s="43">
        <f t="shared" si="6"/>
        <v>0.13949966148160328</v>
      </c>
      <c r="AA47" s="43">
        <f t="shared" si="7"/>
        <v>4.8236813154526603E-2</v>
      </c>
      <c r="AB47" s="43">
        <f t="shared" si="8"/>
        <v>0.18773647463612989</v>
      </c>
      <c r="AC47" s="19">
        <f t="shared" si="9"/>
        <v>2.2222635253638701</v>
      </c>
      <c r="AD47" s="19">
        <f t="shared" si="10"/>
        <v>198.11738091306043</v>
      </c>
      <c r="AH47" s="42">
        <v>44</v>
      </c>
      <c r="AI47" s="43">
        <f t="shared" si="11"/>
        <v>2.0722589634833765E-2</v>
      </c>
      <c r="AJ47" s="43">
        <f t="shared" si="12"/>
        <v>3.9983163596246443E-2</v>
      </c>
      <c r="AK47" s="43">
        <f t="shared" si="13"/>
        <v>6.0705753231080212E-2</v>
      </c>
      <c r="AL47" s="19">
        <f t="shared" si="14"/>
        <v>2.34929424676892</v>
      </c>
      <c r="AM47" s="19">
        <f t="shared" si="15"/>
        <v>209.4423176422201</v>
      </c>
    </row>
    <row r="48" spans="15:39" x14ac:dyDescent="0.2">
      <c r="O48">
        <v>45</v>
      </c>
      <c r="P48" s="43">
        <f t="shared" si="1"/>
        <v>4.6692035454586227</v>
      </c>
      <c r="Q48" s="43">
        <f t="shared" si="2"/>
        <v>6.4675302222854641E-2</v>
      </c>
      <c r="R48" s="43">
        <f t="shared" si="3"/>
        <v>4.7338788476814777</v>
      </c>
      <c r="S48" s="19">
        <f t="shared" si="4"/>
        <v>-2.3238788476814776</v>
      </c>
      <c r="T48" s="19">
        <f t="shared" si="5"/>
        <v>-211.88506215642784</v>
      </c>
      <c r="U48" s="19">
        <f t="shared" si="0"/>
        <v>219.5999999999998</v>
      </c>
      <c r="Y48">
        <v>45</v>
      </c>
      <c r="Z48" s="43">
        <f t="shared" si="6"/>
        <v>0.14591261079558196</v>
      </c>
      <c r="AA48" s="43">
        <f t="shared" si="7"/>
        <v>4.9333104362584021E-2</v>
      </c>
      <c r="AB48" s="43">
        <f t="shared" si="8"/>
        <v>0.19524571515816597</v>
      </c>
      <c r="AC48" s="19">
        <f t="shared" si="9"/>
        <v>2.2147542848418342</v>
      </c>
      <c r="AD48" s="19">
        <f t="shared" si="10"/>
        <v>201.93537618069831</v>
      </c>
      <c r="AH48">
        <v>45</v>
      </c>
      <c r="AI48" s="43">
        <f t="shared" si="11"/>
        <v>2.1675229344286354E-2</v>
      </c>
      <c r="AJ48" s="43">
        <f t="shared" si="12"/>
        <v>4.0891871859797493E-2</v>
      </c>
      <c r="AK48" s="43">
        <f t="shared" si="13"/>
        <v>6.2567101204083847E-2</v>
      </c>
      <c r="AL48" s="19">
        <f t="shared" si="14"/>
        <v>2.3474328987959163</v>
      </c>
      <c r="AM48" s="19">
        <f t="shared" si="15"/>
        <v>214.03265758266866</v>
      </c>
    </row>
    <row r="49" spans="15:39" x14ac:dyDescent="0.2">
      <c r="O49" s="42">
        <v>46</v>
      </c>
      <c r="P49" s="43">
        <f t="shared" si="1"/>
        <v>4.8790294825631824</v>
      </c>
      <c r="Q49" s="43">
        <f t="shared" si="2"/>
        <v>6.6112531161140298E-2</v>
      </c>
      <c r="R49" s="43">
        <f t="shared" si="3"/>
        <v>4.9451420137243227</v>
      </c>
      <c r="S49" s="19">
        <f t="shared" si="4"/>
        <v>-2.5351420137243226</v>
      </c>
      <c r="T49" s="19">
        <f t="shared" si="5"/>
        <v>-236.28408349071151</v>
      </c>
      <c r="U49" s="19">
        <f t="shared" si="0"/>
        <v>224.47999999999982</v>
      </c>
      <c r="Y49" s="42">
        <v>46</v>
      </c>
      <c r="Z49" s="43">
        <f t="shared" si="6"/>
        <v>0.15246967133009945</v>
      </c>
      <c r="AA49" s="43">
        <f t="shared" si="7"/>
        <v>5.0429395570641446E-2</v>
      </c>
      <c r="AB49" s="43">
        <f t="shared" si="8"/>
        <v>0.20289906690074089</v>
      </c>
      <c r="AC49" s="19">
        <f t="shared" si="9"/>
        <v>2.2071009330992593</v>
      </c>
      <c r="AD49" s="19">
        <f t="shared" si="10"/>
        <v>205.70950989160724</v>
      </c>
      <c r="AH49" s="42">
        <v>46</v>
      </c>
      <c r="AI49" s="43">
        <f t="shared" si="11"/>
        <v>2.2649276687659221E-2</v>
      </c>
      <c r="AJ49" s="43">
        <f t="shared" si="12"/>
        <v>4.180058012334855E-2</v>
      </c>
      <c r="AK49" s="43">
        <f t="shared" si="13"/>
        <v>6.4449856811007775E-2</v>
      </c>
      <c r="AL49" s="19">
        <f t="shared" si="14"/>
        <v>2.3455501431889925</v>
      </c>
      <c r="AM49" s="19">
        <f t="shared" si="15"/>
        <v>218.61345946877788</v>
      </c>
    </row>
    <row r="50" spans="15:39" x14ac:dyDescent="0.2">
      <c r="O50">
        <v>47</v>
      </c>
      <c r="P50" s="43">
        <f t="shared" si="1"/>
        <v>5.0934669787249858</v>
      </c>
      <c r="Q50" s="43">
        <f t="shared" si="2"/>
        <v>6.7549760099425954E-2</v>
      </c>
      <c r="R50" s="43">
        <f t="shared" si="3"/>
        <v>5.1610167388244115</v>
      </c>
      <c r="S50" s="19">
        <f t="shared" si="4"/>
        <v>-2.7510167388244113</v>
      </c>
      <c r="T50" s="19">
        <f t="shared" si="5"/>
        <v>-261.97836914102817</v>
      </c>
      <c r="U50" s="19">
        <f t="shared" si="0"/>
        <v>229.35999999999979</v>
      </c>
      <c r="Y50">
        <v>47</v>
      </c>
      <c r="Z50" s="43">
        <f t="shared" si="6"/>
        <v>0.15917084308515581</v>
      </c>
      <c r="AA50" s="43">
        <f t="shared" si="7"/>
        <v>5.152568677869887E-2</v>
      </c>
      <c r="AB50" s="43">
        <f t="shared" si="8"/>
        <v>0.21069652986385468</v>
      </c>
      <c r="AC50" s="19">
        <f t="shared" si="9"/>
        <v>2.1993034701361456</v>
      </c>
      <c r="AD50" s="19">
        <f t="shared" si="10"/>
        <v>209.43890606739288</v>
      </c>
      <c r="AH50">
        <v>47</v>
      </c>
      <c r="AI50" s="43">
        <f t="shared" si="11"/>
        <v>2.364473166495237E-2</v>
      </c>
      <c r="AJ50" s="43">
        <f t="shared" si="12"/>
        <v>4.2709288386899608E-2</v>
      </c>
      <c r="AK50" s="43">
        <f t="shared" si="13"/>
        <v>6.6354020051851981E-2</v>
      </c>
      <c r="AL50" s="19">
        <f t="shared" si="14"/>
        <v>2.3436459799481479</v>
      </c>
      <c r="AM50" s="19">
        <f t="shared" si="15"/>
        <v>223.18459317449151</v>
      </c>
    </row>
    <row r="51" spans="15:39" x14ac:dyDescent="0.2">
      <c r="O51" s="42">
        <v>48</v>
      </c>
      <c r="P51" s="43">
        <f t="shared" si="1"/>
        <v>5.3125160339440329</v>
      </c>
      <c r="Q51" s="43">
        <f t="shared" si="2"/>
        <v>6.898698903771161E-2</v>
      </c>
      <c r="R51" s="43">
        <f t="shared" si="3"/>
        <v>5.3815030229817449</v>
      </c>
      <c r="S51" s="19">
        <f t="shared" si="4"/>
        <v>-2.9715030229817447</v>
      </c>
      <c r="T51" s="19">
        <f t="shared" si="5"/>
        <v>-288.995950415994</v>
      </c>
      <c r="U51" s="19">
        <f t="shared" si="0"/>
        <v>234.23999999999981</v>
      </c>
      <c r="Y51" s="42">
        <v>48</v>
      </c>
      <c r="Z51" s="43">
        <f t="shared" si="6"/>
        <v>0.16601612606075103</v>
      </c>
      <c r="AA51" s="43">
        <f t="shared" si="7"/>
        <v>5.2621977986756288E-2</v>
      </c>
      <c r="AB51" s="43">
        <f t="shared" si="8"/>
        <v>0.21863810404750733</v>
      </c>
      <c r="AC51" s="19">
        <f t="shared" si="9"/>
        <v>2.1913618959524928</v>
      </c>
      <c r="AD51" s="19">
        <f t="shared" si="10"/>
        <v>213.12268872966106</v>
      </c>
      <c r="AH51" s="42">
        <v>48</v>
      </c>
      <c r="AI51" s="43">
        <f t="shared" si="11"/>
        <v>2.4661594276165804E-2</v>
      </c>
      <c r="AJ51" s="43">
        <f t="shared" si="12"/>
        <v>4.3617996650450665E-2</v>
      </c>
      <c r="AK51" s="43">
        <f t="shared" si="13"/>
        <v>6.8279590926616465E-2</v>
      </c>
      <c r="AL51" s="19">
        <f t="shared" si="14"/>
        <v>2.3417204090733836</v>
      </c>
      <c r="AM51" s="19">
        <f t="shared" si="15"/>
        <v>227.74592857375342</v>
      </c>
    </row>
    <row r="52" spans="15:39" x14ac:dyDescent="0.2">
      <c r="O52">
        <v>49</v>
      </c>
      <c r="P52" s="43">
        <f t="shared" si="1"/>
        <v>5.5361766482203221</v>
      </c>
      <c r="Q52" s="43">
        <f t="shared" si="2"/>
        <v>7.0424217975997266E-2</v>
      </c>
      <c r="R52" s="43">
        <f t="shared" si="3"/>
        <v>5.6066008661963194</v>
      </c>
      <c r="S52" s="19">
        <f t="shared" si="4"/>
        <v>-3.1966008661963192</v>
      </c>
      <c r="T52" s="19">
        <f t="shared" si="5"/>
        <v>-317.36485862422461</v>
      </c>
      <c r="U52" s="19">
        <f t="shared" si="0"/>
        <v>239.11999999999981</v>
      </c>
      <c r="Y52">
        <v>49</v>
      </c>
      <c r="Z52" s="43">
        <f t="shared" si="6"/>
        <v>0.17300552025688506</v>
      </c>
      <c r="AA52" s="43">
        <f t="shared" si="7"/>
        <v>5.3718269194813713E-2</v>
      </c>
      <c r="AB52" s="43">
        <f t="shared" si="8"/>
        <v>0.22672378945169877</v>
      </c>
      <c r="AC52" s="19">
        <f t="shared" si="9"/>
        <v>2.1832762105483012</v>
      </c>
      <c r="AD52" s="19">
        <f t="shared" si="10"/>
        <v>216.75998190001749</v>
      </c>
      <c r="AH52">
        <v>49</v>
      </c>
      <c r="AI52" s="43">
        <f t="shared" si="11"/>
        <v>2.569986452129952E-2</v>
      </c>
      <c r="AJ52" s="43">
        <f t="shared" si="12"/>
        <v>4.4526704914001722E-2</v>
      </c>
      <c r="AK52" s="43">
        <f t="shared" si="13"/>
        <v>7.0226569435301242E-2</v>
      </c>
      <c r="AL52" s="19">
        <f t="shared" si="14"/>
        <v>2.3397734305646991</v>
      </c>
      <c r="AM52" s="19">
        <f t="shared" si="15"/>
        <v>232.29733554050733</v>
      </c>
    </row>
    <row r="53" spans="15:39" x14ac:dyDescent="0.2">
      <c r="O53" s="42">
        <v>50</v>
      </c>
      <c r="P53" s="43">
        <f t="shared" si="1"/>
        <v>5.764448821553855</v>
      </c>
      <c r="Q53" s="43">
        <f t="shared" si="2"/>
        <v>7.1861446914282937E-2</v>
      </c>
      <c r="R53" s="43">
        <f t="shared" si="3"/>
        <v>5.8363102684681376</v>
      </c>
      <c r="S53" s="19">
        <f t="shared" si="4"/>
        <v>-3.4263102684681375</v>
      </c>
      <c r="T53" s="19">
        <f t="shared" si="5"/>
        <v>-347.1131250743361</v>
      </c>
      <c r="U53" s="19">
        <f t="shared" si="0"/>
        <v>243.99999999999977</v>
      </c>
      <c r="Y53" s="42">
        <v>50</v>
      </c>
      <c r="Z53" s="43">
        <f t="shared" si="6"/>
        <v>0.18013902567355797</v>
      </c>
      <c r="AA53" s="43">
        <f t="shared" si="7"/>
        <v>5.4814560402871138E-2</v>
      </c>
      <c r="AB53" s="43">
        <f t="shared" si="8"/>
        <v>0.23495358607642911</v>
      </c>
      <c r="AC53" s="19">
        <f t="shared" si="9"/>
        <v>2.175046413923571</v>
      </c>
      <c r="AD53" s="19">
        <f t="shared" si="10"/>
        <v>220.34990960006797</v>
      </c>
      <c r="AH53" s="42">
        <v>50</v>
      </c>
      <c r="AI53" s="43">
        <f t="shared" si="11"/>
        <v>2.6759542400353522E-2</v>
      </c>
      <c r="AJ53" s="43">
        <f t="shared" si="12"/>
        <v>4.5435413177552772E-2</v>
      </c>
      <c r="AK53" s="43">
        <f t="shared" si="13"/>
        <v>7.2194955577906297E-2</v>
      </c>
      <c r="AL53" s="19">
        <f t="shared" si="14"/>
        <v>2.3378050444220939</v>
      </c>
      <c r="AM53" s="19">
        <f t="shared" si="15"/>
        <v>236.83868394869691</v>
      </c>
    </row>
    <row r="54" spans="15:39" x14ac:dyDescent="0.2">
      <c r="O54">
        <v>51</v>
      </c>
      <c r="P54" s="43">
        <f t="shared" si="1"/>
        <v>5.9973325539446307</v>
      </c>
      <c r="Q54" s="43">
        <f t="shared" si="2"/>
        <v>7.3298675852568593E-2</v>
      </c>
      <c r="R54" s="43">
        <f t="shared" si="3"/>
        <v>6.0706312297971996</v>
      </c>
      <c r="S54" s="19">
        <f t="shared" si="4"/>
        <v>-3.6606312297971995</v>
      </c>
      <c r="T54" s="19">
        <f t="shared" si="5"/>
        <v>-378.26878107494457</v>
      </c>
      <c r="U54" s="19">
        <f t="shared" si="0"/>
        <v>248.8799999999998</v>
      </c>
      <c r="Y54">
        <v>51</v>
      </c>
      <c r="Z54" s="43">
        <f t="shared" si="6"/>
        <v>0.18741664231076971</v>
      </c>
      <c r="AA54" s="43">
        <f t="shared" si="7"/>
        <v>5.5910851610928562E-2</v>
      </c>
      <c r="AB54" s="43">
        <f t="shared" si="8"/>
        <v>0.24332749392169828</v>
      </c>
      <c r="AC54" s="19">
        <f t="shared" si="9"/>
        <v>2.1666725060783021</v>
      </c>
      <c r="AD54" s="19">
        <f t="shared" si="10"/>
        <v>223.89159585141826</v>
      </c>
      <c r="AH54">
        <v>51</v>
      </c>
      <c r="AI54" s="43">
        <f t="shared" si="11"/>
        <v>2.7840627913327802E-2</v>
      </c>
      <c r="AJ54" s="43">
        <f t="shared" si="12"/>
        <v>4.6344121441103829E-2</v>
      </c>
      <c r="AK54" s="43">
        <f t="shared" si="13"/>
        <v>7.4184749354431631E-2</v>
      </c>
      <c r="AL54" s="19">
        <f t="shared" si="14"/>
        <v>2.3358152506455685</v>
      </c>
      <c r="AM54" s="19">
        <f t="shared" si="15"/>
        <v>241.36984367226614</v>
      </c>
    </row>
    <row r="55" spans="15:39" x14ac:dyDescent="0.2">
      <c r="O55" s="42">
        <v>52</v>
      </c>
      <c r="P55" s="43">
        <f t="shared" si="1"/>
        <v>6.2348278453926493</v>
      </c>
      <c r="Q55" s="43">
        <f t="shared" si="2"/>
        <v>7.4735904790854249E-2</v>
      </c>
      <c r="R55" s="43">
        <f t="shared" si="3"/>
        <v>6.3095637501835036</v>
      </c>
      <c r="S55" s="19">
        <f t="shared" si="4"/>
        <v>-3.8995637501835034</v>
      </c>
      <c r="T55" s="19">
        <f t="shared" si="5"/>
        <v>-410.85985793466574</v>
      </c>
      <c r="U55" s="19">
        <f t="shared" si="0"/>
        <v>253.75999999999976</v>
      </c>
      <c r="Y55" s="42">
        <v>52</v>
      </c>
      <c r="Z55" s="43">
        <f t="shared" si="6"/>
        <v>0.19483837016852029</v>
      </c>
      <c r="AA55" s="43">
        <f t="shared" si="7"/>
        <v>5.700714281898598E-2</v>
      </c>
      <c r="AB55" s="43">
        <f t="shared" si="8"/>
        <v>0.25184551298750629</v>
      </c>
      <c r="AC55" s="19">
        <f t="shared" si="9"/>
        <v>2.158154487012494</v>
      </c>
      <c r="AD55" s="19">
        <f t="shared" si="10"/>
        <v>227.38416467567401</v>
      </c>
      <c r="AH55" s="42">
        <v>52</v>
      </c>
      <c r="AI55" s="43">
        <f t="shared" si="11"/>
        <v>2.8943121060222367E-2</v>
      </c>
      <c r="AJ55" s="43">
        <f t="shared" si="12"/>
        <v>4.7252829704654886E-2</v>
      </c>
      <c r="AK55" s="43">
        <f t="shared" si="13"/>
        <v>7.6195950764877257E-2</v>
      </c>
      <c r="AL55" s="19">
        <f t="shared" si="14"/>
        <v>2.3338040492351229</v>
      </c>
      <c r="AM55" s="19">
        <f t="shared" si="15"/>
        <v>245.89068458515862</v>
      </c>
    </row>
    <row r="56" spans="15:39" x14ac:dyDescent="0.2">
      <c r="O56">
        <v>53</v>
      </c>
      <c r="P56" s="43">
        <f t="shared" si="1"/>
        <v>6.4769346958979117</v>
      </c>
      <c r="Q56" s="43">
        <f t="shared" si="2"/>
        <v>7.6173133729139905E-2</v>
      </c>
      <c r="R56" s="43">
        <f t="shared" si="3"/>
        <v>6.5531078296270513</v>
      </c>
      <c r="S56" s="19">
        <f t="shared" si="4"/>
        <v>-4.1431078296270512</v>
      </c>
      <c r="T56" s="19">
        <f t="shared" si="5"/>
        <v>-444.91438696211577</v>
      </c>
      <c r="U56" s="19">
        <f t="shared" si="0"/>
        <v>258.63999999999982</v>
      </c>
      <c r="Y56">
        <v>53</v>
      </c>
      <c r="Z56" s="43">
        <f t="shared" si="6"/>
        <v>0.20240420924680974</v>
      </c>
      <c r="AA56" s="43">
        <f t="shared" si="7"/>
        <v>5.8103434027043405E-2</v>
      </c>
      <c r="AB56" s="43">
        <f t="shared" si="8"/>
        <v>0.26050764327385312</v>
      </c>
      <c r="AC56" s="19">
        <f t="shared" si="9"/>
        <v>2.1494923567261468</v>
      </c>
      <c r="AD56" s="19">
        <f t="shared" si="10"/>
        <v>230.82674009444105</v>
      </c>
      <c r="AH56">
        <v>53</v>
      </c>
      <c r="AI56" s="43">
        <f t="shared" si="11"/>
        <v>3.0067021841037215E-2</v>
      </c>
      <c r="AJ56" s="43">
        <f t="shared" si="12"/>
        <v>4.8161537968205943E-2</v>
      </c>
      <c r="AK56" s="43">
        <f t="shared" si="13"/>
        <v>7.8228559809243162E-2</v>
      </c>
      <c r="AL56" s="19">
        <f t="shared" si="14"/>
        <v>2.331771440190757</v>
      </c>
      <c r="AM56" s="19">
        <f t="shared" si="15"/>
        <v>250.40107656131826</v>
      </c>
    </row>
    <row r="57" spans="15:39" x14ac:dyDescent="0.2">
      <c r="O57" s="42">
        <v>54</v>
      </c>
      <c r="P57" s="43">
        <f t="shared" si="1"/>
        <v>6.7236531054604161</v>
      </c>
      <c r="Q57" s="43">
        <f t="shared" si="2"/>
        <v>7.7610362667425561E-2</v>
      </c>
      <c r="R57" s="43">
        <f t="shared" si="3"/>
        <v>6.8012634681278419</v>
      </c>
      <c r="S57" s="19">
        <f t="shared" si="4"/>
        <v>-4.3912634681278417</v>
      </c>
      <c r="T57" s="19">
        <f t="shared" si="5"/>
        <v>-480.46039946591048</v>
      </c>
      <c r="U57" s="19">
        <f t="shared" si="0"/>
        <v>263.51999999999975</v>
      </c>
      <c r="Y57" s="42">
        <v>54</v>
      </c>
      <c r="Z57" s="43">
        <f t="shared" si="6"/>
        <v>0.210114159545638</v>
      </c>
      <c r="AA57" s="43">
        <f t="shared" si="7"/>
        <v>5.9199725235100829E-2</v>
      </c>
      <c r="AB57" s="43">
        <f t="shared" si="8"/>
        <v>0.26931388478073881</v>
      </c>
      <c r="AC57" s="19">
        <f t="shared" si="9"/>
        <v>2.1406861152192613</v>
      </c>
      <c r="AD57" s="19">
        <f t="shared" si="10"/>
        <v>234.21844612932514</v>
      </c>
      <c r="AH57" s="42">
        <v>54</v>
      </c>
      <c r="AI57" s="43">
        <f t="shared" si="11"/>
        <v>3.1212330255772348E-2</v>
      </c>
      <c r="AJ57" s="43">
        <f t="shared" si="12"/>
        <v>4.9070246231756993E-2</v>
      </c>
      <c r="AK57" s="43">
        <f t="shared" si="13"/>
        <v>8.0282576487529345E-2</v>
      </c>
      <c r="AL57" s="19">
        <f t="shared" si="14"/>
        <v>2.3297174235124709</v>
      </c>
      <c r="AM57" s="19">
        <f t="shared" si="15"/>
        <v>254.90088947468874</v>
      </c>
    </row>
    <row r="58" spans="15:39" x14ac:dyDescent="0.2">
      <c r="O58">
        <v>55</v>
      </c>
      <c r="P58" s="43">
        <f t="shared" si="1"/>
        <v>6.9749830740801642</v>
      </c>
      <c r="Q58" s="43">
        <f t="shared" si="2"/>
        <v>7.9047591605711218E-2</v>
      </c>
      <c r="R58" s="43">
        <f t="shared" si="3"/>
        <v>7.0540306656858753</v>
      </c>
      <c r="S58" s="19">
        <f t="shared" si="4"/>
        <v>-4.6440306656858752</v>
      </c>
      <c r="T58" s="19">
        <f t="shared" si="5"/>
        <v>-517.52592675466576</v>
      </c>
      <c r="U58" s="19">
        <f t="shared" si="0"/>
        <v>268.39999999999975</v>
      </c>
      <c r="Y58">
        <v>55</v>
      </c>
      <c r="Z58" s="43">
        <f t="shared" si="6"/>
        <v>0.21796822106500513</v>
      </c>
      <c r="AA58" s="43">
        <f t="shared" si="7"/>
        <v>6.0296016443158254E-2</v>
      </c>
      <c r="AB58" s="43">
        <f t="shared" si="8"/>
        <v>0.27826423750816337</v>
      </c>
      <c r="AC58" s="19">
        <f t="shared" si="9"/>
        <v>2.1317357624918367</v>
      </c>
      <c r="AD58" s="19">
        <f t="shared" si="10"/>
        <v>237.55840680193197</v>
      </c>
      <c r="AH58">
        <v>55</v>
      </c>
      <c r="AI58" s="43">
        <f t="shared" si="11"/>
        <v>3.2379046304427762E-2</v>
      </c>
      <c r="AJ58" s="43">
        <f t="shared" si="12"/>
        <v>4.9978954495308051E-2</v>
      </c>
      <c r="AK58" s="43">
        <f t="shared" si="13"/>
        <v>8.235800079973582E-2</v>
      </c>
      <c r="AL58" s="19">
        <f t="shared" si="14"/>
        <v>2.3276419992002642</v>
      </c>
      <c r="AM58" s="19">
        <f t="shared" si="15"/>
        <v>259.3899931992139</v>
      </c>
    </row>
    <row r="59" spans="15:39" x14ac:dyDescent="0.2">
      <c r="O59" s="42">
        <v>56</v>
      </c>
      <c r="P59" s="43">
        <f t="shared" si="1"/>
        <v>7.2309246017571551</v>
      </c>
      <c r="Q59" s="43">
        <f t="shared" si="2"/>
        <v>8.0484820543996888E-2</v>
      </c>
      <c r="R59" s="43">
        <f t="shared" si="3"/>
        <v>7.3114094223011517</v>
      </c>
      <c r="S59" s="19">
        <f t="shared" si="4"/>
        <v>-4.9014094223011515</v>
      </c>
      <c r="T59" s="19">
        <f t="shared" si="5"/>
        <v>-556.13900013699788</v>
      </c>
      <c r="U59" s="19">
        <f t="shared" si="0"/>
        <v>273.27999999999975</v>
      </c>
      <c r="Y59" s="42">
        <v>56</v>
      </c>
      <c r="Z59" s="43">
        <f t="shared" si="6"/>
        <v>0.2259663938049111</v>
      </c>
      <c r="AA59" s="43">
        <f t="shared" si="7"/>
        <v>6.1392307651215672E-2</v>
      </c>
      <c r="AB59" s="43">
        <f t="shared" si="8"/>
        <v>0.28735870145612674</v>
      </c>
      <c r="AC59" s="19">
        <f t="shared" si="9"/>
        <v>2.1226412985438734</v>
      </c>
      <c r="AD59" s="19">
        <f t="shared" si="10"/>
        <v>240.84574613386735</v>
      </c>
      <c r="AH59" s="42">
        <v>56</v>
      </c>
      <c r="AI59" s="43">
        <f t="shared" si="11"/>
        <v>3.3567169987003459E-2</v>
      </c>
      <c r="AJ59" s="43">
        <f t="shared" si="12"/>
        <v>5.0887662758859108E-2</v>
      </c>
      <c r="AK59" s="43">
        <f t="shared" si="13"/>
        <v>8.4454832745862574E-2</v>
      </c>
      <c r="AL59" s="19">
        <f t="shared" si="14"/>
        <v>2.3255451672541376</v>
      </c>
      <c r="AM59" s="19">
        <f t="shared" si="15"/>
        <v>263.86825760883755</v>
      </c>
    </row>
    <row r="60" spans="15:39" x14ac:dyDescent="0.2">
      <c r="O60">
        <v>57</v>
      </c>
      <c r="P60" s="43">
        <f t="shared" si="1"/>
        <v>7.4914776884913898</v>
      </c>
      <c r="Q60" s="43">
        <f t="shared" si="2"/>
        <v>8.1922049482282544E-2</v>
      </c>
      <c r="R60" s="43">
        <f t="shared" si="3"/>
        <v>7.5733997379736726</v>
      </c>
      <c r="S60" s="19">
        <f t="shared" si="4"/>
        <v>-5.1633997379736725</v>
      </c>
      <c r="T60" s="19">
        <f t="shared" si="5"/>
        <v>-596.32765092152283</v>
      </c>
      <c r="U60" s="19">
        <f t="shared" si="0"/>
        <v>278.15999999999974</v>
      </c>
      <c r="Y60">
        <v>57</v>
      </c>
      <c r="Z60" s="43">
        <f t="shared" si="6"/>
        <v>0.23410867776535593</v>
      </c>
      <c r="AA60" s="43">
        <f t="shared" si="7"/>
        <v>6.2488598859273096E-2</v>
      </c>
      <c r="AB60" s="43">
        <f t="shared" si="8"/>
        <v>0.29659727662462904</v>
      </c>
      <c r="AC60" s="19">
        <f t="shared" si="9"/>
        <v>2.1134027233753709</v>
      </c>
      <c r="AD60" s="19">
        <f t="shared" si="10"/>
        <v>244.07958814673702</v>
      </c>
      <c r="AH60">
        <v>57</v>
      </c>
      <c r="AI60" s="43">
        <f t="shared" si="11"/>
        <v>3.4776701303499434E-2</v>
      </c>
      <c r="AJ60" s="43">
        <f t="shared" si="12"/>
        <v>5.1796371022410165E-2</v>
      </c>
      <c r="AK60" s="43">
        <f t="shared" si="13"/>
        <v>8.6573072325909606E-2</v>
      </c>
      <c r="AL60" s="19">
        <f t="shared" si="14"/>
        <v>2.3234269276740904</v>
      </c>
      <c r="AM60" s="19">
        <f t="shared" si="15"/>
        <v>268.33555257750328</v>
      </c>
    </row>
    <row r="61" spans="15:39" x14ac:dyDescent="0.2">
      <c r="O61" s="42">
        <v>58</v>
      </c>
      <c r="P61" s="43">
        <f t="shared" si="1"/>
        <v>7.7566423342828674</v>
      </c>
      <c r="Q61" s="43">
        <f t="shared" si="2"/>
        <v>8.33592784205682E-2</v>
      </c>
      <c r="R61" s="43">
        <f t="shared" si="3"/>
        <v>7.8400016127034355</v>
      </c>
      <c r="S61" s="19">
        <f t="shared" si="4"/>
        <v>-5.4300016127034354</v>
      </c>
      <c r="T61" s="19">
        <f t="shared" si="5"/>
        <v>-638.1199104168561</v>
      </c>
      <c r="U61" s="19">
        <f t="shared" si="0"/>
        <v>283.03999999999979</v>
      </c>
      <c r="Y61" s="42">
        <v>58</v>
      </c>
      <c r="Z61" s="43">
        <f t="shared" si="6"/>
        <v>0.24239507294633961</v>
      </c>
      <c r="AA61" s="43">
        <f t="shared" si="7"/>
        <v>6.3584890067330521E-2</v>
      </c>
      <c r="AB61" s="43">
        <f t="shared" si="8"/>
        <v>0.30597996301367014</v>
      </c>
      <c r="AC61" s="19">
        <f t="shared" si="9"/>
        <v>2.1040200369863298</v>
      </c>
      <c r="AD61" s="19">
        <f t="shared" si="10"/>
        <v>247.25905686214674</v>
      </c>
      <c r="AH61" s="42">
        <v>58</v>
      </c>
      <c r="AI61" s="43">
        <f t="shared" si="11"/>
        <v>3.6007640253915695E-2</v>
      </c>
      <c r="AJ61" s="43">
        <f t="shared" si="12"/>
        <v>5.2705079285961215E-2</v>
      </c>
      <c r="AK61" s="43">
        <f t="shared" si="13"/>
        <v>8.8712719539876916E-2</v>
      </c>
      <c r="AL61" s="19">
        <f t="shared" si="14"/>
        <v>2.3212872804601234</v>
      </c>
      <c r="AM61" s="19">
        <f t="shared" si="15"/>
        <v>272.79174797915516</v>
      </c>
    </row>
    <row r="62" spans="15:39" x14ac:dyDescent="0.2">
      <c r="O62">
        <v>59</v>
      </c>
      <c r="P62" s="43">
        <f t="shared" si="1"/>
        <v>8.026418539131587</v>
      </c>
      <c r="Q62" s="43">
        <f t="shared" si="2"/>
        <v>8.4796507358853856E-2</v>
      </c>
      <c r="R62" s="43">
        <f t="shared" si="3"/>
        <v>8.1112150464904413</v>
      </c>
      <c r="S62" s="19">
        <f t="shared" si="4"/>
        <v>-5.7012150464904412</v>
      </c>
      <c r="T62" s="19">
        <f t="shared" si="5"/>
        <v>-681.54380993161396</v>
      </c>
      <c r="U62" s="19">
        <f t="shared" si="0"/>
        <v>287.91999999999973</v>
      </c>
      <c r="Y62">
        <v>59</v>
      </c>
      <c r="Z62" s="43">
        <f t="shared" si="6"/>
        <v>0.25082557934786209</v>
      </c>
      <c r="AA62" s="43">
        <f t="shared" si="7"/>
        <v>6.4681181275387939E-2</v>
      </c>
      <c r="AB62" s="43">
        <f t="shared" si="8"/>
        <v>0.31550676062325</v>
      </c>
      <c r="AC62" s="19">
        <f t="shared" si="9"/>
        <v>2.0944932393767504</v>
      </c>
      <c r="AD62" s="19">
        <f t="shared" si="10"/>
        <v>250.38327630170227</v>
      </c>
      <c r="AH62">
        <v>59</v>
      </c>
      <c r="AI62" s="43">
        <f t="shared" si="11"/>
        <v>3.725998683825224E-2</v>
      </c>
      <c r="AJ62" s="43">
        <f t="shared" si="12"/>
        <v>5.3613787549512272E-2</v>
      </c>
      <c r="AK62" s="43">
        <f t="shared" si="13"/>
        <v>9.0873774387764505E-2</v>
      </c>
      <c r="AL62" s="19">
        <f t="shared" si="14"/>
        <v>2.3191262256122358</v>
      </c>
      <c r="AM62" s="19">
        <f t="shared" si="15"/>
        <v>277.23671368773671</v>
      </c>
    </row>
    <row r="63" spans="15:39" x14ac:dyDescent="0.2">
      <c r="O63" s="42">
        <v>60</v>
      </c>
      <c r="P63" s="43">
        <f t="shared" si="1"/>
        <v>8.3008063030375503</v>
      </c>
      <c r="Q63" s="43">
        <f t="shared" si="2"/>
        <v>8.6233736297139513E-2</v>
      </c>
      <c r="R63" s="43">
        <f t="shared" si="3"/>
        <v>8.3870400393346891</v>
      </c>
      <c r="S63" s="19">
        <f t="shared" si="4"/>
        <v>-5.977040039334689</v>
      </c>
      <c r="T63" s="19">
        <f t="shared" si="5"/>
        <v>-726.62738077441213</v>
      </c>
      <c r="U63" s="19">
        <f t="shared" si="0"/>
        <v>292.79999999999973</v>
      </c>
      <c r="Y63" s="42">
        <v>60</v>
      </c>
      <c r="Z63" s="43">
        <f t="shared" si="6"/>
        <v>0.25940019696992345</v>
      </c>
      <c r="AA63" s="43">
        <f t="shared" si="7"/>
        <v>6.5777472483445371E-2</v>
      </c>
      <c r="AB63" s="43">
        <f t="shared" si="8"/>
        <v>0.32517766945336879</v>
      </c>
      <c r="AC63" s="19">
        <f t="shared" si="9"/>
        <v>2.0848223305466314</v>
      </c>
      <c r="AD63" s="19">
        <f t="shared" si="10"/>
        <v>253.45137048700923</v>
      </c>
      <c r="AH63" s="42">
        <v>60</v>
      </c>
      <c r="AI63" s="43">
        <f t="shared" si="11"/>
        <v>3.8533741056509072E-2</v>
      </c>
      <c r="AJ63" s="43">
        <f t="shared" si="12"/>
        <v>5.4522495813063329E-2</v>
      </c>
      <c r="AK63" s="43">
        <f t="shared" si="13"/>
        <v>9.3056236869572401E-2</v>
      </c>
      <c r="AL63" s="19">
        <f t="shared" si="14"/>
        <v>2.3169437631304279</v>
      </c>
      <c r="AM63" s="19">
        <f t="shared" si="15"/>
        <v>281.67031957719178</v>
      </c>
    </row>
    <row r="64" spans="15:39" x14ac:dyDescent="0.2">
      <c r="O64">
        <v>61</v>
      </c>
      <c r="P64" s="43">
        <f t="shared" si="1"/>
        <v>8.5798056260007574</v>
      </c>
      <c r="Q64" s="43">
        <f t="shared" si="2"/>
        <v>8.7670965235425169E-2</v>
      </c>
      <c r="R64" s="43">
        <f t="shared" si="3"/>
        <v>8.6674765912361824</v>
      </c>
      <c r="S64" s="19">
        <f t="shared" si="4"/>
        <v>-6.2574765912361823</v>
      </c>
      <c r="T64" s="19">
        <f t="shared" si="5"/>
        <v>-773.39865425386722</v>
      </c>
      <c r="U64" s="19">
        <f t="shared" si="0"/>
        <v>297.67999999999972</v>
      </c>
      <c r="Y64">
        <v>61</v>
      </c>
      <c r="Z64" s="43">
        <f t="shared" si="6"/>
        <v>0.26811892581252367</v>
      </c>
      <c r="AA64" s="43">
        <f t="shared" si="7"/>
        <v>6.6873763691502788E-2</v>
      </c>
      <c r="AB64" s="43">
        <f t="shared" si="8"/>
        <v>0.33499268950402644</v>
      </c>
      <c r="AC64" s="19">
        <f t="shared" si="9"/>
        <v>2.0750073104959736</v>
      </c>
      <c r="AD64" s="19">
        <f t="shared" si="10"/>
        <v>256.46246343967363</v>
      </c>
      <c r="AH64">
        <v>61</v>
      </c>
      <c r="AI64" s="43">
        <f t="shared" si="11"/>
        <v>3.9828902908686181E-2</v>
      </c>
      <c r="AJ64" s="43">
        <f t="shared" si="12"/>
        <v>5.5431204076614386E-2</v>
      </c>
      <c r="AK64" s="43">
        <f t="shared" si="13"/>
        <v>9.5260106985300574E-2</v>
      </c>
      <c r="AL64" s="19">
        <f t="shared" si="14"/>
        <v>2.3147398930146994</v>
      </c>
      <c r="AM64" s="19">
        <f t="shared" si="15"/>
        <v>286.09243552146427</v>
      </c>
    </row>
    <row r="65" spans="15:39" x14ac:dyDescent="0.2">
      <c r="O65" s="42">
        <v>62</v>
      </c>
      <c r="P65" s="43">
        <f t="shared" si="1"/>
        <v>8.8634165080212064</v>
      </c>
      <c r="Q65" s="43">
        <f t="shared" si="2"/>
        <v>8.9108194173710839E-2</v>
      </c>
      <c r="R65" s="43">
        <f t="shared" si="3"/>
        <v>8.9525247021949177</v>
      </c>
      <c r="S65" s="19">
        <f t="shared" si="4"/>
        <v>-6.5425247021949176</v>
      </c>
      <c r="T65" s="19">
        <f t="shared" si="5"/>
        <v>-821.88566167859472</v>
      </c>
      <c r="U65" s="19">
        <f t="shared" si="0"/>
        <v>302.55999999999972</v>
      </c>
      <c r="Y65" s="42">
        <v>62</v>
      </c>
      <c r="Z65" s="43">
        <f t="shared" si="6"/>
        <v>0.2769817658756627</v>
      </c>
      <c r="AA65" s="43">
        <f t="shared" si="7"/>
        <v>6.7970054899560206E-2</v>
      </c>
      <c r="AB65" s="43">
        <f t="shared" si="8"/>
        <v>0.34495182077522291</v>
      </c>
      <c r="AC65" s="19">
        <f t="shared" si="9"/>
        <v>2.0650481792247772</v>
      </c>
      <c r="AD65" s="19">
        <f t="shared" si="10"/>
        <v>259.4156791813009</v>
      </c>
      <c r="AH65" s="42">
        <v>62</v>
      </c>
      <c r="AI65" s="43">
        <f t="shared" si="11"/>
        <v>4.1145472394783576E-2</v>
      </c>
      <c r="AJ65" s="43">
        <f t="shared" si="12"/>
        <v>5.6339912340165436E-2</v>
      </c>
      <c r="AK65" s="43">
        <f t="shared" si="13"/>
        <v>9.7485384734949013E-2</v>
      </c>
      <c r="AL65" s="19">
        <f t="shared" si="14"/>
        <v>2.3125146152650511</v>
      </c>
      <c r="AM65" s="19">
        <f t="shared" si="15"/>
        <v>290.50293139449781</v>
      </c>
    </row>
    <row r="66" spans="15:39" x14ac:dyDescent="0.2">
      <c r="O66">
        <v>63</v>
      </c>
      <c r="P66" s="43">
        <f t="shared" si="1"/>
        <v>9.1516389490988992</v>
      </c>
      <c r="Q66" s="43">
        <f t="shared" si="2"/>
        <v>9.0545423111996495E-2</v>
      </c>
      <c r="R66" s="43">
        <f t="shared" si="3"/>
        <v>9.2421843722108949</v>
      </c>
      <c r="S66" s="19">
        <f t="shared" si="4"/>
        <v>-6.8321843722108948</v>
      </c>
      <c r="T66" s="19">
        <f t="shared" si="5"/>
        <v>-872.11643435721021</v>
      </c>
      <c r="U66" s="19">
        <f t="shared" si="0"/>
        <v>307.43999999999977</v>
      </c>
      <c r="Y66">
        <v>63</v>
      </c>
      <c r="Z66" s="43">
        <f t="shared" si="6"/>
        <v>0.2859887171593406</v>
      </c>
      <c r="AA66" s="43">
        <f t="shared" si="7"/>
        <v>6.9066346107617638E-2</v>
      </c>
      <c r="AB66" s="43">
        <f t="shared" si="8"/>
        <v>0.35505506326695824</v>
      </c>
      <c r="AC66" s="19">
        <f t="shared" si="9"/>
        <v>2.0549449367330421</v>
      </c>
      <c r="AD66" s="19">
        <f t="shared" si="10"/>
        <v>262.31014173349712</v>
      </c>
      <c r="AH66">
        <v>63</v>
      </c>
      <c r="AI66" s="43">
        <f t="shared" si="11"/>
        <v>4.248344951480125E-2</v>
      </c>
      <c r="AJ66" s="43">
        <f t="shared" si="12"/>
        <v>5.7248620603716494E-2</v>
      </c>
      <c r="AK66" s="43">
        <f t="shared" si="13"/>
        <v>9.9732070118517743E-2</v>
      </c>
      <c r="AL66" s="19">
        <f t="shared" si="14"/>
        <v>2.3102679298814826</v>
      </c>
      <c r="AM66" s="19">
        <f t="shared" si="15"/>
        <v>294.90167707023625</v>
      </c>
    </row>
    <row r="67" spans="15:39" x14ac:dyDescent="0.2">
      <c r="O67" s="42">
        <v>64</v>
      </c>
      <c r="P67" s="43">
        <f t="shared" si="1"/>
        <v>9.4444729492338357</v>
      </c>
      <c r="Q67" s="43">
        <f t="shared" si="2"/>
        <v>9.1982652050282152E-2</v>
      </c>
      <c r="R67" s="43">
        <f t="shared" si="3"/>
        <v>9.5364556012841177</v>
      </c>
      <c r="S67" s="19">
        <f t="shared" si="4"/>
        <v>-7.1264556012841176</v>
      </c>
      <c r="T67" s="19">
        <f t="shared" si="5"/>
        <v>-924.11900359833055</v>
      </c>
      <c r="U67" s="19">
        <f t="shared" ref="U67:U94" si="16">(O67*0.8*(-137.53--143.63))</f>
        <v>312.31999999999971</v>
      </c>
      <c r="Y67" s="42">
        <v>64</v>
      </c>
      <c r="Z67" s="43">
        <f t="shared" si="6"/>
        <v>0.29513977966355737</v>
      </c>
      <c r="AA67" s="43">
        <f t="shared" si="7"/>
        <v>7.0162637315675055E-2</v>
      </c>
      <c r="AB67" s="43">
        <f t="shared" si="8"/>
        <v>0.36530241697923244</v>
      </c>
      <c r="AC67" s="19">
        <f t="shared" si="9"/>
        <v>2.0446975830207679</v>
      </c>
      <c r="AD67" s="19">
        <f t="shared" si="10"/>
        <v>265.14497511786777</v>
      </c>
      <c r="AH67" s="42">
        <v>64</v>
      </c>
      <c r="AI67" s="43">
        <f t="shared" si="11"/>
        <v>4.3842834268739209E-2</v>
      </c>
      <c r="AJ67" s="43">
        <f t="shared" si="12"/>
        <v>5.8157328867267551E-2</v>
      </c>
      <c r="AK67" s="43">
        <f t="shared" si="13"/>
        <v>0.10200016313600677</v>
      </c>
      <c r="AL67" s="19">
        <f t="shared" si="14"/>
        <v>2.3079998368639933</v>
      </c>
      <c r="AM67" s="19">
        <f t="shared" si="15"/>
        <v>299.28854242262327</v>
      </c>
    </row>
    <row r="68" spans="15:39" x14ac:dyDescent="0.2">
      <c r="O68">
        <v>65</v>
      </c>
      <c r="P68" s="43">
        <f t="shared" ref="P68:P94" si="17">(O68^2)*$L$3</f>
        <v>9.7419185084260143</v>
      </c>
      <c r="Q68" s="43">
        <f t="shared" ref="Q68:Q94" si="18">O68*$M$3</f>
        <v>9.3419880988567808E-2</v>
      </c>
      <c r="R68" s="43">
        <f t="shared" ref="R68:R94" si="19">P68+Q68</f>
        <v>9.8353383894145825</v>
      </c>
      <c r="S68" s="19">
        <f t="shared" ref="S68:S94" si="20">$K$3-R68</f>
        <v>-7.4253383894145824</v>
      </c>
      <c r="T68" s="19">
        <f t="shared" ref="T68:T94" si="21">O68*0.8*(S68/((424.48+365.19)/2))*1000</f>
        <v>-977.92140071057088</v>
      </c>
      <c r="U68" s="19">
        <f t="shared" si="16"/>
        <v>317.1999999999997</v>
      </c>
      <c r="Y68">
        <v>65</v>
      </c>
      <c r="Z68" s="43">
        <f t="shared" ref="Z68:Z131" si="22">(Y68^2)*$L$4</f>
        <v>0.30443495338831295</v>
      </c>
      <c r="AA68" s="43">
        <f t="shared" ref="AA68:AA131" si="23">Y68*$M$4</f>
        <v>7.1258928523732473E-2</v>
      </c>
      <c r="AB68" s="43">
        <f t="shared" ref="AB68:AB131" si="24">Z68+AA68</f>
        <v>0.37569388191204545</v>
      </c>
      <c r="AC68" s="19">
        <f t="shared" ref="AC68:AC131" si="25">$K$4-AB68</f>
        <v>2.0343061180879545</v>
      </c>
      <c r="AD68" s="19">
        <f t="shared" ref="AD68:AD131" si="26">Y68*0.8*(AC68/((424.48+365.19)/2))*1000</f>
        <v>267.91930335601864</v>
      </c>
      <c r="AH68">
        <v>65</v>
      </c>
      <c r="AI68" s="43">
        <f t="shared" ref="AI68:AI131" si="27">(AH68^2)*$L$5</f>
        <v>4.5223626656597453E-2</v>
      </c>
      <c r="AJ68" s="43">
        <f t="shared" ref="AJ68:AJ131" si="28">AH68*$M$5</f>
        <v>5.9066037130818608E-2</v>
      </c>
      <c r="AK68" s="43">
        <f t="shared" ref="AK68:AK131" si="29">AI68+AJ68</f>
        <v>0.10428966378741605</v>
      </c>
      <c r="AL68" s="19">
        <f t="shared" ref="AL68:AL131" si="30">$K$5-AK68</f>
        <v>2.3057103362125839</v>
      </c>
      <c r="AM68" s="19">
        <f t="shared" ref="AM68:AM131" si="31">AH68*0.8*(AL68/((424.48+365.19)/2))*1000</f>
        <v>303.66339732560277</v>
      </c>
    </row>
    <row r="69" spans="15:39" x14ac:dyDescent="0.2">
      <c r="O69" s="42">
        <v>66</v>
      </c>
      <c r="P69" s="43">
        <f t="shared" si="17"/>
        <v>10.043975626675437</v>
      </c>
      <c r="Q69" s="43">
        <f t="shared" si="18"/>
        <v>9.4857109926853464E-2</v>
      </c>
      <c r="R69" s="43">
        <f t="shared" si="19"/>
        <v>10.138832736602289</v>
      </c>
      <c r="S69" s="19">
        <f t="shared" si="20"/>
        <v>-7.7288327366022891</v>
      </c>
      <c r="T69" s="19">
        <f t="shared" si="21"/>
        <v>-1033.5516570025475</v>
      </c>
      <c r="U69" s="19">
        <f t="shared" si="16"/>
        <v>322.0799999999997</v>
      </c>
      <c r="Y69" s="42">
        <v>66</v>
      </c>
      <c r="Z69" s="43">
        <f t="shared" si="22"/>
        <v>0.31387423833360739</v>
      </c>
      <c r="AA69" s="43">
        <f t="shared" si="23"/>
        <v>7.2355219731789905E-2</v>
      </c>
      <c r="AB69" s="43">
        <f t="shared" si="24"/>
        <v>0.38622945806539732</v>
      </c>
      <c r="AC69" s="19">
        <f t="shared" si="25"/>
        <v>2.0237705419346028</v>
      </c>
      <c r="AD69" s="19">
        <f t="shared" si="26"/>
        <v>270.63225046955574</v>
      </c>
      <c r="AH69" s="42">
        <v>66</v>
      </c>
      <c r="AI69" s="43">
        <f t="shared" si="27"/>
        <v>4.6625826678375976E-2</v>
      </c>
      <c r="AJ69" s="43">
        <f t="shared" si="28"/>
        <v>5.9974745394369665E-2</v>
      </c>
      <c r="AK69" s="43">
        <f t="shared" si="29"/>
        <v>0.10660057207274565</v>
      </c>
      <c r="AL69" s="19">
        <f t="shared" si="30"/>
        <v>2.3033994279272543</v>
      </c>
      <c r="AM69" s="19">
        <f t="shared" si="31"/>
        <v>308.02611165311845</v>
      </c>
    </row>
    <row r="70" spans="15:39" x14ac:dyDescent="0.2">
      <c r="O70">
        <v>67</v>
      </c>
      <c r="P70" s="43">
        <f t="shared" si="17"/>
        <v>10.350644303982103</v>
      </c>
      <c r="Q70" s="43">
        <f t="shared" si="18"/>
        <v>9.6294338865139134E-2</v>
      </c>
      <c r="R70" s="43">
        <f t="shared" si="19"/>
        <v>10.446938642847241</v>
      </c>
      <c r="S70" s="19">
        <f t="shared" si="20"/>
        <v>-8.0369386428472414</v>
      </c>
      <c r="T70" s="19">
        <f t="shared" si="21"/>
        <v>-1091.0378037828768</v>
      </c>
      <c r="U70" s="19">
        <f t="shared" si="16"/>
        <v>326.9599999999997</v>
      </c>
      <c r="Y70">
        <v>67</v>
      </c>
      <c r="Z70" s="43">
        <f t="shared" si="22"/>
        <v>0.3234576344994407</v>
      </c>
      <c r="AA70" s="43">
        <f t="shared" si="23"/>
        <v>7.3451510939847323E-2</v>
      </c>
      <c r="AB70" s="43">
        <f t="shared" si="24"/>
        <v>0.39690914543928801</v>
      </c>
      <c r="AC70" s="19">
        <f t="shared" si="25"/>
        <v>2.013090854560712</v>
      </c>
      <c r="AD70" s="19">
        <f t="shared" si="26"/>
        <v>273.28294048008451</v>
      </c>
      <c r="AH70">
        <v>67</v>
      </c>
      <c r="AI70" s="43">
        <f t="shared" si="27"/>
        <v>4.8049434334074784E-2</v>
      </c>
      <c r="AJ70" s="43">
        <f t="shared" si="28"/>
        <v>6.0883453657920715E-2</v>
      </c>
      <c r="AK70" s="43">
        <f t="shared" si="29"/>
        <v>0.10893288799199549</v>
      </c>
      <c r="AL70" s="19">
        <f t="shared" si="30"/>
        <v>2.3010671120080048</v>
      </c>
      <c r="AM70" s="19">
        <f t="shared" si="31"/>
        <v>312.3765552791142</v>
      </c>
    </row>
    <row r="71" spans="15:39" x14ac:dyDescent="0.2">
      <c r="O71" s="42">
        <v>68</v>
      </c>
      <c r="P71" s="43">
        <f t="shared" si="17"/>
        <v>10.661924540346011</v>
      </c>
      <c r="Q71" s="43">
        <f t="shared" si="18"/>
        <v>9.773156780342479E-2</v>
      </c>
      <c r="R71" s="43">
        <f t="shared" si="19"/>
        <v>10.759656108149436</v>
      </c>
      <c r="S71" s="19">
        <f t="shared" si="20"/>
        <v>-8.3496561081494356</v>
      </c>
      <c r="T71" s="19">
        <f t="shared" si="21"/>
        <v>-1150.4078723601738</v>
      </c>
      <c r="U71" s="19">
        <f t="shared" si="16"/>
        <v>331.83999999999975</v>
      </c>
      <c r="Y71" s="42">
        <v>68</v>
      </c>
      <c r="Z71" s="43">
        <f t="shared" si="22"/>
        <v>0.33318514188581283</v>
      </c>
      <c r="AA71" s="43">
        <f t="shared" si="23"/>
        <v>7.454780214790474E-2</v>
      </c>
      <c r="AB71" s="43">
        <f t="shared" si="24"/>
        <v>0.40773294403371757</v>
      </c>
      <c r="AC71" s="19">
        <f t="shared" si="25"/>
        <v>2.0022670559662825</v>
      </c>
      <c r="AD71" s="19">
        <f t="shared" si="26"/>
        <v>275.87049740921083</v>
      </c>
      <c r="AH71" s="42">
        <v>68</v>
      </c>
      <c r="AI71" s="43">
        <f t="shared" si="27"/>
        <v>4.949444962369387E-2</v>
      </c>
      <c r="AJ71" s="43">
        <f t="shared" si="28"/>
        <v>6.1792161921471772E-2</v>
      </c>
      <c r="AK71" s="43">
        <f t="shared" si="29"/>
        <v>0.11128661154516564</v>
      </c>
      <c r="AL71" s="19">
        <f t="shared" si="30"/>
        <v>2.2987133884548343</v>
      </c>
      <c r="AM71" s="19">
        <f t="shared" si="31"/>
        <v>316.71459807753365</v>
      </c>
    </row>
    <row r="72" spans="15:39" x14ac:dyDescent="0.2">
      <c r="O72">
        <v>69</v>
      </c>
      <c r="P72" s="43">
        <f t="shared" si="17"/>
        <v>10.977816335767161</v>
      </c>
      <c r="Q72" s="43">
        <f t="shared" si="18"/>
        <v>9.9168796741710447E-2</v>
      </c>
      <c r="R72" s="43">
        <f t="shared" si="19"/>
        <v>11.07698513250887</v>
      </c>
      <c r="S72" s="19">
        <f t="shared" si="20"/>
        <v>-8.66698513250887</v>
      </c>
      <c r="T72" s="19">
        <f t="shared" si="21"/>
        <v>-1211.6898940430549</v>
      </c>
      <c r="U72" s="19">
        <f t="shared" si="16"/>
        <v>336.71999999999969</v>
      </c>
      <c r="Y72">
        <v>69</v>
      </c>
      <c r="Z72" s="43">
        <f t="shared" si="22"/>
        <v>0.34305676049272377</v>
      </c>
      <c r="AA72" s="43">
        <f t="shared" si="23"/>
        <v>7.5644093355962172E-2</v>
      </c>
      <c r="AB72" s="43">
        <f t="shared" si="24"/>
        <v>0.41870085384868594</v>
      </c>
      <c r="AC72" s="19">
        <f t="shared" si="25"/>
        <v>1.9912991461513143</v>
      </c>
      <c r="AD72" s="19">
        <f t="shared" si="26"/>
        <v>278.39404527854049</v>
      </c>
      <c r="AH72">
        <v>69</v>
      </c>
      <c r="AI72" s="43">
        <f t="shared" si="27"/>
        <v>5.0960872547233242E-2</v>
      </c>
      <c r="AJ72" s="43">
        <f t="shared" si="28"/>
        <v>6.2700870185022822E-2</v>
      </c>
      <c r="AK72" s="43">
        <f t="shared" si="29"/>
        <v>0.11366174273225607</v>
      </c>
      <c r="AL72" s="19">
        <f t="shared" si="30"/>
        <v>2.296338257267744</v>
      </c>
      <c r="AM72" s="19">
        <f t="shared" si="31"/>
        <v>321.04010992232065</v>
      </c>
    </row>
    <row r="73" spans="15:39" x14ac:dyDescent="0.2">
      <c r="O73" s="42">
        <v>70</v>
      </c>
      <c r="P73" s="43">
        <f t="shared" si="17"/>
        <v>11.298319690245556</v>
      </c>
      <c r="Q73" s="43">
        <f t="shared" si="18"/>
        <v>0.1006060256799961</v>
      </c>
      <c r="R73" s="43">
        <f t="shared" si="19"/>
        <v>11.398925715925552</v>
      </c>
      <c r="S73" s="19">
        <f t="shared" si="20"/>
        <v>-8.9889257159255518</v>
      </c>
      <c r="T73" s="19">
        <f t="shared" si="21"/>
        <v>-1274.9119001401366</v>
      </c>
      <c r="U73" s="19">
        <f t="shared" si="16"/>
        <v>341.59999999999968</v>
      </c>
      <c r="Y73" s="42">
        <v>70</v>
      </c>
      <c r="Z73" s="43">
        <f t="shared" si="22"/>
        <v>0.35307249032017363</v>
      </c>
      <c r="AA73" s="43">
        <f t="shared" si="23"/>
        <v>7.674038456401959E-2</v>
      </c>
      <c r="AB73" s="43">
        <f t="shared" si="24"/>
        <v>0.42981287488419323</v>
      </c>
      <c r="AC73" s="19">
        <f t="shared" si="25"/>
        <v>1.980187125115807</v>
      </c>
      <c r="AD73" s="19">
        <f t="shared" si="26"/>
        <v>280.85270810967921</v>
      </c>
      <c r="AH73" s="42">
        <v>70</v>
      </c>
      <c r="AI73" s="43">
        <f t="shared" si="27"/>
        <v>5.2448703104692899E-2</v>
      </c>
      <c r="AJ73" s="43">
        <f t="shared" si="28"/>
        <v>6.3609578448573886E-2</v>
      </c>
      <c r="AK73" s="43">
        <f t="shared" si="29"/>
        <v>0.11605828155326678</v>
      </c>
      <c r="AL73" s="19">
        <f t="shared" si="30"/>
        <v>2.2939417184467334</v>
      </c>
      <c r="AM73" s="19">
        <f t="shared" si="31"/>
        <v>325.35296068741894</v>
      </c>
    </row>
    <row r="74" spans="15:39" x14ac:dyDescent="0.2">
      <c r="O74">
        <v>71</v>
      </c>
      <c r="P74" s="43">
        <f t="shared" si="17"/>
        <v>11.623434603781194</v>
      </c>
      <c r="Q74" s="43">
        <f t="shared" si="18"/>
        <v>0.10204325461828176</v>
      </c>
      <c r="R74" s="43">
        <f t="shared" si="19"/>
        <v>11.725477858399476</v>
      </c>
      <c r="S74" s="19">
        <f t="shared" si="20"/>
        <v>-9.3154778583994755</v>
      </c>
      <c r="T74" s="19">
        <f t="shared" si="21"/>
        <v>-1340.1019219600346</v>
      </c>
      <c r="U74" s="19">
        <f t="shared" si="16"/>
        <v>346.47999999999968</v>
      </c>
      <c r="Y74">
        <v>71</v>
      </c>
      <c r="Z74" s="43">
        <f t="shared" si="22"/>
        <v>0.3632323313681623</v>
      </c>
      <c r="AA74" s="43">
        <f t="shared" si="23"/>
        <v>7.7836675772077021E-2</v>
      </c>
      <c r="AB74" s="43">
        <f t="shared" si="24"/>
        <v>0.44106900714023933</v>
      </c>
      <c r="AC74" s="19">
        <f t="shared" si="25"/>
        <v>1.9689309928597609</v>
      </c>
      <c r="AD74" s="19">
        <f t="shared" si="26"/>
        <v>283.24560992423272</v>
      </c>
      <c r="AH74">
        <v>71</v>
      </c>
      <c r="AI74" s="43">
        <f t="shared" si="27"/>
        <v>5.3957941296072842E-2</v>
      </c>
      <c r="AJ74" s="43">
        <f t="shared" si="28"/>
        <v>6.4518286712124936E-2</v>
      </c>
      <c r="AK74" s="43">
        <f t="shared" si="29"/>
        <v>0.11847622800819778</v>
      </c>
      <c r="AL74" s="19">
        <f t="shared" si="30"/>
        <v>2.2915237719918022</v>
      </c>
      <c r="AM74" s="19">
        <f t="shared" si="31"/>
        <v>329.65302024677237</v>
      </c>
    </row>
    <row r="75" spans="15:39" x14ac:dyDescent="0.2">
      <c r="O75" s="42">
        <v>72</v>
      </c>
      <c r="P75" s="43">
        <f t="shared" si="17"/>
        <v>11.953161076374073</v>
      </c>
      <c r="Q75" s="43">
        <f t="shared" si="18"/>
        <v>0.10348048355656742</v>
      </c>
      <c r="R75" s="43">
        <f t="shared" si="19"/>
        <v>12.05664155993064</v>
      </c>
      <c r="S75" s="19">
        <f t="shared" si="20"/>
        <v>-9.6466415599306394</v>
      </c>
      <c r="T75" s="19">
        <f t="shared" si="21"/>
        <v>-1407.2879908113639</v>
      </c>
      <c r="U75" s="19">
        <f t="shared" si="16"/>
        <v>351.35999999999967</v>
      </c>
      <c r="Y75" s="42">
        <v>72</v>
      </c>
      <c r="Z75" s="43">
        <f t="shared" si="22"/>
        <v>0.37353628363668978</v>
      </c>
      <c r="AA75" s="43">
        <f t="shared" si="23"/>
        <v>7.8932966980134439E-2</v>
      </c>
      <c r="AB75" s="43">
        <f t="shared" si="24"/>
        <v>0.45246925061682419</v>
      </c>
      <c r="AC75" s="19">
        <f t="shared" si="25"/>
        <v>1.9575307493831759</v>
      </c>
      <c r="AD75" s="19">
        <f t="shared" si="26"/>
        <v>285.57187474380675</v>
      </c>
      <c r="AH75" s="42">
        <v>72</v>
      </c>
      <c r="AI75" s="43">
        <f t="shared" si="27"/>
        <v>5.5488587121373063E-2</v>
      </c>
      <c r="AJ75" s="43">
        <f t="shared" si="28"/>
        <v>6.5426994975676001E-2</v>
      </c>
      <c r="AK75" s="43">
        <f t="shared" si="29"/>
        <v>0.12091558209704906</v>
      </c>
      <c r="AL75" s="19">
        <f t="shared" si="30"/>
        <v>2.2890844179029513</v>
      </c>
      <c r="AM75" s="19">
        <f t="shared" si="31"/>
        <v>333.94015847432468</v>
      </c>
    </row>
    <row r="76" spans="15:39" x14ac:dyDescent="0.2">
      <c r="O76">
        <v>73</v>
      </c>
      <c r="P76" s="43">
        <f t="shared" si="17"/>
        <v>12.287499108024196</v>
      </c>
      <c r="Q76" s="43">
        <f t="shared" si="18"/>
        <v>0.10491771249485309</v>
      </c>
      <c r="R76" s="43">
        <f t="shared" si="19"/>
        <v>12.392416820519049</v>
      </c>
      <c r="S76" s="19">
        <f t="shared" si="20"/>
        <v>-9.9824168205190489</v>
      </c>
      <c r="T76" s="19">
        <f t="shared" si="21"/>
        <v>-1476.4981380027416</v>
      </c>
      <c r="U76" s="19">
        <f t="shared" si="16"/>
        <v>356.23999999999972</v>
      </c>
      <c r="Y76">
        <v>73</v>
      </c>
      <c r="Z76" s="43">
        <f t="shared" si="22"/>
        <v>0.38398434712575613</v>
      </c>
      <c r="AA76" s="43">
        <f t="shared" si="23"/>
        <v>8.0029258188191857E-2</v>
      </c>
      <c r="AB76" s="43">
        <f t="shared" si="24"/>
        <v>0.46401360531394797</v>
      </c>
      <c r="AC76" s="19">
        <f t="shared" si="25"/>
        <v>1.9459863946860523</v>
      </c>
      <c r="AD76" s="19">
        <f t="shared" si="26"/>
        <v>287.83062659000711</v>
      </c>
      <c r="AH76">
        <v>73</v>
      </c>
      <c r="AI76" s="43">
        <f t="shared" si="27"/>
        <v>5.7040640580593563E-2</v>
      </c>
      <c r="AJ76" s="43">
        <f t="shared" si="28"/>
        <v>6.6335703239227051E-2</v>
      </c>
      <c r="AK76" s="43">
        <f t="shared" si="29"/>
        <v>0.12337634381982061</v>
      </c>
      <c r="AL76" s="19">
        <f t="shared" si="30"/>
        <v>2.2866236561801796</v>
      </c>
      <c r="AM76" s="19">
        <f t="shared" si="31"/>
        <v>338.21424524401959</v>
      </c>
    </row>
    <row r="77" spans="15:39" x14ac:dyDescent="0.2">
      <c r="O77" s="42">
        <v>74</v>
      </c>
      <c r="P77" s="43">
        <f t="shared" si="17"/>
        <v>12.626448698731563</v>
      </c>
      <c r="Q77" s="43">
        <f t="shared" si="18"/>
        <v>0.10635494143313874</v>
      </c>
      <c r="R77" s="43">
        <f t="shared" si="19"/>
        <v>12.732803640164702</v>
      </c>
      <c r="S77" s="19">
        <f t="shared" si="20"/>
        <v>-10.322803640164702</v>
      </c>
      <c r="T77" s="19">
        <f t="shared" si="21"/>
        <v>-1547.7603948427832</v>
      </c>
      <c r="U77" s="19">
        <f t="shared" si="16"/>
        <v>361.11999999999966</v>
      </c>
      <c r="Y77" s="42">
        <v>74</v>
      </c>
      <c r="Z77" s="43">
        <f t="shared" si="22"/>
        <v>0.39457652183536135</v>
      </c>
      <c r="AA77" s="43">
        <f t="shared" si="23"/>
        <v>8.1125549396249289E-2</v>
      </c>
      <c r="AB77" s="43">
        <f t="shared" si="24"/>
        <v>0.47570207123161062</v>
      </c>
      <c r="AC77" s="19">
        <f t="shared" si="25"/>
        <v>1.9342979287683895</v>
      </c>
      <c r="AD77" s="19">
        <f t="shared" si="26"/>
        <v>290.02098948443944</v>
      </c>
      <c r="AH77" s="42">
        <v>74</v>
      </c>
      <c r="AI77" s="43">
        <f t="shared" si="27"/>
        <v>5.8614101673734355E-2</v>
      </c>
      <c r="AJ77" s="43">
        <f t="shared" si="28"/>
        <v>6.7244411502778101E-2</v>
      </c>
      <c r="AK77" s="43">
        <f t="shared" si="29"/>
        <v>0.12585851317651245</v>
      </c>
      <c r="AL77" s="19">
        <f t="shared" si="30"/>
        <v>2.2841414868234877</v>
      </c>
      <c r="AM77" s="19">
        <f t="shared" si="31"/>
        <v>342.47515042980098</v>
      </c>
    </row>
    <row r="78" spans="15:39" x14ac:dyDescent="0.2">
      <c r="O78">
        <v>75</v>
      </c>
      <c r="P78" s="43">
        <f t="shared" si="17"/>
        <v>12.970009848496174</v>
      </c>
      <c r="Q78" s="43">
        <f t="shared" si="18"/>
        <v>0.1077921703714244</v>
      </c>
      <c r="R78" s="43">
        <f t="shared" si="19"/>
        <v>13.077802018867597</v>
      </c>
      <c r="S78" s="19">
        <f t="shared" si="20"/>
        <v>-10.667802018867597</v>
      </c>
      <c r="T78" s="19">
        <f t="shared" si="21"/>
        <v>-1621.1027926401048</v>
      </c>
      <c r="U78" s="19">
        <f t="shared" si="16"/>
        <v>365.99999999999966</v>
      </c>
      <c r="Y78">
        <v>75</v>
      </c>
      <c r="Z78" s="43">
        <f t="shared" si="22"/>
        <v>0.40531280776550543</v>
      </c>
      <c r="AA78" s="43">
        <f t="shared" si="23"/>
        <v>8.2221840604306706E-2</v>
      </c>
      <c r="AB78" s="43">
        <f t="shared" si="24"/>
        <v>0.48753464836981214</v>
      </c>
      <c r="AC78" s="19">
        <f t="shared" si="25"/>
        <v>1.9224653516301879</v>
      </c>
      <c r="AD78" s="19">
        <f t="shared" si="26"/>
        <v>292.14208744870962</v>
      </c>
      <c r="AH78">
        <v>75</v>
      </c>
      <c r="AI78" s="43">
        <f t="shared" si="27"/>
        <v>6.0208970400795425E-2</v>
      </c>
      <c r="AJ78" s="43">
        <f t="shared" si="28"/>
        <v>6.8153119766329165E-2</v>
      </c>
      <c r="AK78" s="43">
        <f t="shared" si="29"/>
        <v>0.12836209016712458</v>
      </c>
      <c r="AL78" s="19">
        <f t="shared" si="30"/>
        <v>2.2816379098328756</v>
      </c>
      <c r="AM78" s="19">
        <f t="shared" si="31"/>
        <v>346.7227439056125</v>
      </c>
    </row>
    <row r="79" spans="15:39" x14ac:dyDescent="0.2">
      <c r="O79" s="42">
        <v>76</v>
      </c>
      <c r="P79" s="43">
        <f t="shared" si="17"/>
        <v>13.318182557318027</v>
      </c>
      <c r="Q79" s="43">
        <f t="shared" si="18"/>
        <v>0.10922939930971005</v>
      </c>
      <c r="R79" s="43">
        <f t="shared" si="19"/>
        <v>13.427411956627736</v>
      </c>
      <c r="S79" s="19">
        <f t="shared" si="20"/>
        <v>-11.017411956627736</v>
      </c>
      <c r="T79" s="19">
        <f t="shared" si="21"/>
        <v>-1696.5533627033224</v>
      </c>
      <c r="U79" s="19">
        <f t="shared" si="16"/>
        <v>370.87999999999965</v>
      </c>
      <c r="Y79" s="42">
        <v>76</v>
      </c>
      <c r="Z79" s="43">
        <f t="shared" si="22"/>
        <v>0.41619320491618833</v>
      </c>
      <c r="AA79" s="43">
        <f t="shared" si="23"/>
        <v>8.3318131812364124E-2</v>
      </c>
      <c r="AB79" s="43">
        <f t="shared" si="24"/>
        <v>0.49951133672855247</v>
      </c>
      <c r="AC79" s="19">
        <f t="shared" si="25"/>
        <v>1.9104886632714477</v>
      </c>
      <c r="AD79" s="19">
        <f t="shared" si="26"/>
        <v>294.19304450442343</v>
      </c>
      <c r="AH79" s="42">
        <v>76</v>
      </c>
      <c r="AI79" s="43">
        <f t="shared" si="27"/>
        <v>6.1825246761776774E-2</v>
      </c>
      <c r="AJ79" s="43">
        <f t="shared" si="28"/>
        <v>6.9061828029880215E-2</v>
      </c>
      <c r="AK79" s="43">
        <f t="shared" si="29"/>
        <v>0.13088707479165698</v>
      </c>
      <c r="AL79" s="19">
        <f t="shared" si="30"/>
        <v>2.2791129252083433</v>
      </c>
      <c r="AM79" s="19">
        <f t="shared" si="31"/>
        <v>350.95689554539814</v>
      </c>
    </row>
    <row r="80" spans="15:39" x14ac:dyDescent="0.2">
      <c r="O80">
        <v>77</v>
      </c>
      <c r="P80" s="43">
        <f t="shared" si="17"/>
        <v>13.670966825197121</v>
      </c>
      <c r="Q80" s="43">
        <f t="shared" si="18"/>
        <v>0.11066662824799571</v>
      </c>
      <c r="R80" s="43">
        <f t="shared" si="19"/>
        <v>13.781633453445117</v>
      </c>
      <c r="S80" s="19">
        <f t="shared" si="20"/>
        <v>-11.371633453445117</v>
      </c>
      <c r="T80" s="19">
        <f t="shared" si="21"/>
        <v>-1774.1401363410519</v>
      </c>
      <c r="U80" s="19">
        <f t="shared" si="16"/>
        <v>375.75999999999965</v>
      </c>
      <c r="Y80">
        <v>77</v>
      </c>
      <c r="Z80" s="43">
        <f t="shared" si="22"/>
        <v>0.42721771328741004</v>
      </c>
      <c r="AA80" s="43">
        <f t="shared" si="23"/>
        <v>8.4414423020421556E-2</v>
      </c>
      <c r="AB80" s="43">
        <f t="shared" si="24"/>
        <v>0.51163213630783155</v>
      </c>
      <c r="AC80" s="19">
        <f t="shared" si="25"/>
        <v>1.8983678636921686</v>
      </c>
      <c r="AD80" s="19">
        <f t="shared" si="26"/>
        <v>296.17298467318648</v>
      </c>
      <c r="AH80">
        <v>77</v>
      </c>
      <c r="AI80" s="43">
        <f t="shared" si="27"/>
        <v>6.3462930756678415E-2</v>
      </c>
      <c r="AJ80" s="43">
        <f t="shared" si="28"/>
        <v>6.9970536293431265E-2</v>
      </c>
      <c r="AK80" s="43">
        <f t="shared" si="29"/>
        <v>0.13343346705010967</v>
      </c>
      <c r="AL80" s="19">
        <f t="shared" si="30"/>
        <v>2.2765665329498903</v>
      </c>
      <c r="AM80" s="19">
        <f t="shared" si="31"/>
        <v>355.1774752231014</v>
      </c>
    </row>
    <row r="81" spans="15:39" x14ac:dyDescent="0.2">
      <c r="O81" s="42">
        <v>78</v>
      </c>
      <c r="P81" s="43">
        <f t="shared" si="17"/>
        <v>14.028362652133461</v>
      </c>
      <c r="Q81" s="43">
        <f t="shared" si="18"/>
        <v>0.11210385718628137</v>
      </c>
      <c r="R81" s="43">
        <f t="shared" si="19"/>
        <v>14.140466509319744</v>
      </c>
      <c r="S81" s="19">
        <f t="shared" si="20"/>
        <v>-11.730466509319744</v>
      </c>
      <c r="T81" s="19">
        <f t="shared" si="21"/>
        <v>-1853.8911448619094</v>
      </c>
      <c r="U81" s="19">
        <f t="shared" si="16"/>
        <v>380.6399999999997</v>
      </c>
      <c r="Y81" s="42">
        <v>78</v>
      </c>
      <c r="Z81" s="43">
        <f t="shared" si="22"/>
        <v>0.43838633287917067</v>
      </c>
      <c r="AA81" s="43">
        <f t="shared" si="23"/>
        <v>8.5510714228478973E-2</v>
      </c>
      <c r="AB81" s="43">
        <f t="shared" si="24"/>
        <v>0.52389704710764962</v>
      </c>
      <c r="AC81" s="19">
        <f t="shared" si="25"/>
        <v>1.8861029528923505</v>
      </c>
      <c r="AD81" s="19">
        <f t="shared" si="26"/>
        <v>298.08103197660455</v>
      </c>
      <c r="AH81" s="42">
        <v>78</v>
      </c>
      <c r="AI81" s="43">
        <f t="shared" si="27"/>
        <v>6.5122022385500328E-2</v>
      </c>
      <c r="AJ81" s="43">
        <f t="shared" si="28"/>
        <v>7.0879244556982329E-2</v>
      </c>
      <c r="AK81" s="43">
        <f t="shared" si="29"/>
        <v>0.13600126694248266</v>
      </c>
      <c r="AL81" s="19">
        <f t="shared" si="30"/>
        <v>2.2739987330575175</v>
      </c>
      <c r="AM81" s="19">
        <f t="shared" si="31"/>
        <v>359.38435281266629</v>
      </c>
    </row>
    <row r="82" spans="15:39" x14ac:dyDescent="0.2">
      <c r="O82">
        <v>79</v>
      </c>
      <c r="P82" s="43">
        <f t="shared" si="17"/>
        <v>14.390370038127044</v>
      </c>
      <c r="Q82" s="43">
        <f t="shared" si="18"/>
        <v>0.11354108612456704</v>
      </c>
      <c r="R82" s="43">
        <f t="shared" si="19"/>
        <v>14.50391112425161</v>
      </c>
      <c r="S82" s="19">
        <f t="shared" si="20"/>
        <v>-12.09391112425161</v>
      </c>
      <c r="T82" s="19">
        <f t="shared" si="21"/>
        <v>-1935.8344195745101</v>
      </c>
      <c r="U82" s="19">
        <f t="shared" si="16"/>
        <v>385.51999999999964</v>
      </c>
      <c r="Y82">
        <v>79</v>
      </c>
      <c r="Z82" s="43">
        <f t="shared" si="22"/>
        <v>0.44969906369147011</v>
      </c>
      <c r="AA82" s="43">
        <f t="shared" si="23"/>
        <v>8.6607005436536391E-2</v>
      </c>
      <c r="AB82" s="43">
        <f t="shared" si="24"/>
        <v>0.53630606912800649</v>
      </c>
      <c r="AC82" s="19">
        <f t="shared" si="25"/>
        <v>1.8736939308719935</v>
      </c>
      <c r="AD82" s="19">
        <f t="shared" si="26"/>
        <v>299.91631043628348</v>
      </c>
      <c r="AH82">
        <v>79</v>
      </c>
      <c r="AI82" s="43">
        <f t="shared" si="27"/>
        <v>6.6802521648242533E-2</v>
      </c>
      <c r="AJ82" s="43">
        <f t="shared" si="28"/>
        <v>7.1787952820533379E-2</v>
      </c>
      <c r="AK82" s="43">
        <f t="shared" si="29"/>
        <v>0.13859047446877593</v>
      </c>
      <c r="AL82" s="19">
        <f t="shared" si="30"/>
        <v>2.2714095255312241</v>
      </c>
      <c r="AM82" s="19">
        <f t="shared" si="31"/>
        <v>363.5773981880364</v>
      </c>
    </row>
    <row r="83" spans="15:39" x14ac:dyDescent="0.2">
      <c r="O83" s="42">
        <v>80</v>
      </c>
      <c r="P83" s="43">
        <f t="shared" si="17"/>
        <v>14.756988983177868</v>
      </c>
      <c r="Q83" s="43">
        <f t="shared" si="18"/>
        <v>0.11497831506285269</v>
      </c>
      <c r="R83" s="43">
        <f t="shared" si="19"/>
        <v>14.871967298240721</v>
      </c>
      <c r="S83" s="19">
        <f t="shared" si="20"/>
        <v>-12.461967298240721</v>
      </c>
      <c r="T83" s="19">
        <f t="shared" si="21"/>
        <v>-2019.9979917874709</v>
      </c>
      <c r="U83" s="19">
        <f t="shared" si="16"/>
        <v>390.39999999999964</v>
      </c>
      <c r="Y83" s="42">
        <v>80</v>
      </c>
      <c r="Z83" s="43">
        <f t="shared" si="22"/>
        <v>0.46115590572430837</v>
      </c>
      <c r="AA83" s="43">
        <f t="shared" si="23"/>
        <v>8.7703296644593823E-2</v>
      </c>
      <c r="AB83" s="43">
        <f t="shared" si="24"/>
        <v>0.54885920236890218</v>
      </c>
      <c r="AC83" s="19">
        <f t="shared" si="25"/>
        <v>1.8611407976310979</v>
      </c>
      <c r="AD83" s="19">
        <f t="shared" si="26"/>
        <v>301.67794407382894</v>
      </c>
      <c r="AH83" s="42">
        <v>80</v>
      </c>
      <c r="AI83" s="43">
        <f t="shared" si="27"/>
        <v>6.8504428544905016E-2</v>
      </c>
      <c r="AJ83" s="43">
        <f t="shared" si="28"/>
        <v>7.2696661084084443E-2</v>
      </c>
      <c r="AK83" s="43">
        <f t="shared" si="29"/>
        <v>0.14120108962898947</v>
      </c>
      <c r="AL83" s="19">
        <f t="shared" si="30"/>
        <v>2.2687989103710109</v>
      </c>
      <c r="AM83" s="19">
        <f t="shared" si="31"/>
        <v>367.75648122315567</v>
      </c>
    </row>
    <row r="84" spans="15:39" x14ac:dyDescent="0.2">
      <c r="O84">
        <v>81</v>
      </c>
      <c r="P84" s="43">
        <f t="shared" si="17"/>
        <v>15.128219487285937</v>
      </c>
      <c r="Q84" s="43">
        <f t="shared" si="18"/>
        <v>0.11641554400113835</v>
      </c>
      <c r="R84" s="43">
        <f t="shared" si="19"/>
        <v>15.244635031287077</v>
      </c>
      <c r="S84" s="19">
        <f t="shared" si="20"/>
        <v>-12.834635031287077</v>
      </c>
      <c r="T84" s="19">
        <f t="shared" si="21"/>
        <v>-2106.4098928094077</v>
      </c>
      <c r="U84" s="19">
        <f t="shared" si="16"/>
        <v>395.27999999999963</v>
      </c>
      <c r="Y84">
        <v>81</v>
      </c>
      <c r="Z84" s="43">
        <f t="shared" si="22"/>
        <v>0.47275685897768555</v>
      </c>
      <c r="AA84" s="43">
        <f t="shared" si="23"/>
        <v>8.8799587852651241E-2</v>
      </c>
      <c r="AB84" s="43">
        <f t="shared" si="24"/>
        <v>0.56155644683033679</v>
      </c>
      <c r="AC84" s="19">
        <f t="shared" si="25"/>
        <v>1.8484435531696635</v>
      </c>
      <c r="AD84" s="19">
        <f t="shared" si="26"/>
        <v>303.36505691084676</v>
      </c>
      <c r="AH84">
        <v>81</v>
      </c>
      <c r="AI84" s="43">
        <f t="shared" si="27"/>
        <v>7.0227743075487778E-2</v>
      </c>
      <c r="AJ84" s="43">
        <f t="shared" si="28"/>
        <v>7.3605369347635494E-2</v>
      </c>
      <c r="AK84" s="43">
        <f t="shared" si="29"/>
        <v>0.14383311242312327</v>
      </c>
      <c r="AL84" s="19">
        <f t="shared" si="30"/>
        <v>2.266166887576877</v>
      </c>
      <c r="AM84" s="19">
        <f t="shared" si="31"/>
        <v>371.92147179196775</v>
      </c>
    </row>
    <row r="85" spans="15:39" x14ac:dyDescent="0.2">
      <c r="O85" s="42">
        <v>82</v>
      </c>
      <c r="P85" s="43">
        <f t="shared" si="17"/>
        <v>15.504061550451247</v>
      </c>
      <c r="Q85" s="43">
        <f t="shared" si="18"/>
        <v>0.11785277293942401</v>
      </c>
      <c r="R85" s="43">
        <f t="shared" si="19"/>
        <v>15.621914323390671</v>
      </c>
      <c r="S85" s="19">
        <f t="shared" si="20"/>
        <v>-13.211914323390671</v>
      </c>
      <c r="T85" s="19">
        <f t="shared" si="21"/>
        <v>-2195.0981539489362</v>
      </c>
      <c r="U85" s="19">
        <f t="shared" si="16"/>
        <v>400.15999999999968</v>
      </c>
      <c r="Y85" s="42">
        <v>82</v>
      </c>
      <c r="Z85" s="43">
        <f t="shared" si="22"/>
        <v>0.48450192345160148</v>
      </c>
      <c r="AA85" s="43">
        <f t="shared" si="23"/>
        <v>8.9895879060708658E-2</v>
      </c>
      <c r="AB85" s="43">
        <f t="shared" si="24"/>
        <v>0.5743978025123101</v>
      </c>
      <c r="AC85" s="19">
        <f t="shared" si="25"/>
        <v>1.8356021974876899</v>
      </c>
      <c r="AD85" s="19">
        <f t="shared" si="26"/>
        <v>304.97677296894261</v>
      </c>
      <c r="AH85" s="42">
        <v>82</v>
      </c>
      <c r="AI85" s="43">
        <f t="shared" si="27"/>
        <v>7.1972465239990832E-2</v>
      </c>
      <c r="AJ85" s="43">
        <f t="shared" si="28"/>
        <v>7.4514077611186544E-2</v>
      </c>
      <c r="AK85" s="43">
        <f t="shared" si="29"/>
        <v>0.14648654285117738</v>
      </c>
      <c r="AL85" s="19">
        <f t="shared" si="30"/>
        <v>2.2635134571488229</v>
      </c>
      <c r="AM85" s="19">
        <f t="shared" si="31"/>
        <v>376.07223976841664</v>
      </c>
    </row>
    <row r="86" spans="15:39" x14ac:dyDescent="0.2">
      <c r="O86">
        <v>83</v>
      </c>
      <c r="P86" s="43">
        <f t="shared" si="17"/>
        <v>15.884515172673803</v>
      </c>
      <c r="Q86" s="43">
        <f t="shared" si="18"/>
        <v>0.11929000187770966</v>
      </c>
      <c r="R86" s="43">
        <f t="shared" si="19"/>
        <v>16.003805174551513</v>
      </c>
      <c r="S86" s="19">
        <f t="shared" si="20"/>
        <v>-13.593805174551512</v>
      </c>
      <c r="T86" s="19">
        <f t="shared" si="21"/>
        <v>-2286.0908065146718</v>
      </c>
      <c r="U86" s="19">
        <f t="shared" si="16"/>
        <v>405.03999999999968</v>
      </c>
      <c r="Y86">
        <v>83</v>
      </c>
      <c r="Z86" s="43">
        <f t="shared" si="22"/>
        <v>0.49639109914605634</v>
      </c>
      <c r="AA86" s="43">
        <f t="shared" si="23"/>
        <v>9.099217026876609E-2</v>
      </c>
      <c r="AB86" s="43">
        <f t="shared" si="24"/>
        <v>0.58738326941482244</v>
      </c>
      <c r="AC86" s="19">
        <f t="shared" si="25"/>
        <v>1.8226167305851777</v>
      </c>
      <c r="AD86" s="19">
        <f t="shared" si="26"/>
        <v>306.51221626972233</v>
      </c>
      <c r="AH86">
        <v>83</v>
      </c>
      <c r="AI86" s="43">
        <f t="shared" si="27"/>
        <v>7.3738595038414165E-2</v>
      </c>
      <c r="AJ86" s="43">
        <f t="shared" si="28"/>
        <v>7.5422785874737608E-2</v>
      </c>
      <c r="AK86" s="43">
        <f t="shared" si="29"/>
        <v>0.14916138091315179</v>
      </c>
      <c r="AL86" s="19">
        <f t="shared" si="30"/>
        <v>2.2608386190868481</v>
      </c>
      <c r="AM86" s="19">
        <f t="shared" si="31"/>
        <v>380.20865502644574</v>
      </c>
    </row>
    <row r="87" spans="15:39" x14ac:dyDescent="0.2">
      <c r="O87" s="42">
        <v>84</v>
      </c>
      <c r="P87" s="43">
        <f t="shared" si="17"/>
        <v>16.2695803539536</v>
      </c>
      <c r="Q87" s="43">
        <f t="shared" si="18"/>
        <v>0.12072723081599532</v>
      </c>
      <c r="R87" s="43">
        <f t="shared" si="19"/>
        <v>16.390307584769594</v>
      </c>
      <c r="S87" s="19">
        <f t="shared" si="20"/>
        <v>-13.980307584769594</v>
      </c>
      <c r="T87" s="19">
        <f t="shared" si="21"/>
        <v>-2379.4158818152309</v>
      </c>
      <c r="U87" s="19">
        <f t="shared" si="16"/>
        <v>409.91999999999962</v>
      </c>
      <c r="Y87" s="42">
        <v>84</v>
      </c>
      <c r="Z87" s="43">
        <f t="shared" si="22"/>
        <v>0.50842438606105</v>
      </c>
      <c r="AA87" s="43">
        <f t="shared" si="23"/>
        <v>9.2088461476823508E-2</v>
      </c>
      <c r="AB87" s="43">
        <f t="shared" si="24"/>
        <v>0.60051284753787348</v>
      </c>
      <c r="AC87" s="19">
        <f t="shared" si="25"/>
        <v>1.8094871524621268</v>
      </c>
      <c r="AD87" s="19">
        <f t="shared" si="26"/>
        <v>307.97051083479153</v>
      </c>
      <c r="AH87" s="42">
        <v>84</v>
      </c>
      <c r="AI87" s="43">
        <f t="shared" si="27"/>
        <v>7.5526132470757776E-2</v>
      </c>
      <c r="AJ87" s="43">
        <f t="shared" si="28"/>
        <v>7.6331494138288658E-2</v>
      </c>
      <c r="AK87" s="43">
        <f t="shared" si="29"/>
        <v>0.15185762660904645</v>
      </c>
      <c r="AL87" s="19">
        <f t="shared" si="30"/>
        <v>2.2581423733909536</v>
      </c>
      <c r="AM87" s="19">
        <f t="shared" si="31"/>
        <v>384.33058743999919</v>
      </c>
    </row>
    <row r="88" spans="15:39" x14ac:dyDescent="0.2">
      <c r="O88">
        <v>85</v>
      </c>
      <c r="P88" s="43">
        <f t="shared" si="17"/>
        <v>16.659257094290641</v>
      </c>
      <c r="Q88" s="43">
        <f t="shared" si="18"/>
        <v>0.12216445975428099</v>
      </c>
      <c r="R88" s="43">
        <f t="shared" si="19"/>
        <v>16.781421554044922</v>
      </c>
      <c r="S88" s="19">
        <f t="shared" si="20"/>
        <v>-14.371421554044922</v>
      </c>
      <c r="T88" s="19">
        <f t="shared" si="21"/>
        <v>-2475.1014111592299</v>
      </c>
      <c r="U88" s="19">
        <f t="shared" si="16"/>
        <v>414.79999999999961</v>
      </c>
      <c r="Y88">
        <v>85</v>
      </c>
      <c r="Z88" s="43">
        <f t="shared" si="22"/>
        <v>0.52060178419658254</v>
      </c>
      <c r="AA88" s="43">
        <f t="shared" si="23"/>
        <v>9.3184752684880939E-2</v>
      </c>
      <c r="AB88" s="43">
        <f t="shared" si="24"/>
        <v>0.61378653688146345</v>
      </c>
      <c r="AC88" s="19">
        <f t="shared" si="25"/>
        <v>1.7962134631185367</v>
      </c>
      <c r="AD88" s="19">
        <f t="shared" si="26"/>
        <v>309.35078068575604</v>
      </c>
      <c r="AH88">
        <v>85</v>
      </c>
      <c r="AI88" s="43">
        <f t="shared" si="27"/>
        <v>7.7335077537021679E-2</v>
      </c>
      <c r="AJ88" s="43">
        <f t="shared" si="28"/>
        <v>7.7240202401839722E-2</v>
      </c>
      <c r="AK88" s="43">
        <f t="shared" si="29"/>
        <v>0.15457527993886139</v>
      </c>
      <c r="AL88" s="19">
        <f t="shared" si="30"/>
        <v>2.2554247200611388</v>
      </c>
      <c r="AM88" s="19">
        <f t="shared" si="31"/>
        <v>388.43790688302056</v>
      </c>
    </row>
    <row r="89" spans="15:39" x14ac:dyDescent="0.2">
      <c r="O89" s="42">
        <v>86</v>
      </c>
      <c r="P89" s="43">
        <f t="shared" si="17"/>
        <v>17.053545393684924</v>
      </c>
      <c r="Q89" s="43">
        <f t="shared" si="18"/>
        <v>0.12360168869256664</v>
      </c>
      <c r="R89" s="43">
        <f t="shared" si="19"/>
        <v>17.177147082377491</v>
      </c>
      <c r="S89" s="19">
        <f t="shared" si="20"/>
        <v>-14.767147082377491</v>
      </c>
      <c r="T89" s="19">
        <f t="shared" si="21"/>
        <v>-2573.1754258552846</v>
      </c>
      <c r="U89" s="19">
        <f t="shared" si="16"/>
        <v>419.67999999999961</v>
      </c>
      <c r="Y89" s="42">
        <v>86</v>
      </c>
      <c r="Z89" s="43">
        <f t="shared" si="22"/>
        <v>0.53292329355265389</v>
      </c>
      <c r="AA89" s="43">
        <f t="shared" si="23"/>
        <v>9.4281043892938357E-2</v>
      </c>
      <c r="AB89" s="43">
        <f t="shared" si="24"/>
        <v>0.62720433744559223</v>
      </c>
      <c r="AC89" s="19">
        <f t="shared" si="25"/>
        <v>1.7827956625544079</v>
      </c>
      <c r="AD89" s="19">
        <f t="shared" si="26"/>
        <v>310.6521498442217</v>
      </c>
      <c r="AH89" s="42">
        <v>86</v>
      </c>
      <c r="AI89" s="43">
        <f t="shared" si="27"/>
        <v>7.9165430237205861E-2</v>
      </c>
      <c r="AJ89" s="43">
        <f t="shared" si="28"/>
        <v>7.8148910665390772E-2</v>
      </c>
      <c r="AK89" s="43">
        <f t="shared" si="29"/>
        <v>0.15731434090259663</v>
      </c>
      <c r="AL89" s="19">
        <f t="shared" si="30"/>
        <v>2.2526856590974034</v>
      </c>
      <c r="AM89" s="19">
        <f t="shared" si="31"/>
        <v>392.53048322945364</v>
      </c>
    </row>
    <row r="90" spans="15:39" x14ac:dyDescent="0.2">
      <c r="O90">
        <v>87</v>
      </c>
      <c r="P90" s="43">
        <f t="shared" si="17"/>
        <v>17.452445252136449</v>
      </c>
      <c r="Q90" s="43">
        <f t="shared" si="18"/>
        <v>0.12503891763085229</v>
      </c>
      <c r="R90" s="43">
        <f t="shared" si="19"/>
        <v>17.577484169767303</v>
      </c>
      <c r="S90" s="19">
        <f t="shared" si="20"/>
        <v>-15.167484169767302</v>
      </c>
      <c r="T90" s="19">
        <f t="shared" si="21"/>
        <v>-2673.6659572120107</v>
      </c>
      <c r="U90" s="19">
        <f t="shared" si="16"/>
        <v>424.55999999999966</v>
      </c>
      <c r="Y90">
        <v>87</v>
      </c>
      <c r="Z90" s="43">
        <f t="shared" si="22"/>
        <v>0.54538891412926405</v>
      </c>
      <c r="AA90" s="43">
        <f t="shared" si="23"/>
        <v>9.5377335100995775E-2</v>
      </c>
      <c r="AB90" s="43">
        <f t="shared" si="24"/>
        <v>0.64076624923025982</v>
      </c>
      <c r="AC90" s="19">
        <f t="shared" si="25"/>
        <v>1.7692337507697404</v>
      </c>
      <c r="AD90" s="19">
        <f t="shared" si="26"/>
        <v>311.87374233179418</v>
      </c>
      <c r="AH90">
        <v>87</v>
      </c>
      <c r="AI90" s="43">
        <f t="shared" si="27"/>
        <v>8.1017190571310321E-2</v>
      </c>
      <c r="AJ90" s="43">
        <f t="shared" si="28"/>
        <v>7.9057618928941822E-2</v>
      </c>
      <c r="AK90" s="43">
        <f t="shared" si="29"/>
        <v>0.16007480950025216</v>
      </c>
      <c r="AL90" s="19">
        <f t="shared" si="30"/>
        <v>2.2499251904997482</v>
      </c>
      <c r="AM90" s="19">
        <f t="shared" si="31"/>
        <v>396.60818635324244</v>
      </c>
    </row>
    <row r="91" spans="15:39" x14ac:dyDescent="0.2">
      <c r="O91" s="42">
        <v>88</v>
      </c>
      <c r="P91" s="43">
        <f t="shared" si="17"/>
        <v>17.85595666964522</v>
      </c>
      <c r="Q91" s="43">
        <f t="shared" si="18"/>
        <v>0.12647614656913797</v>
      </c>
      <c r="R91" s="43">
        <f t="shared" si="19"/>
        <v>17.982432816214359</v>
      </c>
      <c r="S91" s="19">
        <f t="shared" si="20"/>
        <v>-15.572432816214359</v>
      </c>
      <c r="T91" s="19">
        <f t="shared" si="21"/>
        <v>-2776.6010365380239</v>
      </c>
      <c r="U91" s="19">
        <f t="shared" si="16"/>
        <v>429.43999999999966</v>
      </c>
      <c r="Y91" s="42">
        <v>88</v>
      </c>
      <c r="Z91" s="43">
        <f t="shared" si="22"/>
        <v>0.55799864592641313</v>
      </c>
      <c r="AA91" s="43">
        <f t="shared" si="23"/>
        <v>9.6473626309053206E-2</v>
      </c>
      <c r="AB91" s="43">
        <f t="shared" si="24"/>
        <v>0.65447227223546633</v>
      </c>
      <c r="AC91" s="19">
        <f t="shared" si="25"/>
        <v>1.7555277277645338</v>
      </c>
      <c r="AD91" s="19">
        <f t="shared" si="26"/>
        <v>313.01468217007908</v>
      </c>
      <c r="AH91" s="42">
        <v>88</v>
      </c>
      <c r="AI91" s="43">
        <f t="shared" si="27"/>
        <v>8.289035853933506E-2</v>
      </c>
      <c r="AJ91" s="43">
        <f t="shared" si="28"/>
        <v>7.9966327192492886E-2</v>
      </c>
      <c r="AK91" s="43">
        <f t="shared" si="29"/>
        <v>0.16285668573182793</v>
      </c>
      <c r="AL91" s="19">
        <f t="shared" si="30"/>
        <v>2.2471433142681723</v>
      </c>
      <c r="AM91" s="19">
        <f t="shared" si="31"/>
        <v>400.67088612833032</v>
      </c>
    </row>
    <row r="92" spans="15:39" x14ac:dyDescent="0.2">
      <c r="O92">
        <v>89</v>
      </c>
      <c r="P92" s="43">
        <f t="shared" si="17"/>
        <v>18.264079646211233</v>
      </c>
      <c r="Q92" s="43">
        <f t="shared" si="18"/>
        <v>0.12791337550742363</v>
      </c>
      <c r="R92" s="43">
        <f t="shared" si="19"/>
        <v>18.391993021718655</v>
      </c>
      <c r="S92" s="19">
        <f t="shared" si="20"/>
        <v>-15.981993021718655</v>
      </c>
      <c r="T92" s="19">
        <f t="shared" si="21"/>
        <v>-2882.0086951419407</v>
      </c>
      <c r="U92" s="19">
        <f t="shared" si="16"/>
        <v>434.3199999999996</v>
      </c>
      <c r="Y92">
        <v>89</v>
      </c>
      <c r="Z92" s="43">
        <f t="shared" si="22"/>
        <v>0.57075248894410102</v>
      </c>
      <c r="AA92" s="43">
        <f t="shared" si="23"/>
        <v>9.7569917517110624E-2</v>
      </c>
      <c r="AB92" s="43">
        <f t="shared" si="24"/>
        <v>0.66832240646121166</v>
      </c>
      <c r="AC92" s="19">
        <f t="shared" si="25"/>
        <v>1.7416775935387885</v>
      </c>
      <c r="AD92" s="19">
        <f t="shared" si="26"/>
        <v>314.07409338068243</v>
      </c>
      <c r="AH92">
        <v>89</v>
      </c>
      <c r="AI92" s="43">
        <f t="shared" si="27"/>
        <v>8.4784934141280091E-2</v>
      </c>
      <c r="AJ92" s="43">
        <f t="shared" si="28"/>
        <v>8.0875035456043937E-2</v>
      </c>
      <c r="AK92" s="43">
        <f t="shared" si="29"/>
        <v>0.16565996959732404</v>
      </c>
      <c r="AL92" s="19">
        <f t="shared" si="30"/>
        <v>2.2443400304026762</v>
      </c>
      <c r="AM92" s="19">
        <f t="shared" si="31"/>
        <v>404.71845242866141</v>
      </c>
    </row>
    <row r="93" spans="15:39" x14ac:dyDescent="0.2">
      <c r="O93" s="42">
        <v>90</v>
      </c>
      <c r="P93" s="43">
        <f t="shared" si="17"/>
        <v>18.676814181834491</v>
      </c>
      <c r="Q93" s="43">
        <f t="shared" si="18"/>
        <v>0.12935060444570928</v>
      </c>
      <c r="R93" s="43">
        <f t="shared" si="19"/>
        <v>18.806164786280199</v>
      </c>
      <c r="S93" s="19">
        <f t="shared" si="20"/>
        <v>-16.396164786280199</v>
      </c>
      <c r="T93" s="19">
        <f t="shared" si="21"/>
        <v>-2989.9169643323776</v>
      </c>
      <c r="U93" s="19">
        <f t="shared" si="16"/>
        <v>439.19999999999959</v>
      </c>
      <c r="Y93" s="42">
        <v>90</v>
      </c>
      <c r="Z93" s="43">
        <f t="shared" si="22"/>
        <v>0.58365044318232784</v>
      </c>
      <c r="AA93" s="43">
        <f t="shared" si="23"/>
        <v>9.8666208725168042E-2</v>
      </c>
      <c r="AB93" s="43">
        <f t="shared" si="24"/>
        <v>0.68231665190749591</v>
      </c>
      <c r="AC93" s="19">
        <f t="shared" si="25"/>
        <v>1.7276833480925042</v>
      </c>
      <c r="AD93" s="19">
        <f t="shared" si="26"/>
        <v>315.05109998520976</v>
      </c>
      <c r="AH93" s="42">
        <v>90</v>
      </c>
      <c r="AI93" s="43">
        <f t="shared" si="27"/>
        <v>8.6700917377145414E-2</v>
      </c>
      <c r="AJ93" s="43">
        <f t="shared" si="28"/>
        <v>8.1783743719594987E-2</v>
      </c>
      <c r="AK93" s="43">
        <f t="shared" si="29"/>
        <v>0.1684846610967404</v>
      </c>
      <c r="AL93" s="19">
        <f t="shared" si="30"/>
        <v>2.2415153389032598</v>
      </c>
      <c r="AM93" s="19">
        <f t="shared" si="31"/>
        <v>408.75075512817938</v>
      </c>
    </row>
    <row r="94" spans="15:39" x14ac:dyDescent="0.2">
      <c r="O94">
        <v>91</v>
      </c>
      <c r="P94" s="43">
        <f t="shared" si="17"/>
        <v>19.094160276514987</v>
      </c>
      <c r="Q94" s="43">
        <f t="shared" si="18"/>
        <v>0.13078783338399494</v>
      </c>
      <c r="R94" s="43">
        <f t="shared" si="19"/>
        <v>19.224948109898982</v>
      </c>
      <c r="S94" s="19">
        <f t="shared" si="20"/>
        <v>-16.814948109898982</v>
      </c>
      <c r="T94" s="19">
        <f t="shared" si="21"/>
        <v>-3100.3538754179485</v>
      </c>
      <c r="U94" s="19">
        <f t="shared" si="16"/>
        <v>444.07999999999959</v>
      </c>
      <c r="Y94">
        <v>91</v>
      </c>
      <c r="Z94" s="43">
        <f t="shared" si="22"/>
        <v>0.59669250864109336</v>
      </c>
      <c r="AA94" s="43">
        <f t="shared" si="23"/>
        <v>9.9762499933225474E-2</v>
      </c>
      <c r="AB94" s="43">
        <f t="shared" si="24"/>
        <v>0.69645500857431886</v>
      </c>
      <c r="AC94" s="19">
        <f t="shared" si="25"/>
        <v>1.7135449914256813</v>
      </c>
      <c r="AD94" s="19">
        <f t="shared" si="26"/>
        <v>315.94482600526698</v>
      </c>
      <c r="AH94">
        <v>91</v>
      </c>
      <c r="AI94" s="43">
        <f t="shared" si="27"/>
        <v>8.8638308246931002E-2</v>
      </c>
      <c r="AJ94" s="43">
        <f t="shared" si="28"/>
        <v>8.2692451983146051E-2</v>
      </c>
      <c r="AK94" s="43">
        <f t="shared" si="29"/>
        <v>0.17133076023007704</v>
      </c>
      <c r="AL94" s="19">
        <f t="shared" si="30"/>
        <v>2.2386692397699233</v>
      </c>
      <c r="AM94" s="19">
        <f t="shared" si="31"/>
        <v>412.76766410082791</v>
      </c>
    </row>
    <row r="95" spans="15:39" x14ac:dyDescent="0.2">
      <c r="O95" s="42"/>
      <c r="P95" s="43"/>
      <c r="Q95" s="43"/>
      <c r="R95" s="43"/>
      <c r="S95" s="19"/>
      <c r="T95" s="19"/>
      <c r="U95" s="19"/>
      <c r="Y95" s="42">
        <v>92</v>
      </c>
      <c r="Z95" s="43">
        <f t="shared" si="22"/>
        <v>0.6098786853203978</v>
      </c>
      <c r="AA95" s="43">
        <f t="shared" si="23"/>
        <v>0.10085879114128289</v>
      </c>
      <c r="AB95" s="43">
        <f t="shared" si="24"/>
        <v>0.71073747646168073</v>
      </c>
      <c r="AC95" s="19">
        <f t="shared" si="25"/>
        <v>1.6992625235383194</v>
      </c>
      <c r="AD95" s="19">
        <f t="shared" si="26"/>
        <v>316.7543954624598</v>
      </c>
      <c r="AH95" s="42">
        <v>92</v>
      </c>
      <c r="AI95" s="43">
        <f t="shared" si="27"/>
        <v>9.0597106750636883E-2</v>
      </c>
      <c r="AJ95" s="43">
        <f t="shared" si="28"/>
        <v>8.3601160246697101E-2</v>
      </c>
      <c r="AK95" s="43">
        <f t="shared" si="29"/>
        <v>0.17419826699733398</v>
      </c>
      <c r="AL95" s="19">
        <f t="shared" si="30"/>
        <v>2.235801733002666</v>
      </c>
      <c r="AM95" s="19">
        <f t="shared" si="31"/>
        <v>416.76904922055093</v>
      </c>
    </row>
    <row r="96" spans="15:39" x14ac:dyDescent="0.2">
      <c r="P96" s="43"/>
      <c r="Q96" s="43"/>
      <c r="R96" s="43"/>
      <c r="S96" s="19"/>
      <c r="T96" s="19"/>
      <c r="U96" s="19"/>
      <c r="Y96">
        <v>93</v>
      </c>
      <c r="Z96" s="43">
        <f t="shared" si="22"/>
        <v>0.62320897322024116</v>
      </c>
      <c r="AA96" s="43">
        <f t="shared" si="23"/>
        <v>0.10195508234934031</v>
      </c>
      <c r="AB96" s="43">
        <f t="shared" si="24"/>
        <v>0.72516405556958152</v>
      </c>
      <c r="AC96" s="19">
        <f t="shared" si="25"/>
        <v>1.6848359444304186</v>
      </c>
      <c r="AD96" s="19">
        <f t="shared" si="26"/>
        <v>317.47893237839384</v>
      </c>
      <c r="AH96">
        <v>93</v>
      </c>
      <c r="AI96" s="43">
        <f t="shared" si="27"/>
        <v>9.2577312888263041E-2</v>
      </c>
      <c r="AJ96" s="43">
        <f t="shared" si="28"/>
        <v>8.4509868510248165E-2</v>
      </c>
      <c r="AK96" s="43">
        <f t="shared" si="29"/>
        <v>0.17708718139851121</v>
      </c>
      <c r="AL96" s="19">
        <f t="shared" si="30"/>
        <v>2.232912818601489</v>
      </c>
      <c r="AM96" s="19">
        <f t="shared" si="31"/>
        <v>420.75478036129215</v>
      </c>
    </row>
    <row r="97" spans="15:39" x14ac:dyDescent="0.2">
      <c r="O97" s="42"/>
      <c r="P97" s="43"/>
      <c r="Q97" s="43"/>
      <c r="R97" s="43"/>
      <c r="S97" s="19"/>
      <c r="T97" s="19"/>
      <c r="U97" s="19"/>
      <c r="Y97" s="42">
        <v>94</v>
      </c>
      <c r="Z97" s="43">
        <f t="shared" si="22"/>
        <v>0.63668337234062322</v>
      </c>
      <c r="AA97" s="43">
        <f t="shared" si="23"/>
        <v>0.10305137355739774</v>
      </c>
      <c r="AB97" s="43">
        <f t="shared" si="24"/>
        <v>0.73973474589802102</v>
      </c>
      <c r="AC97" s="19">
        <f t="shared" si="25"/>
        <v>1.6702652541019791</v>
      </c>
      <c r="AD97" s="19">
        <f t="shared" si="26"/>
        <v>318.11756077467498</v>
      </c>
      <c r="AH97" s="42">
        <v>94</v>
      </c>
      <c r="AI97" s="43">
        <f t="shared" si="27"/>
        <v>9.4578926659809479E-2</v>
      </c>
      <c r="AJ97" s="43">
        <f t="shared" si="28"/>
        <v>8.5418576773799215E-2</v>
      </c>
      <c r="AK97" s="43">
        <f t="shared" si="29"/>
        <v>0.17999750343360871</v>
      </c>
      <c r="AL97" s="19">
        <f t="shared" si="30"/>
        <v>2.2300024965663914</v>
      </c>
      <c r="AM97" s="19">
        <f t="shared" si="31"/>
        <v>424.72472739699526</v>
      </c>
    </row>
    <row r="98" spans="15:39" x14ac:dyDescent="0.2">
      <c r="P98" s="43"/>
      <c r="Q98" s="43"/>
      <c r="R98" s="43"/>
      <c r="S98" s="19"/>
      <c r="T98" s="19"/>
      <c r="U98" s="19"/>
      <c r="Y98">
        <v>95</v>
      </c>
      <c r="Z98" s="43">
        <f t="shared" si="22"/>
        <v>0.65030188268154421</v>
      </c>
      <c r="AA98" s="43">
        <f t="shared" si="23"/>
        <v>0.10414766476545516</v>
      </c>
      <c r="AB98" s="43">
        <f t="shared" si="24"/>
        <v>0.75444954744699932</v>
      </c>
      <c r="AC98" s="19">
        <f t="shared" si="25"/>
        <v>1.6555504525530007</v>
      </c>
      <c r="AD98" s="19">
        <f t="shared" si="26"/>
        <v>318.66940467290902</v>
      </c>
      <c r="AH98">
        <v>95</v>
      </c>
      <c r="AI98" s="43">
        <f t="shared" si="27"/>
        <v>9.6601948065276208E-2</v>
      </c>
      <c r="AJ98" s="43">
        <f t="shared" si="28"/>
        <v>8.6327285037350265E-2</v>
      </c>
      <c r="AK98" s="43">
        <f t="shared" si="29"/>
        <v>0.18292923310262649</v>
      </c>
      <c r="AL98" s="19">
        <f t="shared" si="30"/>
        <v>2.2270707668973735</v>
      </c>
      <c r="AM98" s="19">
        <f t="shared" si="31"/>
        <v>428.67876020160412</v>
      </c>
    </row>
    <row r="99" spans="15:39" x14ac:dyDescent="0.2">
      <c r="O99" s="42"/>
      <c r="P99" s="43"/>
      <c r="Q99" s="43"/>
      <c r="R99" s="43"/>
      <c r="S99" s="19"/>
      <c r="T99" s="19"/>
      <c r="U99" s="19"/>
      <c r="Y99" s="42">
        <v>96</v>
      </c>
      <c r="Z99" s="43">
        <f t="shared" si="22"/>
        <v>0.66406450424300412</v>
      </c>
      <c r="AA99" s="43">
        <f t="shared" si="23"/>
        <v>0.10524395597351258</v>
      </c>
      <c r="AB99" s="43">
        <f t="shared" si="24"/>
        <v>0.76930846021651667</v>
      </c>
      <c r="AC99" s="19">
        <f t="shared" si="25"/>
        <v>1.6406915397834836</v>
      </c>
      <c r="AD99" s="19">
        <f t="shared" si="26"/>
        <v>319.13358809470174</v>
      </c>
      <c r="AH99" s="42">
        <v>96</v>
      </c>
      <c r="AI99" s="43">
        <f t="shared" si="27"/>
        <v>9.8646377104663216E-2</v>
      </c>
      <c r="AJ99" s="43">
        <f t="shared" si="28"/>
        <v>8.7235993300901329E-2</v>
      </c>
      <c r="AK99" s="43">
        <f t="shared" si="29"/>
        <v>0.18588237040556455</v>
      </c>
      <c r="AL99" s="19">
        <f t="shared" si="30"/>
        <v>2.2241176295944358</v>
      </c>
      <c r="AM99" s="19">
        <f t="shared" si="31"/>
        <v>432.61674864906269</v>
      </c>
    </row>
    <row r="100" spans="15:39" x14ac:dyDescent="0.2">
      <c r="P100" s="43"/>
      <c r="Q100" s="43"/>
      <c r="R100" s="43"/>
      <c r="S100" s="19"/>
      <c r="T100" s="19"/>
      <c r="U100" s="19"/>
      <c r="Y100">
        <v>97</v>
      </c>
      <c r="Z100" s="43">
        <f t="shared" si="22"/>
        <v>0.67797123702500273</v>
      </c>
      <c r="AA100" s="43">
        <f t="shared" si="23"/>
        <v>0.10634024718157001</v>
      </c>
      <c r="AB100" s="43">
        <f t="shared" si="24"/>
        <v>0.78431148420657271</v>
      </c>
      <c r="AC100" s="19">
        <f t="shared" si="25"/>
        <v>1.6256885157934273</v>
      </c>
      <c r="AD100" s="19">
        <f t="shared" si="26"/>
        <v>319.50923506165856</v>
      </c>
      <c r="AH100">
        <v>97</v>
      </c>
      <c r="AI100" s="43">
        <f t="shared" si="27"/>
        <v>0.10071221377797052</v>
      </c>
      <c r="AJ100" s="43">
        <f t="shared" si="28"/>
        <v>8.814470156445238E-2</v>
      </c>
      <c r="AK100" s="43">
        <f t="shared" si="29"/>
        <v>0.18885691534242288</v>
      </c>
      <c r="AL100" s="19">
        <f t="shared" si="30"/>
        <v>2.2211430846575775</v>
      </c>
      <c r="AM100" s="19">
        <f t="shared" si="31"/>
        <v>436.53856261331447</v>
      </c>
    </row>
    <row r="101" spans="15:39" x14ac:dyDescent="0.2">
      <c r="O101" s="42"/>
      <c r="P101" s="43"/>
      <c r="Q101" s="43"/>
      <c r="R101" s="43"/>
      <c r="S101" s="19"/>
      <c r="T101" s="19"/>
      <c r="U101" s="19"/>
      <c r="Y101" s="42">
        <v>98</v>
      </c>
      <c r="Z101" s="43">
        <f t="shared" si="22"/>
        <v>0.69202208102754026</v>
      </c>
      <c r="AA101" s="43">
        <f t="shared" si="23"/>
        <v>0.10743653838962743</v>
      </c>
      <c r="AB101" s="43">
        <f t="shared" si="24"/>
        <v>0.79945861941716767</v>
      </c>
      <c r="AC101" s="19">
        <f t="shared" si="25"/>
        <v>1.6105413805828324</v>
      </c>
      <c r="AD101" s="19">
        <f t="shared" si="26"/>
        <v>319.7954695953855</v>
      </c>
      <c r="AH101" s="42">
        <v>98</v>
      </c>
      <c r="AI101" s="43">
        <f t="shared" si="27"/>
        <v>0.10279945808519808</v>
      </c>
      <c r="AJ101" s="43">
        <f t="shared" si="28"/>
        <v>8.9053409828003444E-2</v>
      </c>
      <c r="AK101" s="43">
        <f t="shared" si="29"/>
        <v>0.19185286791320152</v>
      </c>
      <c r="AL101" s="19">
        <f t="shared" si="30"/>
        <v>2.2181471320867985</v>
      </c>
      <c r="AM101" s="19">
        <f t="shared" si="31"/>
        <v>440.44407196830315</v>
      </c>
    </row>
    <row r="102" spans="15:39" x14ac:dyDescent="0.2">
      <c r="P102" s="43"/>
      <c r="Q102" s="43"/>
      <c r="R102" s="43"/>
      <c r="S102" s="19"/>
      <c r="T102" s="19"/>
      <c r="U102" s="19"/>
      <c r="Y102">
        <v>99</v>
      </c>
      <c r="Z102" s="43">
        <f t="shared" si="22"/>
        <v>0.7062170362506166</v>
      </c>
      <c r="AA102" s="43">
        <f t="shared" si="23"/>
        <v>0.10853282959768486</v>
      </c>
      <c r="AB102" s="43">
        <f t="shared" si="24"/>
        <v>0.81474986584830145</v>
      </c>
      <c r="AC102" s="19">
        <f t="shared" si="25"/>
        <v>1.5952501341516987</v>
      </c>
      <c r="AD102" s="19">
        <f t="shared" si="26"/>
        <v>319.99141571748834</v>
      </c>
      <c r="AH102">
        <v>99</v>
      </c>
      <c r="AI102" s="43">
        <f t="shared" si="27"/>
        <v>0.10490811002634594</v>
      </c>
      <c r="AJ102" s="43">
        <f t="shared" si="28"/>
        <v>8.9962118091554494E-2</v>
      </c>
      <c r="AK102" s="43">
        <f t="shared" si="29"/>
        <v>0.19487022811790045</v>
      </c>
      <c r="AL102" s="19">
        <f t="shared" si="30"/>
        <v>2.2151297718820997</v>
      </c>
      <c r="AM102" s="19">
        <f t="shared" si="31"/>
        <v>444.33314658797292</v>
      </c>
    </row>
    <row r="103" spans="15:39" x14ac:dyDescent="0.2">
      <c r="O103" s="42"/>
      <c r="P103" s="43"/>
      <c r="Q103" s="43"/>
      <c r="R103" s="43"/>
      <c r="S103" s="19"/>
      <c r="T103" s="19"/>
      <c r="U103" s="19"/>
      <c r="Y103" s="42">
        <v>100</v>
      </c>
      <c r="Z103" s="43">
        <f t="shared" si="22"/>
        <v>0.72055610269423187</v>
      </c>
      <c r="AA103" s="43">
        <f t="shared" si="23"/>
        <v>0.10962912080574228</v>
      </c>
      <c r="AB103" s="43">
        <f t="shared" si="24"/>
        <v>0.83018522349997415</v>
      </c>
      <c r="AC103" s="19">
        <f t="shared" si="25"/>
        <v>1.5798147765000259</v>
      </c>
      <c r="AD103" s="19">
        <f t="shared" si="26"/>
        <v>320.09619744957274</v>
      </c>
      <c r="AE103" s="4" t="s">
        <v>292</v>
      </c>
      <c r="AF103" s="4" t="s">
        <v>293</v>
      </c>
      <c r="AH103" s="42">
        <v>100</v>
      </c>
      <c r="AI103" s="43">
        <f t="shared" si="27"/>
        <v>0.10703816960141409</v>
      </c>
      <c r="AJ103" s="43">
        <f t="shared" si="28"/>
        <v>9.0870826355105544E-2</v>
      </c>
      <c r="AK103" s="43">
        <f t="shared" si="29"/>
        <v>0.19790899595651962</v>
      </c>
      <c r="AL103" s="19">
        <f t="shared" si="30"/>
        <v>2.2120910040434807</v>
      </c>
      <c r="AM103" s="19">
        <f t="shared" si="31"/>
        <v>448.20565634626723</v>
      </c>
    </row>
    <row r="104" spans="15:39" x14ac:dyDescent="0.2">
      <c r="P104" s="43"/>
      <c r="Q104" s="43"/>
      <c r="R104" s="43"/>
      <c r="S104" s="19"/>
      <c r="T104" s="19"/>
      <c r="U104" s="19"/>
      <c r="Y104" s="48">
        <v>101</v>
      </c>
      <c r="Z104" s="50">
        <f t="shared" si="22"/>
        <v>0.73503928035838595</v>
      </c>
      <c r="AA104" s="50">
        <f t="shared" si="23"/>
        <v>0.11072541201379969</v>
      </c>
      <c r="AB104" s="50">
        <f t="shared" si="24"/>
        <v>0.84576469237218566</v>
      </c>
      <c r="AC104" s="47">
        <f t="shared" si="25"/>
        <v>1.5642353076278144</v>
      </c>
      <c r="AD104" s="47">
        <f t="shared" si="26"/>
        <v>320.10893881324455</v>
      </c>
      <c r="AE104">
        <v>21.41</v>
      </c>
      <c r="AF104" s="19">
        <f>AD104-AE104</f>
        <v>298.69893881324452</v>
      </c>
      <c r="AH104">
        <v>101</v>
      </c>
      <c r="AI104" s="43">
        <f t="shared" si="27"/>
        <v>0.1091896368104025</v>
      </c>
      <c r="AJ104" s="43">
        <f t="shared" si="28"/>
        <v>9.1779534618656608E-2</v>
      </c>
      <c r="AK104" s="43">
        <f t="shared" si="29"/>
        <v>0.20096917142905912</v>
      </c>
      <c r="AL104" s="19">
        <f t="shared" si="30"/>
        <v>2.209030828570941</v>
      </c>
      <c r="AM104" s="19">
        <f t="shared" si="31"/>
        <v>452.06147111713</v>
      </c>
    </row>
    <row r="105" spans="15:39" x14ac:dyDescent="0.2">
      <c r="O105" s="42"/>
      <c r="P105" s="43"/>
      <c r="Q105" s="43"/>
      <c r="R105" s="43"/>
      <c r="S105" s="19"/>
      <c r="T105" s="19"/>
      <c r="U105" s="19"/>
      <c r="Y105" s="42">
        <v>102</v>
      </c>
      <c r="Z105" s="43">
        <f t="shared" si="22"/>
        <v>0.74966656924307884</v>
      </c>
      <c r="AA105" s="43">
        <f t="shared" si="23"/>
        <v>0.11182170322185712</v>
      </c>
      <c r="AB105" s="43">
        <f t="shared" si="24"/>
        <v>0.86148827246493598</v>
      </c>
      <c r="AC105" s="19">
        <f t="shared" si="25"/>
        <v>1.5485117275350642</v>
      </c>
      <c r="AD105" s="19">
        <f t="shared" si="26"/>
        <v>320.02876383010937</v>
      </c>
      <c r="AH105" s="42">
        <v>102</v>
      </c>
      <c r="AI105" s="43">
        <f t="shared" si="27"/>
        <v>0.11136251165331121</v>
      </c>
      <c r="AJ105" s="43">
        <f t="shared" si="28"/>
        <v>9.2688242882207658E-2</v>
      </c>
      <c r="AK105" s="43">
        <f t="shared" si="29"/>
        <v>0.20405075453551885</v>
      </c>
      <c r="AL105" s="19">
        <f t="shared" si="30"/>
        <v>2.2059492454644811</v>
      </c>
      <c r="AM105" s="19">
        <f t="shared" si="31"/>
        <v>455.90046077450495</v>
      </c>
    </row>
    <row r="106" spans="15:39" x14ac:dyDescent="0.2">
      <c r="P106" s="43"/>
      <c r="Q106" s="43"/>
      <c r="R106" s="43"/>
      <c r="S106" s="19"/>
      <c r="T106" s="19"/>
      <c r="U106" s="19"/>
      <c r="Y106">
        <v>103</v>
      </c>
      <c r="Z106" s="43">
        <f t="shared" si="22"/>
        <v>0.76443796934831054</v>
      </c>
      <c r="AA106" s="43">
        <f t="shared" si="23"/>
        <v>0.11291799442991454</v>
      </c>
      <c r="AB106" s="43">
        <f t="shared" si="24"/>
        <v>0.87735596377822511</v>
      </c>
      <c r="AC106" s="19">
        <f t="shared" si="25"/>
        <v>1.532644036221775</v>
      </c>
      <c r="AD106" s="19">
        <f t="shared" si="26"/>
        <v>319.85479652177298</v>
      </c>
      <c r="AH106">
        <v>103</v>
      </c>
      <c r="AI106" s="43">
        <f t="shared" si="27"/>
        <v>0.11355679413014021</v>
      </c>
      <c r="AJ106" s="43">
        <f t="shared" si="28"/>
        <v>9.3596951145758708E-2</v>
      </c>
      <c r="AK106" s="43">
        <f t="shared" si="29"/>
        <v>0.20715374527589892</v>
      </c>
      <c r="AL106" s="19">
        <f t="shared" si="30"/>
        <v>2.2028462547241014</v>
      </c>
      <c r="AM106" s="19">
        <f t="shared" si="31"/>
        <v>459.72249519233594</v>
      </c>
    </row>
    <row r="107" spans="15:39" x14ac:dyDescent="0.2">
      <c r="O107" s="42"/>
      <c r="P107" s="43"/>
      <c r="Q107" s="43"/>
      <c r="R107" s="43"/>
      <c r="S107" s="19"/>
      <c r="T107" s="19"/>
      <c r="U107" s="19"/>
      <c r="Y107" s="42">
        <v>104</v>
      </c>
      <c r="Z107" s="43">
        <f t="shared" si="22"/>
        <v>0.77935348067408117</v>
      </c>
      <c r="AA107" s="43">
        <f t="shared" si="23"/>
        <v>0.11401428563797196</v>
      </c>
      <c r="AB107" s="43">
        <f t="shared" si="24"/>
        <v>0.89336776631205317</v>
      </c>
      <c r="AC107" s="19">
        <f t="shared" si="25"/>
        <v>1.516632233687947</v>
      </c>
      <c r="AD107" s="19">
        <f t="shared" si="26"/>
        <v>319.58616090984128</v>
      </c>
      <c r="AH107" s="42">
        <v>104</v>
      </c>
      <c r="AI107" s="43">
        <f t="shared" si="27"/>
        <v>0.11577248424088947</v>
      </c>
      <c r="AJ107" s="43">
        <f t="shared" si="28"/>
        <v>9.4505659409309772E-2</v>
      </c>
      <c r="AK107" s="43">
        <f t="shared" si="29"/>
        <v>0.21027814365019926</v>
      </c>
      <c r="AL107" s="19">
        <f t="shared" si="30"/>
        <v>2.1997218563498011</v>
      </c>
      <c r="AM107" s="19">
        <f t="shared" si="31"/>
        <v>463.5274442445666</v>
      </c>
    </row>
    <row r="108" spans="15:39" x14ac:dyDescent="0.2">
      <c r="P108" s="43"/>
      <c r="Q108" s="43"/>
      <c r="R108" s="43"/>
      <c r="S108" s="19"/>
      <c r="T108" s="19"/>
      <c r="U108" s="19"/>
      <c r="Y108">
        <v>105</v>
      </c>
      <c r="Z108" s="43">
        <f t="shared" si="22"/>
        <v>0.7944131032203906</v>
      </c>
      <c r="AA108" s="43">
        <f t="shared" si="23"/>
        <v>0.11511057684602939</v>
      </c>
      <c r="AB108" s="43">
        <f t="shared" si="24"/>
        <v>0.90952368006642004</v>
      </c>
      <c r="AC108" s="19">
        <f t="shared" si="25"/>
        <v>1.50047631993358</v>
      </c>
      <c r="AD108" s="19">
        <f t="shared" si="26"/>
        <v>319.22198101591982</v>
      </c>
      <c r="AH108">
        <v>105</v>
      </c>
      <c r="AI108" s="43">
        <f t="shared" si="27"/>
        <v>0.11800958198555903</v>
      </c>
      <c r="AJ108" s="43">
        <f t="shared" si="28"/>
        <v>9.5414367672860823E-2</v>
      </c>
      <c r="AK108" s="43">
        <f t="shared" si="29"/>
        <v>0.21342394965841985</v>
      </c>
      <c r="AL108" s="19">
        <f t="shared" si="30"/>
        <v>2.1965760503415801</v>
      </c>
      <c r="AM108" s="19">
        <f t="shared" si="31"/>
        <v>467.31517780514065</v>
      </c>
    </row>
    <row r="109" spans="15:39" x14ac:dyDescent="0.2">
      <c r="O109" s="42"/>
      <c r="P109" s="43"/>
      <c r="Q109" s="43"/>
      <c r="R109" s="43"/>
      <c r="S109" s="19"/>
      <c r="T109" s="19"/>
      <c r="U109" s="19"/>
      <c r="Y109" s="42">
        <v>106</v>
      </c>
      <c r="Z109" s="43">
        <f t="shared" si="22"/>
        <v>0.80961683698723896</v>
      </c>
      <c r="AA109" s="43">
        <f t="shared" si="23"/>
        <v>0.11620686805408681</v>
      </c>
      <c r="AB109" s="43">
        <f t="shared" si="24"/>
        <v>0.92582370504132583</v>
      </c>
      <c r="AC109" s="19">
        <f t="shared" si="25"/>
        <v>1.4841762949586743</v>
      </c>
      <c r="AD109" s="19">
        <f t="shared" si="26"/>
        <v>318.76138086161455</v>
      </c>
      <c r="AH109" s="42">
        <v>106</v>
      </c>
      <c r="AI109" s="43">
        <f t="shared" si="27"/>
        <v>0.12026808736414886</v>
      </c>
      <c r="AJ109" s="43">
        <f t="shared" si="28"/>
        <v>9.6323075936411887E-2</v>
      </c>
      <c r="AK109" s="43">
        <f t="shared" si="29"/>
        <v>0.21659116330056075</v>
      </c>
      <c r="AL109" s="19">
        <f t="shared" si="30"/>
        <v>2.1934088366994393</v>
      </c>
      <c r="AM109" s="19">
        <f t="shared" si="31"/>
        <v>471.08556574800224</v>
      </c>
    </row>
    <row r="110" spans="15:39" x14ac:dyDescent="0.2">
      <c r="P110" s="43"/>
      <c r="Q110" s="43"/>
      <c r="R110" s="43"/>
      <c r="S110" s="19"/>
      <c r="T110" s="19"/>
      <c r="U110" s="19"/>
      <c r="Y110">
        <v>107</v>
      </c>
      <c r="Z110" s="43">
        <f t="shared" si="22"/>
        <v>0.82496468197462602</v>
      </c>
      <c r="AA110" s="43">
        <f t="shared" si="23"/>
        <v>0.11730315926214423</v>
      </c>
      <c r="AB110" s="43">
        <f t="shared" si="24"/>
        <v>0.94226784123677021</v>
      </c>
      <c r="AC110" s="19">
        <f t="shared" si="25"/>
        <v>1.4677321587632299</v>
      </c>
      <c r="AD110" s="19">
        <f t="shared" si="26"/>
        <v>318.20348446853114</v>
      </c>
      <c r="AH110">
        <v>107</v>
      </c>
      <c r="AI110" s="43">
        <f t="shared" si="27"/>
        <v>0.12254800037665899</v>
      </c>
      <c r="AJ110" s="43">
        <f t="shared" si="28"/>
        <v>9.7231784199962937E-2</v>
      </c>
      <c r="AK110" s="43">
        <f t="shared" si="29"/>
        <v>0.21977978457662192</v>
      </c>
      <c r="AL110" s="19">
        <f t="shared" si="30"/>
        <v>2.1902202154233783</v>
      </c>
      <c r="AM110" s="19">
        <f t="shared" si="31"/>
        <v>474.83847794709482</v>
      </c>
    </row>
    <row r="111" spans="15:39" x14ac:dyDescent="0.2">
      <c r="O111" s="42"/>
      <c r="P111" s="43"/>
      <c r="Q111" s="43"/>
      <c r="R111" s="43"/>
      <c r="S111" s="19"/>
      <c r="T111" s="19"/>
      <c r="U111" s="19"/>
      <c r="Y111" s="42">
        <v>108</v>
      </c>
      <c r="Z111" s="43">
        <f t="shared" si="22"/>
        <v>0.84045663818255201</v>
      </c>
      <c r="AA111" s="43">
        <f t="shared" si="23"/>
        <v>0.11839945047020166</v>
      </c>
      <c r="AB111" s="43">
        <f t="shared" si="24"/>
        <v>0.95885608865275362</v>
      </c>
      <c r="AC111" s="19">
        <f t="shared" si="25"/>
        <v>1.4511439113472466</v>
      </c>
      <c r="AD111" s="19">
        <f t="shared" si="26"/>
        <v>317.5474158582752</v>
      </c>
      <c r="AH111" s="42">
        <v>108</v>
      </c>
      <c r="AI111" s="43">
        <f t="shared" si="27"/>
        <v>0.12484932102308939</v>
      </c>
      <c r="AJ111" s="43">
        <f t="shared" si="28"/>
        <v>9.8140492463513987E-2</v>
      </c>
      <c r="AK111" s="43">
        <f t="shared" si="29"/>
        <v>0.22298981348660338</v>
      </c>
      <c r="AL111" s="19">
        <f t="shared" si="30"/>
        <v>2.1870101865133966</v>
      </c>
      <c r="AM111" s="19">
        <f t="shared" si="31"/>
        <v>478.57378427636218</v>
      </c>
    </row>
    <row r="112" spans="15:39" x14ac:dyDescent="0.2">
      <c r="P112" s="43"/>
      <c r="Q112" s="43"/>
      <c r="R112" s="43"/>
      <c r="S112" s="19"/>
      <c r="T112" s="19"/>
      <c r="U112" s="19"/>
      <c r="Y112">
        <v>109</v>
      </c>
      <c r="Z112" s="43">
        <f t="shared" si="22"/>
        <v>0.85609270561101691</v>
      </c>
      <c r="AA112" s="43">
        <f t="shared" si="23"/>
        <v>0.11949574167825908</v>
      </c>
      <c r="AB112" s="43">
        <f t="shared" si="24"/>
        <v>0.97558844728927596</v>
      </c>
      <c r="AC112" s="19">
        <f t="shared" si="25"/>
        <v>1.4344115527107242</v>
      </c>
      <c r="AD112" s="19">
        <f t="shared" si="26"/>
        <v>316.79229905245268</v>
      </c>
      <c r="AH112">
        <v>109</v>
      </c>
      <c r="AI112" s="43">
        <f t="shared" si="27"/>
        <v>0.12717204930344006</v>
      </c>
      <c r="AJ112" s="43">
        <f t="shared" si="28"/>
        <v>9.9049200727065051E-2</v>
      </c>
      <c r="AK112" s="43">
        <f t="shared" si="29"/>
        <v>0.22622125003050511</v>
      </c>
      <c r="AL112" s="19">
        <f t="shared" si="30"/>
        <v>2.1837787499694952</v>
      </c>
      <c r="AM112" s="19">
        <f t="shared" si="31"/>
        <v>482.29135460974834</v>
      </c>
    </row>
    <row r="113" spans="15:39" x14ac:dyDescent="0.2">
      <c r="O113" s="42"/>
      <c r="P113" s="43"/>
      <c r="Q113" s="43"/>
      <c r="R113" s="43"/>
      <c r="S113" s="19"/>
      <c r="T113" s="19"/>
      <c r="U113" s="19"/>
      <c r="Y113" s="42">
        <v>110</v>
      </c>
      <c r="Z113" s="43">
        <f t="shared" si="22"/>
        <v>0.87187288426002052</v>
      </c>
      <c r="AA113" s="43">
        <f t="shared" si="23"/>
        <v>0.12059203288631651</v>
      </c>
      <c r="AB113" s="43">
        <f t="shared" si="24"/>
        <v>0.992464917146337</v>
      </c>
      <c r="AC113" s="19">
        <f t="shared" si="25"/>
        <v>1.417535082853663</v>
      </c>
      <c r="AD113" s="19">
        <f t="shared" si="26"/>
        <v>315.93725807266918</v>
      </c>
      <c r="AH113" s="42">
        <v>110</v>
      </c>
      <c r="AI113" s="43">
        <f t="shared" si="27"/>
        <v>0.12951618521771105</v>
      </c>
      <c r="AJ113" s="43">
        <f t="shared" si="28"/>
        <v>9.9957908990616101E-2</v>
      </c>
      <c r="AK113" s="43">
        <f t="shared" si="29"/>
        <v>0.22947409420832715</v>
      </c>
      <c r="AL113" s="19">
        <f t="shared" si="30"/>
        <v>2.180525905791673</v>
      </c>
      <c r="AM113" s="19">
        <f t="shared" si="31"/>
        <v>485.99105882119676</v>
      </c>
    </row>
    <row r="114" spans="15:39" x14ac:dyDescent="0.2">
      <c r="P114" s="43"/>
      <c r="Q114" s="43"/>
      <c r="R114" s="43"/>
      <c r="S114" s="19"/>
      <c r="T114" s="19"/>
      <c r="U114" s="19"/>
      <c r="Y114">
        <v>111</v>
      </c>
      <c r="Z114" s="43">
        <f t="shared" si="22"/>
        <v>0.88779717412956305</v>
      </c>
      <c r="AA114" s="43">
        <f t="shared" si="23"/>
        <v>0.12168832409437393</v>
      </c>
      <c r="AB114" s="43">
        <f t="shared" si="24"/>
        <v>1.009485498223937</v>
      </c>
      <c r="AC114" s="19">
        <f t="shared" si="25"/>
        <v>1.4005145017760632</v>
      </c>
      <c r="AD114" s="19">
        <f t="shared" si="26"/>
        <v>314.98141694053066</v>
      </c>
      <c r="AH114">
        <v>111</v>
      </c>
      <c r="AI114" s="43">
        <f t="shared" si="27"/>
        <v>0.13188172876590229</v>
      </c>
      <c r="AJ114" s="43">
        <f t="shared" si="28"/>
        <v>0.10086661725416715</v>
      </c>
      <c r="AK114" s="43">
        <f t="shared" si="29"/>
        <v>0.23274834602006944</v>
      </c>
      <c r="AL114" s="19">
        <f t="shared" si="30"/>
        <v>2.1772516539799307</v>
      </c>
      <c r="AM114" s="19">
        <f t="shared" si="31"/>
        <v>489.67276678465146</v>
      </c>
    </row>
    <row r="115" spans="15:39" x14ac:dyDescent="0.2">
      <c r="O115" s="42"/>
      <c r="P115" s="43"/>
      <c r="Q115" s="43"/>
      <c r="R115" s="43"/>
      <c r="S115" s="19"/>
      <c r="T115" s="19"/>
      <c r="U115" s="19"/>
      <c r="Y115" s="42">
        <v>112</v>
      </c>
      <c r="Z115" s="43">
        <f t="shared" si="22"/>
        <v>0.90386557521964439</v>
      </c>
      <c r="AA115" s="43">
        <f t="shared" si="23"/>
        <v>0.12278461530243134</v>
      </c>
      <c r="AB115" s="43">
        <f t="shared" si="24"/>
        <v>1.0266501905220757</v>
      </c>
      <c r="AC115" s="19">
        <f t="shared" si="25"/>
        <v>1.3833498094779244</v>
      </c>
      <c r="AD115" s="19">
        <f t="shared" si="26"/>
        <v>313.92389967764262</v>
      </c>
      <c r="AH115" s="42">
        <v>112</v>
      </c>
      <c r="AI115" s="43">
        <f t="shared" si="27"/>
        <v>0.13426867994801384</v>
      </c>
      <c r="AJ115" s="43">
        <f t="shared" si="28"/>
        <v>0.10177532551771822</v>
      </c>
      <c r="AK115" s="43">
        <f t="shared" si="29"/>
        <v>0.23604400546573207</v>
      </c>
      <c r="AL115" s="19">
        <f t="shared" si="30"/>
        <v>2.1739559945342681</v>
      </c>
      <c r="AM115" s="19">
        <f t="shared" si="31"/>
        <v>493.33634837405612</v>
      </c>
    </row>
    <row r="116" spans="15:39" x14ac:dyDescent="0.2">
      <c r="P116" s="43"/>
      <c r="Q116" s="43"/>
      <c r="R116" s="43"/>
      <c r="S116" s="19"/>
      <c r="T116" s="19"/>
      <c r="U116" s="19"/>
      <c r="Y116">
        <v>113</v>
      </c>
      <c r="Z116" s="43">
        <f t="shared" si="22"/>
        <v>0.92007808753026465</v>
      </c>
      <c r="AA116" s="43">
        <f t="shared" si="23"/>
        <v>0.12388090651048878</v>
      </c>
      <c r="AB116" s="43">
        <f t="shared" si="24"/>
        <v>1.0439589940407534</v>
      </c>
      <c r="AC116" s="19">
        <f t="shared" si="25"/>
        <v>1.3660410059592467</v>
      </c>
      <c r="AD116" s="19">
        <f t="shared" si="26"/>
        <v>312.76383030561095</v>
      </c>
      <c r="AH116">
        <v>113</v>
      </c>
      <c r="AI116" s="43">
        <f t="shared" si="27"/>
        <v>0.13667703876404563</v>
      </c>
      <c r="AJ116" s="43">
        <f t="shared" si="28"/>
        <v>0.10268403378126927</v>
      </c>
      <c r="AK116" s="43">
        <f t="shared" si="29"/>
        <v>0.23936107254531491</v>
      </c>
      <c r="AL116" s="19">
        <f t="shared" si="30"/>
        <v>2.1706389274546853</v>
      </c>
      <c r="AM116" s="19">
        <f t="shared" si="31"/>
        <v>496.98167346335441</v>
      </c>
    </row>
    <row r="117" spans="15:39" x14ac:dyDescent="0.2">
      <c r="O117" s="42"/>
      <c r="P117" s="43"/>
      <c r="Q117" s="43"/>
      <c r="R117" s="43"/>
      <c r="S117" s="19"/>
      <c r="T117" s="19"/>
      <c r="U117" s="19"/>
      <c r="Y117" s="42">
        <v>114</v>
      </c>
      <c r="Z117" s="43">
        <f t="shared" si="22"/>
        <v>0.93643471106142373</v>
      </c>
      <c r="AA117" s="43">
        <f t="shared" si="23"/>
        <v>0.12497719771854619</v>
      </c>
      <c r="AB117" s="43">
        <f t="shared" si="24"/>
        <v>1.0614119087799698</v>
      </c>
      <c r="AC117" s="19">
        <f t="shared" si="25"/>
        <v>1.3485880912200303</v>
      </c>
      <c r="AD117" s="19">
        <f t="shared" si="26"/>
        <v>311.50033284604137</v>
      </c>
      <c r="AH117" s="42">
        <v>114</v>
      </c>
      <c r="AI117" s="43">
        <f t="shared" si="27"/>
        <v>0.13910680521399774</v>
      </c>
      <c r="AJ117" s="43">
        <f t="shared" si="28"/>
        <v>0.10359274204482033</v>
      </c>
      <c r="AK117" s="43">
        <f t="shared" si="29"/>
        <v>0.24269954725881807</v>
      </c>
      <c r="AL117" s="19">
        <f t="shared" si="30"/>
        <v>2.1673004527411819</v>
      </c>
      <c r="AM117" s="19">
        <f t="shared" si="31"/>
        <v>500.6086119264902</v>
      </c>
    </row>
    <row r="118" spans="15:39" x14ac:dyDescent="0.2">
      <c r="P118" s="43"/>
      <c r="Q118" s="43"/>
      <c r="R118" s="43"/>
      <c r="S118" s="19"/>
      <c r="T118" s="19"/>
      <c r="U118" s="19"/>
      <c r="Y118">
        <v>115</v>
      </c>
      <c r="Z118" s="43">
        <f t="shared" si="22"/>
        <v>0.95293544581312162</v>
      </c>
      <c r="AA118" s="43">
        <f t="shared" si="23"/>
        <v>0.12607348892660361</v>
      </c>
      <c r="AB118" s="43">
        <f t="shared" si="24"/>
        <v>1.0790089347397251</v>
      </c>
      <c r="AC118" s="19">
        <f t="shared" si="25"/>
        <v>1.330991065260275</v>
      </c>
      <c r="AD118" s="19">
        <f t="shared" si="26"/>
        <v>310.13253132053967</v>
      </c>
      <c r="AH118">
        <v>115</v>
      </c>
      <c r="AI118" s="43">
        <f t="shared" si="27"/>
        <v>0.14155797929787012</v>
      </c>
      <c r="AJ118" s="43">
        <f t="shared" si="28"/>
        <v>0.10450145030837138</v>
      </c>
      <c r="AK118" s="43">
        <f t="shared" si="29"/>
        <v>0.2460594296062415</v>
      </c>
      <c r="AL118" s="19">
        <f t="shared" si="30"/>
        <v>2.1639405703937586</v>
      </c>
      <c r="AM118" s="19">
        <f t="shared" si="31"/>
        <v>504.21703363740744</v>
      </c>
    </row>
    <row r="119" spans="15:39" x14ac:dyDescent="0.2">
      <c r="O119" s="42"/>
      <c r="P119" s="43"/>
      <c r="Q119" s="43"/>
      <c r="R119" s="43"/>
      <c r="S119" s="19"/>
      <c r="T119" s="19"/>
      <c r="U119" s="19"/>
      <c r="Y119" s="42">
        <v>116</v>
      </c>
      <c r="Z119" s="43">
        <f t="shared" si="22"/>
        <v>0.96958029178535843</v>
      </c>
      <c r="AA119" s="43">
        <f t="shared" si="23"/>
        <v>0.12716978013466104</v>
      </c>
      <c r="AB119" s="43">
        <f t="shared" si="24"/>
        <v>1.0967500719200194</v>
      </c>
      <c r="AC119" s="19">
        <f t="shared" si="25"/>
        <v>1.3132499280799808</v>
      </c>
      <c r="AD119" s="19">
        <f t="shared" si="26"/>
        <v>308.65954975071156</v>
      </c>
      <c r="AH119" s="42">
        <v>116</v>
      </c>
      <c r="AI119" s="43">
        <f t="shared" si="27"/>
        <v>0.14403056101566278</v>
      </c>
      <c r="AJ119" s="43">
        <f t="shared" si="28"/>
        <v>0.10541015857192243</v>
      </c>
      <c r="AK119" s="43">
        <f t="shared" si="29"/>
        <v>0.24944071958758521</v>
      </c>
      <c r="AL119" s="19">
        <f t="shared" si="30"/>
        <v>2.1605592804124147</v>
      </c>
      <c r="AM119" s="19">
        <f t="shared" si="31"/>
        <v>507.80680847004976</v>
      </c>
    </row>
    <row r="120" spans="15:39" x14ac:dyDescent="0.2">
      <c r="P120" s="43"/>
      <c r="Q120" s="43"/>
      <c r="R120" s="43"/>
      <c r="S120" s="19"/>
      <c r="T120" s="19"/>
      <c r="U120" s="19"/>
      <c r="Y120">
        <v>117</v>
      </c>
      <c r="Z120" s="43">
        <f t="shared" si="22"/>
        <v>0.98636924897813394</v>
      </c>
      <c r="AA120" s="43">
        <f t="shared" si="23"/>
        <v>0.12826607134271847</v>
      </c>
      <c r="AB120" s="43">
        <f t="shared" si="24"/>
        <v>1.1146353203208523</v>
      </c>
      <c r="AC120" s="19">
        <f t="shared" si="25"/>
        <v>1.2953646796791478</v>
      </c>
      <c r="AD120" s="19">
        <f t="shared" si="26"/>
        <v>307.08051215816283</v>
      </c>
      <c r="AH120">
        <v>117</v>
      </c>
      <c r="AI120" s="43">
        <f t="shared" si="27"/>
        <v>0.14652455036737574</v>
      </c>
      <c r="AJ120" s="43">
        <f t="shared" si="28"/>
        <v>0.10631886683547349</v>
      </c>
      <c r="AK120" s="43">
        <f t="shared" si="29"/>
        <v>0.25284341720284925</v>
      </c>
      <c r="AL120" s="19">
        <f t="shared" si="30"/>
        <v>2.1571565827971511</v>
      </c>
      <c r="AM120" s="19">
        <f t="shared" si="31"/>
        <v>511.37780629836095</v>
      </c>
    </row>
    <row r="121" spans="15:39" x14ac:dyDescent="0.2">
      <c r="O121" s="42"/>
      <c r="P121" s="43"/>
      <c r="Q121" s="43"/>
      <c r="R121" s="43"/>
      <c r="S121" s="19"/>
      <c r="T121" s="19"/>
      <c r="U121" s="19"/>
      <c r="Y121" s="42">
        <v>118</v>
      </c>
      <c r="Z121" s="43">
        <f t="shared" si="22"/>
        <v>1.0033023173914484</v>
      </c>
      <c r="AA121" s="43">
        <f t="shared" si="23"/>
        <v>0.12936236255077588</v>
      </c>
      <c r="AB121" s="43">
        <f t="shared" si="24"/>
        <v>1.1326646799422242</v>
      </c>
      <c r="AC121" s="19">
        <f t="shared" si="25"/>
        <v>1.2773353200577759</v>
      </c>
      <c r="AD121" s="19">
        <f t="shared" si="26"/>
        <v>305.3945425644992</v>
      </c>
      <c r="AH121" s="42">
        <v>118</v>
      </c>
      <c r="AI121" s="43">
        <f t="shared" si="27"/>
        <v>0.14903994735300896</v>
      </c>
      <c r="AJ121" s="43">
        <f t="shared" si="28"/>
        <v>0.10722757509902454</v>
      </c>
      <c r="AK121" s="43">
        <f t="shared" si="29"/>
        <v>0.25626752245203349</v>
      </c>
      <c r="AL121" s="19">
        <f t="shared" si="30"/>
        <v>2.1537324775479667</v>
      </c>
      <c r="AM121" s="19">
        <f t="shared" si="31"/>
        <v>514.9298969962847</v>
      </c>
    </row>
    <row r="122" spans="15:39" x14ac:dyDescent="0.2">
      <c r="P122" s="43"/>
      <c r="Q122" s="43"/>
      <c r="R122" s="43"/>
      <c r="S122" s="19"/>
      <c r="T122" s="19"/>
      <c r="U122" s="19"/>
      <c r="Y122">
        <v>119</v>
      </c>
      <c r="Z122" s="43">
        <f t="shared" si="22"/>
        <v>1.0203794970253017</v>
      </c>
      <c r="AA122" s="43">
        <f t="shared" si="23"/>
        <v>0.13045865375883331</v>
      </c>
      <c r="AB122" s="43">
        <f t="shared" si="24"/>
        <v>1.150838150784135</v>
      </c>
      <c r="AC122" s="19">
        <f t="shared" si="25"/>
        <v>1.2591618492158652</v>
      </c>
      <c r="AD122" s="19">
        <f t="shared" si="26"/>
        <v>303.60076499132646</v>
      </c>
      <c r="AH122">
        <v>119</v>
      </c>
      <c r="AI122" s="43">
        <f t="shared" si="27"/>
        <v>0.15157675197256248</v>
      </c>
      <c r="AJ122" s="43">
        <f t="shared" si="28"/>
        <v>0.10813628336257561</v>
      </c>
      <c r="AK122" s="43">
        <f t="shared" si="29"/>
        <v>0.25971303533513812</v>
      </c>
      <c r="AL122" s="19">
        <f t="shared" si="30"/>
        <v>2.1502869646648621</v>
      </c>
      <c r="AM122" s="19">
        <f t="shared" si="31"/>
        <v>518.46295043776479</v>
      </c>
    </row>
    <row r="123" spans="15:39" x14ac:dyDescent="0.2">
      <c r="O123" s="42"/>
      <c r="P123" s="43"/>
      <c r="Q123" s="43"/>
      <c r="R123" s="43"/>
      <c r="S123" s="19"/>
      <c r="T123" s="19"/>
      <c r="U123" s="19"/>
      <c r="Y123" s="42">
        <v>120</v>
      </c>
      <c r="Z123" s="43">
        <f t="shared" si="22"/>
        <v>1.0376007878796938</v>
      </c>
      <c r="AA123" s="43">
        <f t="shared" si="23"/>
        <v>0.13155494496689074</v>
      </c>
      <c r="AB123" s="43">
        <f t="shared" si="24"/>
        <v>1.1691557328465845</v>
      </c>
      <c r="AC123" s="19">
        <f t="shared" si="25"/>
        <v>1.2408442671534157</v>
      </c>
      <c r="AD123" s="19">
        <f t="shared" si="26"/>
        <v>301.6983034602502</v>
      </c>
      <c r="AH123" s="42">
        <v>120</v>
      </c>
      <c r="AI123" s="43">
        <f t="shared" si="27"/>
        <v>0.15413496422603629</v>
      </c>
      <c r="AJ123" s="43">
        <f t="shared" si="28"/>
        <v>0.10904499162612666</v>
      </c>
      <c r="AK123" s="43">
        <f t="shared" si="29"/>
        <v>0.26317995585216292</v>
      </c>
      <c r="AL123" s="19">
        <f t="shared" si="30"/>
        <v>2.1468200441478373</v>
      </c>
      <c r="AM123" s="19">
        <f t="shared" si="31"/>
        <v>521.97683649674525</v>
      </c>
    </row>
    <row r="124" spans="15:39" x14ac:dyDescent="0.2">
      <c r="P124" s="43"/>
      <c r="Q124" s="43"/>
      <c r="R124" s="43"/>
      <c r="S124" s="19"/>
      <c r="T124" s="19"/>
      <c r="U124" s="19"/>
      <c r="Y124">
        <v>121</v>
      </c>
      <c r="Z124" s="43">
        <f t="shared" si="22"/>
        <v>1.0549661899546248</v>
      </c>
      <c r="AA124" s="43">
        <f t="shared" si="23"/>
        <v>0.13265123617494815</v>
      </c>
      <c r="AB124" s="43">
        <f t="shared" si="24"/>
        <v>1.1876174261295729</v>
      </c>
      <c r="AC124" s="19">
        <f t="shared" si="25"/>
        <v>1.2223825738704273</v>
      </c>
      <c r="AD124" s="19">
        <f t="shared" si="26"/>
        <v>299.68628199287645</v>
      </c>
      <c r="AH124">
        <v>121</v>
      </c>
      <c r="AI124" s="43">
        <f t="shared" si="27"/>
        <v>0.15671458411343037</v>
      </c>
      <c r="AJ124" s="43">
        <f t="shared" si="28"/>
        <v>0.10995369988967771</v>
      </c>
      <c r="AK124" s="43">
        <f t="shared" si="29"/>
        <v>0.26666828400310805</v>
      </c>
      <c r="AL124" s="19">
        <f t="shared" si="30"/>
        <v>2.1433317159968919</v>
      </c>
      <c r="AM124" s="19">
        <f t="shared" si="31"/>
        <v>525.47142504716953</v>
      </c>
    </row>
    <row r="125" spans="15:39" x14ac:dyDescent="0.2">
      <c r="O125" s="42"/>
      <c r="P125" s="43"/>
      <c r="Q125" s="43"/>
      <c r="R125" s="43"/>
      <c r="S125" s="19"/>
      <c r="T125" s="19"/>
      <c r="U125" s="19"/>
      <c r="Y125" s="42">
        <v>122</v>
      </c>
      <c r="Z125" s="43">
        <f t="shared" si="22"/>
        <v>1.0724757032500947</v>
      </c>
      <c r="AA125" s="43">
        <f t="shared" si="23"/>
        <v>0.13374752738300558</v>
      </c>
      <c r="AB125" s="43">
        <f t="shared" si="24"/>
        <v>1.2062232306331002</v>
      </c>
      <c r="AC125" s="19">
        <f t="shared" si="25"/>
        <v>1.2037767693668999</v>
      </c>
      <c r="AD125" s="19">
        <f t="shared" si="26"/>
        <v>297.56382461081068</v>
      </c>
      <c r="AH125" s="42">
        <v>122</v>
      </c>
      <c r="AI125" s="43">
        <f t="shared" si="27"/>
        <v>0.15931561163474472</v>
      </c>
      <c r="AJ125" s="43">
        <f t="shared" si="28"/>
        <v>0.11086240815322877</v>
      </c>
      <c r="AK125" s="43">
        <f t="shared" si="29"/>
        <v>0.27017801978797351</v>
      </c>
      <c r="AL125" s="19">
        <f t="shared" si="30"/>
        <v>2.1398219802120266</v>
      </c>
      <c r="AM125" s="19">
        <f t="shared" si="31"/>
        <v>528.94658596298154</v>
      </c>
    </row>
    <row r="126" spans="15:39" x14ac:dyDescent="0.2">
      <c r="P126" s="43"/>
      <c r="Q126" s="43"/>
      <c r="R126" s="43"/>
      <c r="S126" s="19"/>
      <c r="T126" s="19"/>
      <c r="U126" s="19"/>
      <c r="Y126">
        <v>123</v>
      </c>
      <c r="Z126" s="43">
        <f t="shared" si="22"/>
        <v>1.0901293277661033</v>
      </c>
      <c r="AA126" s="43">
        <f t="shared" si="23"/>
        <v>0.13484381859106301</v>
      </c>
      <c r="AB126" s="43">
        <f t="shared" si="24"/>
        <v>1.2249731463571663</v>
      </c>
      <c r="AC126" s="19">
        <f t="shared" si="25"/>
        <v>1.1850268536428339</v>
      </c>
      <c r="AD126" s="19">
        <f t="shared" si="26"/>
        <v>295.33005533565881</v>
      </c>
      <c r="AH126">
        <v>123</v>
      </c>
      <c r="AI126" s="43">
        <f t="shared" si="27"/>
        <v>0.16193804678997936</v>
      </c>
      <c r="AJ126" s="43">
        <f t="shared" si="28"/>
        <v>0.11177111641677982</v>
      </c>
      <c r="AK126" s="43">
        <f t="shared" si="29"/>
        <v>0.2737091632067592</v>
      </c>
      <c r="AL126" s="19">
        <f t="shared" si="30"/>
        <v>2.1362908367932407</v>
      </c>
      <c r="AM126" s="19">
        <f t="shared" si="31"/>
        <v>532.40218911812497</v>
      </c>
    </row>
    <row r="127" spans="15:39" x14ac:dyDescent="0.2">
      <c r="O127" s="42"/>
      <c r="P127" s="43"/>
      <c r="Q127" s="43"/>
      <c r="R127" s="43"/>
      <c r="S127" s="19"/>
      <c r="T127" s="19"/>
      <c r="U127" s="19"/>
      <c r="Y127" s="42">
        <v>124</v>
      </c>
      <c r="Z127" s="43">
        <f t="shared" si="22"/>
        <v>1.1079270635026508</v>
      </c>
      <c r="AA127" s="43">
        <f t="shared" si="23"/>
        <v>0.13594010979912041</v>
      </c>
      <c r="AB127" s="43">
        <f t="shared" si="24"/>
        <v>1.2438671733017712</v>
      </c>
      <c r="AC127" s="19">
        <f t="shared" si="25"/>
        <v>1.1661328266982289</v>
      </c>
      <c r="AD127" s="19">
        <f t="shared" si="26"/>
        <v>292.98409818902655</v>
      </c>
      <c r="AH127" s="42">
        <v>124</v>
      </c>
      <c r="AI127" s="43">
        <f t="shared" si="27"/>
        <v>0.16458188957913431</v>
      </c>
      <c r="AJ127" s="43">
        <f t="shared" si="28"/>
        <v>0.11267982468033087</v>
      </c>
      <c r="AK127" s="43">
        <f t="shared" si="29"/>
        <v>0.27726171425946516</v>
      </c>
      <c r="AL127" s="19">
        <f t="shared" si="30"/>
        <v>2.132738285740535</v>
      </c>
      <c r="AM127" s="19">
        <f t="shared" si="31"/>
        <v>535.83810438654393</v>
      </c>
    </row>
    <row r="128" spans="15:39" x14ac:dyDescent="0.2">
      <c r="P128" s="43"/>
      <c r="Q128" s="43"/>
      <c r="R128" s="43"/>
      <c r="S128" s="19"/>
      <c r="T128" s="19"/>
      <c r="U128" s="19"/>
      <c r="Y128">
        <v>125</v>
      </c>
      <c r="Z128" s="43">
        <f t="shared" si="22"/>
        <v>1.1258689104597372</v>
      </c>
      <c r="AA128" s="43">
        <f t="shared" si="23"/>
        <v>0.13703640100717784</v>
      </c>
      <c r="AB128" s="43">
        <f t="shared" si="24"/>
        <v>1.2629053114669151</v>
      </c>
      <c r="AC128" s="19">
        <f t="shared" si="25"/>
        <v>1.147094688533085</v>
      </c>
      <c r="AD128" s="19">
        <f t="shared" si="26"/>
        <v>290.52507719251963</v>
      </c>
      <c r="AH128">
        <v>125</v>
      </c>
      <c r="AI128" s="43">
        <f t="shared" si="27"/>
        <v>0.1672471400022095</v>
      </c>
      <c r="AJ128" s="43">
        <f t="shared" si="28"/>
        <v>0.11358853294388194</v>
      </c>
      <c r="AK128" s="43">
        <f t="shared" si="29"/>
        <v>0.28083567294609146</v>
      </c>
      <c r="AL128" s="19">
        <f t="shared" si="30"/>
        <v>2.1291643270539087</v>
      </c>
      <c r="AM128" s="19">
        <f t="shared" si="31"/>
        <v>539.2542016421819</v>
      </c>
    </row>
    <row r="129" spans="15:39" x14ac:dyDescent="0.2">
      <c r="O129" s="42"/>
      <c r="P129" s="43"/>
      <c r="Q129" s="43"/>
      <c r="R129" s="43"/>
      <c r="S129" s="19"/>
      <c r="T129" s="19"/>
      <c r="U129" s="19"/>
      <c r="Y129" s="42">
        <v>126</v>
      </c>
      <c r="Z129" s="43">
        <f t="shared" si="22"/>
        <v>1.1439548686373624</v>
      </c>
      <c r="AA129" s="43">
        <f t="shared" si="23"/>
        <v>0.13813269221523528</v>
      </c>
      <c r="AB129" s="43">
        <f t="shared" si="24"/>
        <v>1.2820875608525977</v>
      </c>
      <c r="AC129" s="19">
        <f t="shared" si="25"/>
        <v>1.1279124391474025</v>
      </c>
      <c r="AD129" s="19">
        <f t="shared" si="26"/>
        <v>287.95211636774394</v>
      </c>
      <c r="AH129" s="42">
        <v>126</v>
      </c>
      <c r="AI129" s="43">
        <f t="shared" si="27"/>
        <v>0.169933798059205</v>
      </c>
      <c r="AJ129" s="43">
        <f t="shared" si="28"/>
        <v>0.11449724120743299</v>
      </c>
      <c r="AK129" s="43">
        <f t="shared" si="29"/>
        <v>0.28443103926663799</v>
      </c>
      <c r="AL129" s="19">
        <f t="shared" si="30"/>
        <v>2.1255689607333621</v>
      </c>
      <c r="AM129" s="19">
        <f t="shared" si="31"/>
        <v>542.65035075898265</v>
      </c>
    </row>
    <row r="130" spans="15:39" x14ac:dyDescent="0.2">
      <c r="P130" s="43"/>
      <c r="Q130" s="43"/>
      <c r="R130" s="43"/>
      <c r="S130" s="19"/>
      <c r="T130" s="19"/>
      <c r="U130" s="19"/>
      <c r="Y130">
        <v>127</v>
      </c>
      <c r="Z130" s="43">
        <f t="shared" si="22"/>
        <v>1.1621849380355265</v>
      </c>
      <c r="AA130" s="43">
        <f t="shared" si="23"/>
        <v>0.13922898342329268</v>
      </c>
      <c r="AB130" s="43">
        <f t="shared" si="24"/>
        <v>1.3014139214588192</v>
      </c>
      <c r="AC130" s="19">
        <f t="shared" si="25"/>
        <v>1.108586078541181</v>
      </c>
      <c r="AD130" s="19">
        <f t="shared" si="26"/>
        <v>285.26433973630498</v>
      </c>
      <c r="AH130">
        <v>127</v>
      </c>
      <c r="AI130" s="43">
        <f t="shared" si="27"/>
        <v>0.17264186375012078</v>
      </c>
      <c r="AJ130" s="43">
        <f t="shared" si="28"/>
        <v>0.11540594947098405</v>
      </c>
      <c r="AK130" s="43">
        <f t="shared" si="29"/>
        <v>0.28804781322110484</v>
      </c>
      <c r="AL130" s="19">
        <f t="shared" si="30"/>
        <v>2.1219521867788953</v>
      </c>
      <c r="AM130" s="19">
        <f t="shared" si="31"/>
        <v>546.02642161089011</v>
      </c>
    </row>
    <row r="131" spans="15:39" x14ac:dyDescent="0.2">
      <c r="O131" s="42"/>
      <c r="P131" s="43"/>
      <c r="Q131" s="43"/>
      <c r="R131" s="43"/>
      <c r="S131" s="19"/>
      <c r="T131" s="19"/>
      <c r="U131" s="19"/>
      <c r="Y131" s="42">
        <v>128</v>
      </c>
      <c r="Z131" s="43">
        <f t="shared" si="22"/>
        <v>1.1805591186542295</v>
      </c>
      <c r="AA131" s="43">
        <f t="shared" si="23"/>
        <v>0.14032527463135011</v>
      </c>
      <c r="AB131" s="43">
        <f t="shared" si="24"/>
        <v>1.3208843932855796</v>
      </c>
      <c r="AC131" s="19">
        <f t="shared" si="25"/>
        <v>1.0891156067144205</v>
      </c>
      <c r="AD131" s="19">
        <f t="shared" si="26"/>
        <v>282.46087131980869</v>
      </c>
      <c r="AH131" s="42">
        <v>128</v>
      </c>
      <c r="AI131" s="43">
        <f t="shared" si="27"/>
        <v>0.17537133707495683</v>
      </c>
      <c r="AJ131" s="43">
        <f t="shared" si="28"/>
        <v>0.1163146577345351</v>
      </c>
      <c r="AK131" s="43">
        <f t="shared" si="29"/>
        <v>0.29168599480949192</v>
      </c>
      <c r="AL131" s="19">
        <f t="shared" si="30"/>
        <v>2.1183140051905083</v>
      </c>
      <c r="AM131" s="19">
        <f t="shared" si="31"/>
        <v>549.38228407184772</v>
      </c>
    </row>
    <row r="132" spans="15:39" x14ac:dyDescent="0.2">
      <c r="P132" s="43"/>
      <c r="Q132" s="43"/>
      <c r="R132" s="43"/>
      <c r="S132" s="19"/>
      <c r="T132" s="19"/>
      <c r="U132" s="19"/>
      <c r="Y132">
        <v>129</v>
      </c>
      <c r="Z132" s="43">
        <f t="shared" ref="Z132:Z190" si="32">(Y132^2)*$L$4</f>
        <v>1.1990774104934712</v>
      </c>
      <c r="AA132" s="43">
        <f t="shared" ref="AA132:AA190" si="33">Y132*$M$4</f>
        <v>0.14142156583940754</v>
      </c>
      <c r="AB132" s="43">
        <f t="shared" ref="AB132:AB190" si="34">Z132+AA132</f>
        <v>1.3404989763328787</v>
      </c>
      <c r="AC132" s="19">
        <f t="shared" ref="AC132:AC190" si="35">$K$4-AB132</f>
        <v>1.0695010236671214</v>
      </c>
      <c r="AD132" s="19">
        <f t="shared" ref="AD132:AD190" si="36">Y132*0.8*(AC132/((424.48+365.19)/2))*1000</f>
        <v>279.54083513986075</v>
      </c>
      <c r="AH132">
        <v>129</v>
      </c>
      <c r="AI132" s="43">
        <f t="shared" ref="AI132:AI195" si="37">(AH132^2)*$L$5</f>
        <v>0.17812221803371317</v>
      </c>
      <c r="AJ132" s="43">
        <f t="shared" ref="AJ132:AJ195" si="38">AH132*$M$5</f>
        <v>0.11722336599808615</v>
      </c>
      <c r="AK132" s="43">
        <f t="shared" ref="AK132:AK195" si="39">AI132+AJ132</f>
        <v>0.29534558403179934</v>
      </c>
      <c r="AL132" s="19">
        <f t="shared" ref="AL132:AL195" si="40">$K$5-AK132</f>
        <v>2.114654415968201</v>
      </c>
      <c r="AM132" s="19">
        <f t="shared" ref="AM132:AM195" si="41">AH132*0.8*(AL132/((424.48+365.19)/2))*1000</f>
        <v>552.71780801579985</v>
      </c>
    </row>
    <row r="133" spans="15:39" x14ac:dyDescent="0.2">
      <c r="O133" s="42"/>
      <c r="P133" s="43"/>
      <c r="Q133" s="43"/>
      <c r="R133" s="43"/>
      <c r="S133" s="19"/>
      <c r="T133" s="19"/>
      <c r="U133" s="19"/>
      <c r="Y133" s="42">
        <v>130</v>
      </c>
      <c r="Z133" s="43">
        <f t="shared" si="32"/>
        <v>1.2177398135532518</v>
      </c>
      <c r="AA133" s="43">
        <f t="shared" si="33"/>
        <v>0.14251785704746495</v>
      </c>
      <c r="AB133" s="43">
        <f t="shared" si="34"/>
        <v>1.3602576706007168</v>
      </c>
      <c r="AC133" s="19">
        <f t="shared" si="35"/>
        <v>1.0497423293992834</v>
      </c>
      <c r="AD133" s="19">
        <f t="shared" si="36"/>
        <v>276.50335521806693</v>
      </c>
      <c r="AH133" s="42">
        <v>130</v>
      </c>
      <c r="AI133" s="43">
        <f t="shared" si="37"/>
        <v>0.18089450662638981</v>
      </c>
      <c r="AJ133" s="43">
        <f t="shared" si="38"/>
        <v>0.11813207426163722</v>
      </c>
      <c r="AK133" s="43">
        <f t="shared" si="39"/>
        <v>0.29902658088802703</v>
      </c>
      <c r="AL133" s="19">
        <f t="shared" si="40"/>
        <v>2.1109734191119731</v>
      </c>
      <c r="AM133" s="19">
        <f t="shared" si="41"/>
        <v>556.03286331668983</v>
      </c>
    </row>
    <row r="134" spans="15:39" x14ac:dyDescent="0.2">
      <c r="P134" s="43"/>
      <c r="Q134" s="43"/>
      <c r="R134" s="43"/>
      <c r="S134" s="19"/>
      <c r="T134" s="19"/>
      <c r="U134" s="19"/>
      <c r="Y134">
        <v>131</v>
      </c>
      <c r="Z134" s="43">
        <f t="shared" si="32"/>
        <v>1.2365463278335713</v>
      </c>
      <c r="AA134" s="43">
        <f t="shared" si="33"/>
        <v>0.14361414825552238</v>
      </c>
      <c r="AB134" s="43">
        <f t="shared" si="34"/>
        <v>1.3801604760890938</v>
      </c>
      <c r="AC134" s="19">
        <f t="shared" si="35"/>
        <v>1.0298395239109064</v>
      </c>
      <c r="AD134" s="19">
        <f t="shared" si="36"/>
        <v>273.34755557603296</v>
      </c>
      <c r="AH134">
        <v>131</v>
      </c>
      <c r="AI134" s="43">
        <f t="shared" si="37"/>
        <v>0.1836882028529867</v>
      </c>
      <c r="AJ134" s="43">
        <f t="shared" si="38"/>
        <v>0.11904078252518827</v>
      </c>
      <c r="AK134" s="43">
        <f t="shared" si="39"/>
        <v>0.30272898537817494</v>
      </c>
      <c r="AL134" s="19">
        <f t="shared" si="40"/>
        <v>2.1072710146218254</v>
      </c>
      <c r="AM134" s="19">
        <f t="shared" si="41"/>
        <v>559.32731984846146</v>
      </c>
    </row>
    <row r="135" spans="15:39" x14ac:dyDescent="0.2">
      <c r="O135" s="42"/>
      <c r="P135" s="43"/>
      <c r="Q135" s="43"/>
      <c r="R135" s="43"/>
      <c r="S135" s="19"/>
      <c r="T135" s="19"/>
      <c r="U135" s="19"/>
      <c r="Y135" s="42">
        <v>132</v>
      </c>
      <c r="Z135" s="43">
        <f t="shared" si="32"/>
        <v>1.2554969533344296</v>
      </c>
      <c r="AA135" s="43">
        <f t="shared" si="33"/>
        <v>0.14471043946357981</v>
      </c>
      <c r="AB135" s="43">
        <f t="shared" si="34"/>
        <v>1.4002073927980094</v>
      </c>
      <c r="AC135" s="19">
        <f t="shared" si="35"/>
        <v>1.0097926072019907</v>
      </c>
      <c r="AD135" s="19">
        <f t="shared" si="36"/>
        <v>270.07256023536468</v>
      </c>
      <c r="AH135" s="42">
        <v>132</v>
      </c>
      <c r="AI135" s="43">
        <f t="shared" si="37"/>
        <v>0.1865033067135039</v>
      </c>
      <c r="AJ135" s="43">
        <f t="shared" si="38"/>
        <v>0.11994949078873933</v>
      </c>
      <c r="AK135" s="43">
        <f t="shared" si="39"/>
        <v>0.30645279750224325</v>
      </c>
      <c r="AL135" s="19">
        <f t="shared" si="40"/>
        <v>2.1035472024977571</v>
      </c>
      <c r="AM135" s="19">
        <f t="shared" si="41"/>
        <v>562.60104748505864</v>
      </c>
    </row>
    <row r="136" spans="15:39" x14ac:dyDescent="0.2">
      <c r="P136" s="43"/>
      <c r="Q136" s="43"/>
      <c r="R136" s="43"/>
      <c r="S136" s="19"/>
      <c r="T136" s="19"/>
      <c r="U136" s="19"/>
      <c r="Y136">
        <v>133</v>
      </c>
      <c r="Z136" s="43">
        <f t="shared" si="32"/>
        <v>1.2745916900558267</v>
      </c>
      <c r="AA136" s="43">
        <f t="shared" si="33"/>
        <v>0.14580673067163721</v>
      </c>
      <c r="AB136" s="43">
        <f t="shared" si="34"/>
        <v>1.420398420727464</v>
      </c>
      <c r="AC136" s="19">
        <f t="shared" si="35"/>
        <v>0.98960157927253611</v>
      </c>
      <c r="AD136" s="19">
        <f t="shared" si="36"/>
        <v>266.67749321766775</v>
      </c>
      <c r="AH136">
        <v>133</v>
      </c>
      <c r="AI136" s="43">
        <f t="shared" si="37"/>
        <v>0.18933981820794138</v>
      </c>
      <c r="AJ136" s="43">
        <f t="shared" si="38"/>
        <v>0.12085819905229038</v>
      </c>
      <c r="AK136" s="43">
        <f t="shared" si="39"/>
        <v>0.31019801726023177</v>
      </c>
      <c r="AL136" s="19">
        <f t="shared" si="40"/>
        <v>2.0998019827397685</v>
      </c>
      <c r="AM136" s="19">
        <f t="shared" si="41"/>
        <v>565.85391610042518</v>
      </c>
    </row>
    <row r="137" spans="15:39" x14ac:dyDescent="0.2">
      <c r="O137" s="42"/>
      <c r="P137" s="43"/>
      <c r="Q137" s="43"/>
      <c r="R137" s="43"/>
      <c r="S137" s="19"/>
      <c r="T137" s="19"/>
      <c r="U137" s="19"/>
      <c r="Y137" s="42">
        <v>134</v>
      </c>
      <c r="Z137" s="43">
        <f t="shared" si="32"/>
        <v>1.2938305379977628</v>
      </c>
      <c r="AA137" s="43">
        <f t="shared" si="33"/>
        <v>0.14690302187969465</v>
      </c>
      <c r="AB137" s="43">
        <f t="shared" si="34"/>
        <v>1.4407335598774575</v>
      </c>
      <c r="AC137" s="19">
        <f t="shared" si="35"/>
        <v>0.96926644012254259</v>
      </c>
      <c r="AD137" s="19">
        <f t="shared" si="36"/>
        <v>263.16147854454783</v>
      </c>
      <c r="AH137" s="42">
        <v>134</v>
      </c>
      <c r="AI137" s="43">
        <f t="shared" si="37"/>
        <v>0.19219773733629913</v>
      </c>
      <c r="AJ137" s="43">
        <f t="shared" si="38"/>
        <v>0.12176690731584143</v>
      </c>
      <c r="AK137" s="43">
        <f t="shared" si="39"/>
        <v>0.31396464465214058</v>
      </c>
      <c r="AL137" s="19">
        <f t="shared" si="40"/>
        <v>2.0960353553478597</v>
      </c>
      <c r="AM137" s="19">
        <f t="shared" si="41"/>
        <v>569.08579556850464</v>
      </c>
    </row>
    <row r="138" spans="15:39" x14ac:dyDescent="0.2">
      <c r="P138" s="43"/>
      <c r="Q138" s="43"/>
      <c r="R138" s="43"/>
      <c r="S138" s="19"/>
      <c r="T138" s="19"/>
      <c r="U138" s="19"/>
      <c r="Y138">
        <v>135</v>
      </c>
      <c r="Z138" s="43">
        <f t="shared" si="32"/>
        <v>1.3132134971602376</v>
      </c>
      <c r="AA138" s="43">
        <f t="shared" si="33"/>
        <v>0.14799931308775208</v>
      </c>
      <c r="AB138" s="43">
        <f t="shared" si="34"/>
        <v>1.4612128102479898</v>
      </c>
      <c r="AC138" s="19">
        <f t="shared" si="35"/>
        <v>0.94878718975201037</v>
      </c>
      <c r="AD138" s="19">
        <f t="shared" si="36"/>
        <v>259.52364023761095</v>
      </c>
      <c r="AH138">
        <v>135</v>
      </c>
      <c r="AI138" s="43">
        <f t="shared" si="37"/>
        <v>0.19507706409857717</v>
      </c>
      <c r="AJ138" s="43">
        <f t="shared" si="38"/>
        <v>0.12267561557939249</v>
      </c>
      <c r="AK138" s="43">
        <f t="shared" si="39"/>
        <v>0.31775267967796966</v>
      </c>
      <c r="AL138" s="19">
        <f t="shared" si="40"/>
        <v>2.0922473203220306</v>
      </c>
      <c r="AM138" s="19">
        <f t="shared" si="41"/>
        <v>572.29655576324103</v>
      </c>
    </row>
    <row r="139" spans="15:39" x14ac:dyDescent="0.2">
      <c r="O139" s="42"/>
      <c r="P139" s="43"/>
      <c r="Q139" s="43"/>
      <c r="R139" s="43"/>
      <c r="S139" s="19"/>
      <c r="T139" s="19"/>
      <c r="U139" s="19"/>
      <c r="Y139" s="42">
        <v>136</v>
      </c>
      <c r="Z139" s="43">
        <f t="shared" si="32"/>
        <v>1.3327405675432513</v>
      </c>
      <c r="AA139" s="43">
        <f t="shared" si="33"/>
        <v>0.14909560429580948</v>
      </c>
      <c r="AB139" s="43">
        <f t="shared" si="34"/>
        <v>1.4818361718390607</v>
      </c>
      <c r="AC139" s="19">
        <f t="shared" si="35"/>
        <v>0.92816382816093945</v>
      </c>
      <c r="AD139" s="19">
        <f t="shared" si="36"/>
        <v>255.76310231846267</v>
      </c>
      <c r="AH139" s="42">
        <v>136</v>
      </c>
      <c r="AI139" s="43">
        <f t="shared" si="37"/>
        <v>0.19797779849477548</v>
      </c>
      <c r="AJ139" s="43">
        <f t="shared" si="38"/>
        <v>0.12358432384294354</v>
      </c>
      <c r="AK139" s="43">
        <f t="shared" si="39"/>
        <v>0.32156212233771903</v>
      </c>
      <c r="AL139" s="19">
        <f t="shared" si="40"/>
        <v>2.088437877662281</v>
      </c>
      <c r="AM139" s="19">
        <f t="shared" si="41"/>
        <v>575.48606655857805</v>
      </c>
    </row>
    <row r="140" spans="15:39" x14ac:dyDescent="0.2">
      <c r="P140" s="43"/>
      <c r="Q140" s="43"/>
      <c r="R140" s="43"/>
      <c r="S140" s="19"/>
      <c r="T140" s="19"/>
      <c r="U140" s="19"/>
      <c r="Y140">
        <v>137</v>
      </c>
      <c r="Z140" s="43">
        <f t="shared" si="32"/>
        <v>1.3524117491468037</v>
      </c>
      <c r="AA140" s="43">
        <f t="shared" si="33"/>
        <v>0.15019189550386691</v>
      </c>
      <c r="AB140" s="43">
        <f t="shared" si="34"/>
        <v>1.5026036446506708</v>
      </c>
      <c r="AC140" s="19">
        <f t="shared" si="35"/>
        <v>0.90739635534932939</v>
      </c>
      <c r="AD140" s="19">
        <f t="shared" si="36"/>
        <v>251.87898880870867</v>
      </c>
      <c r="AH140">
        <v>137</v>
      </c>
      <c r="AI140" s="43">
        <f t="shared" si="37"/>
        <v>0.2008999405248941</v>
      </c>
      <c r="AJ140" s="43">
        <f t="shared" si="38"/>
        <v>0.12449303210649459</v>
      </c>
      <c r="AK140" s="43">
        <f t="shared" si="39"/>
        <v>0.32539297263138867</v>
      </c>
      <c r="AL140" s="19">
        <f t="shared" si="40"/>
        <v>2.0846070273686115</v>
      </c>
      <c r="AM140" s="19">
        <f t="shared" si="41"/>
        <v>578.65419782845947</v>
      </c>
    </row>
    <row r="141" spans="15:39" x14ac:dyDescent="0.2">
      <c r="O141" s="42"/>
      <c r="P141" s="43"/>
      <c r="Q141" s="43"/>
      <c r="R141" s="43"/>
      <c r="S141" s="19"/>
      <c r="T141" s="19"/>
      <c r="U141" s="19"/>
      <c r="Y141" s="42">
        <v>138</v>
      </c>
      <c r="Z141" s="43">
        <f t="shared" si="32"/>
        <v>1.3722270419708951</v>
      </c>
      <c r="AA141" s="43">
        <f t="shared" si="33"/>
        <v>0.15128818671192434</v>
      </c>
      <c r="AB141" s="43">
        <f t="shared" si="34"/>
        <v>1.5235152286828195</v>
      </c>
      <c r="AC141" s="19">
        <f t="shared" si="35"/>
        <v>0.88648477131718062</v>
      </c>
      <c r="AD141" s="19">
        <f t="shared" si="36"/>
        <v>247.87042372995492</v>
      </c>
      <c r="AH141" s="42">
        <v>138</v>
      </c>
      <c r="AI141" s="43">
        <f t="shared" si="37"/>
        <v>0.20384349018893297</v>
      </c>
      <c r="AJ141" s="43">
        <f t="shared" si="38"/>
        <v>0.12540174037004564</v>
      </c>
      <c r="AK141" s="43">
        <f t="shared" si="39"/>
        <v>0.32924523055897859</v>
      </c>
      <c r="AL141" s="19">
        <f t="shared" si="40"/>
        <v>2.0807547694410218</v>
      </c>
      <c r="AM141" s="19">
        <f t="shared" si="41"/>
        <v>581.80081944682911</v>
      </c>
    </row>
    <row r="142" spans="15:39" x14ac:dyDescent="0.2">
      <c r="P142" s="43"/>
      <c r="Q142" s="43"/>
      <c r="R142" s="43"/>
      <c r="S142" s="19"/>
      <c r="T142" s="19"/>
      <c r="U142" s="19"/>
      <c r="Y142">
        <v>139</v>
      </c>
      <c r="Z142" s="43">
        <f t="shared" si="32"/>
        <v>1.3921864460155253</v>
      </c>
      <c r="AA142" s="43">
        <f t="shared" si="33"/>
        <v>0.15238447791998175</v>
      </c>
      <c r="AB142" s="43">
        <f t="shared" si="34"/>
        <v>1.544570923935507</v>
      </c>
      <c r="AC142" s="19">
        <f t="shared" si="35"/>
        <v>0.86542907606449315</v>
      </c>
      <c r="AD142" s="19">
        <f t="shared" si="36"/>
        <v>243.73653110380701</v>
      </c>
      <c r="AH142">
        <v>139</v>
      </c>
      <c r="AI142" s="43">
        <f t="shared" si="37"/>
        <v>0.20680844748689214</v>
      </c>
      <c r="AJ142" s="43">
        <f t="shared" si="38"/>
        <v>0.12631044863359672</v>
      </c>
      <c r="AK142" s="43">
        <f t="shared" si="39"/>
        <v>0.33311889612048884</v>
      </c>
      <c r="AL142" s="19">
        <f t="shared" si="40"/>
        <v>2.0768811038795114</v>
      </c>
      <c r="AM142" s="19">
        <f t="shared" si="41"/>
        <v>584.92580128763063</v>
      </c>
    </row>
    <row r="143" spans="15:39" x14ac:dyDescent="0.2">
      <c r="O143" s="42"/>
      <c r="P143" s="43"/>
      <c r="Q143" s="43"/>
      <c r="R143" s="43"/>
      <c r="S143" s="19"/>
      <c r="T143" s="19"/>
      <c r="U143" s="19"/>
      <c r="Y143" s="42">
        <v>140</v>
      </c>
      <c r="Z143" s="43">
        <f t="shared" si="32"/>
        <v>1.4122899612806945</v>
      </c>
      <c r="AA143" s="43">
        <f t="shared" si="33"/>
        <v>0.15348076912803918</v>
      </c>
      <c r="AB143" s="43">
        <f t="shared" si="34"/>
        <v>1.5657707304087336</v>
      </c>
      <c r="AC143" s="19">
        <f t="shared" si="35"/>
        <v>0.84422926959126654</v>
      </c>
      <c r="AD143" s="19">
        <f t="shared" si="36"/>
        <v>239.47643495187063</v>
      </c>
      <c r="AH143" s="42">
        <v>140</v>
      </c>
      <c r="AI143" s="43">
        <f t="shared" si="37"/>
        <v>0.2097948124187716</v>
      </c>
      <c r="AJ143" s="43">
        <f t="shared" si="38"/>
        <v>0.12721915689714777</v>
      </c>
      <c r="AK143" s="43">
        <f t="shared" si="39"/>
        <v>0.33701396931591937</v>
      </c>
      <c r="AL143" s="19">
        <f t="shared" si="40"/>
        <v>2.0729860306840808</v>
      </c>
      <c r="AM143" s="19">
        <f t="shared" si="41"/>
        <v>588.02901322480784</v>
      </c>
    </row>
    <row r="144" spans="15:39" x14ac:dyDescent="0.2">
      <c r="P144" s="43"/>
      <c r="Q144" s="43"/>
      <c r="R144" s="43"/>
      <c r="S144" s="19"/>
      <c r="T144" s="19"/>
      <c r="U144" s="19"/>
      <c r="Y144">
        <v>141</v>
      </c>
      <c r="Z144" s="43">
        <f t="shared" si="32"/>
        <v>1.4325375877664024</v>
      </c>
      <c r="AA144" s="43">
        <f t="shared" si="33"/>
        <v>0.15457706033609661</v>
      </c>
      <c r="AB144" s="43">
        <f t="shared" si="34"/>
        <v>1.5871146481024989</v>
      </c>
      <c r="AC144" s="19">
        <f t="shared" si="35"/>
        <v>0.82288535189750123</v>
      </c>
      <c r="AD144" s="19">
        <f t="shared" si="36"/>
        <v>235.08925929575176</v>
      </c>
      <c r="AH144">
        <v>141</v>
      </c>
      <c r="AI144" s="43">
        <f t="shared" si="37"/>
        <v>0.21280258498457133</v>
      </c>
      <c r="AJ144" s="43">
        <f t="shared" si="38"/>
        <v>0.12812786516069882</v>
      </c>
      <c r="AK144" s="43">
        <f t="shared" si="39"/>
        <v>0.34093045014527013</v>
      </c>
      <c r="AL144" s="19">
        <f t="shared" si="40"/>
        <v>2.06906954985473</v>
      </c>
      <c r="AM144" s="19">
        <f t="shared" si="41"/>
        <v>591.11032513230464</v>
      </c>
    </row>
    <row r="145" spans="15:39" x14ac:dyDescent="0.2">
      <c r="O145" s="42"/>
      <c r="P145" s="43"/>
      <c r="Q145" s="43"/>
      <c r="R145" s="43"/>
      <c r="S145" s="19"/>
      <c r="T145" s="19"/>
      <c r="U145" s="19"/>
      <c r="Y145" s="42">
        <v>142</v>
      </c>
      <c r="Z145" s="43">
        <f t="shared" si="32"/>
        <v>1.4529293254726492</v>
      </c>
      <c r="AA145" s="43">
        <f t="shared" si="33"/>
        <v>0.15567335154415404</v>
      </c>
      <c r="AB145" s="43">
        <f t="shared" si="34"/>
        <v>1.6086026770168032</v>
      </c>
      <c r="AC145" s="19">
        <f t="shared" si="35"/>
        <v>0.80139732298319699</v>
      </c>
      <c r="AD145" s="19">
        <f t="shared" si="36"/>
        <v>230.57412815705592</v>
      </c>
      <c r="AH145" s="42">
        <v>142</v>
      </c>
      <c r="AI145" s="43">
        <f t="shared" si="37"/>
        <v>0.21583176518429137</v>
      </c>
      <c r="AJ145" s="43">
        <f t="shared" si="38"/>
        <v>0.12903657342424987</v>
      </c>
      <c r="AK145" s="43">
        <f t="shared" si="39"/>
        <v>0.34486833860854127</v>
      </c>
      <c r="AL145" s="19">
        <f t="shared" si="40"/>
        <v>2.065131661391459</v>
      </c>
      <c r="AM145" s="19">
        <f t="shared" si="41"/>
        <v>594.16960688406482</v>
      </c>
    </row>
    <row r="146" spans="15:39" x14ac:dyDescent="0.2">
      <c r="P146" s="43"/>
      <c r="Q146" s="43"/>
      <c r="R146" s="43"/>
      <c r="S146" s="19"/>
      <c r="T146" s="19"/>
      <c r="U146" s="19"/>
      <c r="Y146">
        <v>143</v>
      </c>
      <c r="Z146" s="43">
        <f t="shared" si="32"/>
        <v>1.4734651743994347</v>
      </c>
      <c r="AA146" s="43">
        <f t="shared" si="33"/>
        <v>0.15676964275221145</v>
      </c>
      <c r="AB146" s="43">
        <f t="shared" si="34"/>
        <v>1.6302348171516461</v>
      </c>
      <c r="AC146" s="19">
        <f t="shared" si="35"/>
        <v>0.77976518284835405</v>
      </c>
      <c r="AD146" s="19">
        <f t="shared" si="36"/>
        <v>225.93016555738905</v>
      </c>
      <c r="AH146">
        <v>143</v>
      </c>
      <c r="AI146" s="43">
        <f t="shared" si="37"/>
        <v>0.21888235301793166</v>
      </c>
      <c r="AJ146" s="43">
        <f t="shared" si="38"/>
        <v>0.12994528168780092</v>
      </c>
      <c r="AK146" s="43">
        <f t="shared" si="39"/>
        <v>0.34882763470573258</v>
      </c>
      <c r="AL146" s="19">
        <f t="shared" si="40"/>
        <v>2.0611723652942677</v>
      </c>
      <c r="AM146" s="19">
        <f t="shared" si="41"/>
        <v>597.20672835403195</v>
      </c>
    </row>
    <row r="147" spans="15:39" x14ac:dyDescent="0.2">
      <c r="O147" s="42"/>
      <c r="P147" s="43"/>
      <c r="Q147" s="43"/>
      <c r="R147" s="43"/>
      <c r="S147" s="19"/>
      <c r="T147" s="19"/>
      <c r="U147" s="19"/>
      <c r="Y147" s="42">
        <v>144</v>
      </c>
      <c r="Z147" s="43">
        <f t="shared" si="32"/>
        <v>1.4941451345467591</v>
      </c>
      <c r="AA147" s="43">
        <f t="shared" si="33"/>
        <v>0.15786593396026888</v>
      </c>
      <c r="AB147" s="43">
        <f t="shared" si="34"/>
        <v>1.6520110685070279</v>
      </c>
      <c r="AC147" s="19">
        <f t="shared" si="35"/>
        <v>0.7579889314929722</v>
      </c>
      <c r="AD147" s="19">
        <f t="shared" si="36"/>
        <v>221.15649551835676</v>
      </c>
      <c r="AH147" s="42">
        <v>144</v>
      </c>
      <c r="AI147" s="43">
        <f t="shared" si="37"/>
        <v>0.22195434848549225</v>
      </c>
      <c r="AJ147" s="43">
        <f t="shared" si="38"/>
        <v>0.130853989951352</v>
      </c>
      <c r="AK147" s="43">
        <f t="shared" si="39"/>
        <v>0.35280833843684423</v>
      </c>
      <c r="AL147" s="19">
        <f t="shared" si="40"/>
        <v>2.0571916615631558</v>
      </c>
      <c r="AM147" s="19">
        <f t="shared" si="41"/>
        <v>600.22155941614983</v>
      </c>
    </row>
    <row r="148" spans="15:39" x14ac:dyDescent="0.2">
      <c r="P148" s="43"/>
      <c r="Q148" s="43"/>
      <c r="R148" s="43"/>
      <c r="S148" s="19"/>
      <c r="T148" s="19"/>
      <c r="U148" s="19"/>
      <c r="Y148">
        <v>145</v>
      </c>
      <c r="Z148" s="43">
        <f t="shared" si="32"/>
        <v>1.5149692059146225</v>
      </c>
      <c r="AA148" s="43">
        <f t="shared" si="33"/>
        <v>0.15896222516832631</v>
      </c>
      <c r="AB148" s="43">
        <f t="shared" si="34"/>
        <v>1.6739314310829487</v>
      </c>
      <c r="AC148" s="19">
        <f t="shared" si="35"/>
        <v>0.73606856891705141</v>
      </c>
      <c r="AD148" s="19">
        <f t="shared" si="36"/>
        <v>216.25224206156486</v>
      </c>
      <c r="AH148">
        <v>145</v>
      </c>
      <c r="AI148" s="43">
        <f t="shared" si="37"/>
        <v>0.2250477515869731</v>
      </c>
      <c r="AJ148" s="43">
        <f t="shared" si="38"/>
        <v>0.13176269821490305</v>
      </c>
      <c r="AK148" s="43">
        <f t="shared" si="39"/>
        <v>0.35681044980187615</v>
      </c>
      <c r="AL148" s="19">
        <f t="shared" si="40"/>
        <v>2.0531895501981241</v>
      </c>
      <c r="AM148" s="19">
        <f t="shared" si="41"/>
        <v>603.21396994436247</v>
      </c>
    </row>
    <row r="149" spans="15:39" x14ac:dyDescent="0.2">
      <c r="O149" s="42"/>
      <c r="P149" s="43"/>
      <c r="Q149" s="43"/>
      <c r="R149" s="43"/>
      <c r="S149" s="19"/>
      <c r="T149" s="19"/>
      <c r="U149" s="19"/>
      <c r="Y149" s="42">
        <v>146</v>
      </c>
      <c r="Z149" s="43">
        <f t="shared" si="32"/>
        <v>1.5359373885030245</v>
      </c>
      <c r="AA149" s="43">
        <f t="shared" si="33"/>
        <v>0.16005851637638371</v>
      </c>
      <c r="AB149" s="43">
        <f t="shared" si="34"/>
        <v>1.6959959048794082</v>
      </c>
      <c r="AC149" s="19">
        <f t="shared" si="35"/>
        <v>0.71400409512059193</v>
      </c>
      <c r="AD149" s="19">
        <f t="shared" si="36"/>
        <v>211.21652920861914</v>
      </c>
      <c r="AH149" s="42">
        <v>146</v>
      </c>
      <c r="AI149" s="43">
        <f t="shared" si="37"/>
        <v>0.22816256232237425</v>
      </c>
      <c r="AJ149" s="43">
        <f t="shared" si="38"/>
        <v>0.1326714064784541</v>
      </c>
      <c r="AK149" s="43">
        <f t="shared" si="39"/>
        <v>0.36083396880082835</v>
      </c>
      <c r="AL149" s="19">
        <f t="shared" si="40"/>
        <v>2.0491660311991717</v>
      </c>
      <c r="AM149" s="19">
        <f t="shared" si="41"/>
        <v>606.18382981261357</v>
      </c>
    </row>
    <row r="150" spans="15:39" x14ac:dyDescent="0.2">
      <c r="P150" s="43"/>
      <c r="Q150" s="43"/>
      <c r="R150" s="43"/>
      <c r="S150" s="19"/>
      <c r="T150" s="19"/>
      <c r="U150" s="19"/>
      <c r="Y150">
        <v>147</v>
      </c>
      <c r="Z150" s="43">
        <f t="shared" si="32"/>
        <v>1.5570496823119655</v>
      </c>
      <c r="AA150" s="43">
        <f t="shared" si="33"/>
        <v>0.16115480758444115</v>
      </c>
      <c r="AB150" s="43">
        <f t="shared" si="34"/>
        <v>1.7182044898964066</v>
      </c>
      <c r="AC150" s="19">
        <f t="shared" si="35"/>
        <v>0.69179551010359353</v>
      </c>
      <c r="AD150" s="19">
        <f t="shared" si="36"/>
        <v>206.04848098112527</v>
      </c>
      <c r="AH150">
        <v>147</v>
      </c>
      <c r="AI150" s="43">
        <f t="shared" si="37"/>
        <v>0.23129878069169568</v>
      </c>
      <c r="AJ150" s="43">
        <f t="shared" si="38"/>
        <v>0.13358011474200515</v>
      </c>
      <c r="AK150" s="43">
        <f t="shared" si="39"/>
        <v>0.36487889543370083</v>
      </c>
      <c r="AL150" s="19">
        <f t="shared" si="40"/>
        <v>2.0451211045662991</v>
      </c>
      <c r="AM150" s="19">
        <f t="shared" si="41"/>
        <v>609.13100889484656</v>
      </c>
    </row>
    <row r="151" spans="15:39" x14ac:dyDescent="0.2">
      <c r="O151" s="42"/>
      <c r="P151" s="43"/>
      <c r="Q151" s="43"/>
      <c r="R151" s="43"/>
      <c r="S151" s="19"/>
      <c r="T151" s="19"/>
      <c r="U151" s="19"/>
      <c r="Y151" s="42">
        <v>148</v>
      </c>
      <c r="Z151" s="43">
        <f t="shared" si="32"/>
        <v>1.5783060873414454</v>
      </c>
      <c r="AA151" s="43">
        <f t="shared" si="33"/>
        <v>0.16225109879249858</v>
      </c>
      <c r="AB151" s="43">
        <f t="shared" si="34"/>
        <v>1.7405571861339439</v>
      </c>
      <c r="AC151" s="19">
        <f t="shared" si="35"/>
        <v>0.6694428138660562</v>
      </c>
      <c r="AD151" s="19">
        <f t="shared" si="36"/>
        <v>200.747221400689</v>
      </c>
      <c r="AH151" s="42">
        <v>148</v>
      </c>
      <c r="AI151" s="43">
        <f t="shared" si="37"/>
        <v>0.23445640669493742</v>
      </c>
      <c r="AJ151" s="43">
        <f t="shared" si="38"/>
        <v>0.1344888230055562</v>
      </c>
      <c r="AK151" s="43">
        <f t="shared" si="39"/>
        <v>0.36894522970049359</v>
      </c>
      <c r="AL151" s="19">
        <f t="shared" si="40"/>
        <v>2.0410547702995068</v>
      </c>
      <c r="AM151" s="19">
        <f t="shared" si="41"/>
        <v>612.05537706500581</v>
      </c>
    </row>
    <row r="152" spans="15:39" x14ac:dyDescent="0.2">
      <c r="P152" s="43"/>
      <c r="Q152" s="43"/>
      <c r="R152" s="43"/>
      <c r="S152" s="19"/>
      <c r="T152" s="19"/>
      <c r="U152" s="19"/>
      <c r="Y152">
        <v>149</v>
      </c>
      <c r="Z152" s="43">
        <f t="shared" si="32"/>
        <v>1.5997066035914642</v>
      </c>
      <c r="AA152" s="43">
        <f t="shared" si="33"/>
        <v>0.16334739000055598</v>
      </c>
      <c r="AB152" s="43">
        <f t="shared" si="34"/>
        <v>1.7630539935920202</v>
      </c>
      <c r="AC152" s="19">
        <f t="shared" si="35"/>
        <v>0.64694600640797995</v>
      </c>
      <c r="AD152" s="19">
        <f t="shared" si="36"/>
        <v>195.31187448891615</v>
      </c>
      <c r="AH152">
        <v>149</v>
      </c>
      <c r="AI152" s="43">
        <f t="shared" si="37"/>
        <v>0.23763544033209941</v>
      </c>
      <c r="AJ152" s="43">
        <f t="shared" si="38"/>
        <v>0.13539753126910728</v>
      </c>
      <c r="AK152" s="43">
        <f t="shared" si="39"/>
        <v>0.37303297160120669</v>
      </c>
      <c r="AL152" s="19">
        <f t="shared" si="40"/>
        <v>2.0369670283987933</v>
      </c>
      <c r="AM152" s="19">
        <f t="shared" si="41"/>
        <v>614.95680419703456</v>
      </c>
    </row>
    <row r="153" spans="15:39" x14ac:dyDescent="0.2">
      <c r="O153" s="42"/>
      <c r="P153" s="43"/>
      <c r="Q153" s="43"/>
      <c r="R153" s="43"/>
      <c r="S153" s="19"/>
      <c r="T153" s="19"/>
      <c r="U153" s="19"/>
      <c r="Y153" s="42">
        <v>150</v>
      </c>
      <c r="Z153" s="43">
        <f t="shared" si="32"/>
        <v>1.6212512310620217</v>
      </c>
      <c r="AA153" s="43">
        <f t="shared" si="33"/>
        <v>0.16444368120861341</v>
      </c>
      <c r="AB153" s="43">
        <f t="shared" si="34"/>
        <v>1.7856949122706351</v>
      </c>
      <c r="AC153" s="19">
        <f t="shared" si="35"/>
        <v>0.62430508772936499</v>
      </c>
      <c r="AD153" s="19">
        <f t="shared" si="36"/>
        <v>189.74156426741246</v>
      </c>
      <c r="AH153" s="42">
        <v>150</v>
      </c>
      <c r="AI153" s="43">
        <f t="shared" si="37"/>
        <v>0.2408358816031817</v>
      </c>
      <c r="AJ153" s="43">
        <f t="shared" si="38"/>
        <v>0.13630623953265833</v>
      </c>
      <c r="AK153" s="43">
        <f t="shared" si="39"/>
        <v>0.37714212113584</v>
      </c>
      <c r="AL153" s="19">
        <f t="shared" si="40"/>
        <v>2.03285787886416</v>
      </c>
      <c r="AM153" s="19">
        <f t="shared" si="41"/>
        <v>617.83516016487692</v>
      </c>
    </row>
    <row r="154" spans="15:39" x14ac:dyDescent="0.2">
      <c r="P154" s="43"/>
      <c r="Q154" s="43"/>
      <c r="R154" s="43"/>
      <c r="S154" s="19"/>
      <c r="T154" s="19"/>
      <c r="U154" s="19"/>
      <c r="Y154">
        <v>151</v>
      </c>
      <c r="Z154" s="43">
        <f t="shared" si="32"/>
        <v>1.642939969753118</v>
      </c>
      <c r="AA154" s="43">
        <f t="shared" si="33"/>
        <v>0.16553997241667084</v>
      </c>
      <c r="AB154" s="43">
        <f t="shared" si="34"/>
        <v>1.8084799421697888</v>
      </c>
      <c r="AC154" s="19">
        <f t="shared" si="35"/>
        <v>0.60152005783021134</v>
      </c>
      <c r="AD154" s="19">
        <f t="shared" si="36"/>
        <v>184.03541475778371</v>
      </c>
      <c r="AH154">
        <v>151</v>
      </c>
      <c r="AI154" s="43">
        <f t="shared" si="37"/>
        <v>0.24405773050818425</v>
      </c>
      <c r="AJ154" s="43">
        <f t="shared" si="38"/>
        <v>0.13721494779620938</v>
      </c>
      <c r="AK154" s="43">
        <f t="shared" si="39"/>
        <v>0.3812726783043936</v>
      </c>
      <c r="AL154" s="19">
        <f t="shared" si="40"/>
        <v>2.0287273216956065</v>
      </c>
      <c r="AM154" s="19">
        <f t="shared" si="41"/>
        <v>620.6903148424766</v>
      </c>
    </row>
    <row r="155" spans="15:39" x14ac:dyDescent="0.2">
      <c r="O155" s="42"/>
      <c r="P155" s="43"/>
      <c r="Q155" s="43"/>
      <c r="R155" s="43"/>
      <c r="S155" s="19"/>
      <c r="T155" s="19"/>
      <c r="U155" s="19"/>
      <c r="Y155" s="42">
        <v>152</v>
      </c>
      <c r="Z155" s="43">
        <f t="shared" si="32"/>
        <v>1.6647728196647533</v>
      </c>
      <c r="AA155" s="43">
        <f t="shared" si="33"/>
        <v>0.16663626362472825</v>
      </c>
      <c r="AB155" s="43">
        <f t="shared" si="34"/>
        <v>1.8314090832894816</v>
      </c>
      <c r="AC155" s="19">
        <f t="shared" si="35"/>
        <v>0.57859091671051854</v>
      </c>
      <c r="AD155" s="19">
        <f t="shared" si="36"/>
        <v>178.19254998163549</v>
      </c>
      <c r="AH155" s="42">
        <v>152</v>
      </c>
      <c r="AI155" s="43">
        <f t="shared" si="37"/>
        <v>0.2473009870471071</v>
      </c>
      <c r="AJ155" s="43">
        <f t="shared" si="38"/>
        <v>0.13812365605976043</v>
      </c>
      <c r="AK155" s="43">
        <f t="shared" si="39"/>
        <v>0.38542464310686753</v>
      </c>
      <c r="AL155" s="19">
        <f t="shared" si="40"/>
        <v>2.0245753568931324</v>
      </c>
      <c r="AM155" s="19">
        <f t="shared" si="41"/>
        <v>623.52213810377737</v>
      </c>
    </row>
    <row r="156" spans="15:39" x14ac:dyDescent="0.2">
      <c r="P156" s="43"/>
      <c r="Q156" s="43"/>
      <c r="R156" s="43"/>
      <c r="S156" s="19"/>
      <c r="T156" s="19"/>
      <c r="U156" s="19"/>
      <c r="Y156">
        <v>153</v>
      </c>
      <c r="Z156" s="43">
        <f t="shared" si="32"/>
        <v>1.6867497807969274</v>
      </c>
      <c r="AA156" s="43">
        <f t="shared" si="33"/>
        <v>0.16773255483278568</v>
      </c>
      <c r="AB156" s="43">
        <f t="shared" si="34"/>
        <v>1.8544823356297131</v>
      </c>
      <c r="AC156" s="19">
        <f t="shared" si="35"/>
        <v>0.55551766437028705</v>
      </c>
      <c r="AD156" s="19">
        <f t="shared" si="36"/>
        <v>172.21209396057372</v>
      </c>
      <c r="AH156">
        <v>153</v>
      </c>
      <c r="AI156" s="43">
        <f t="shared" si="37"/>
        <v>0.25056565121995023</v>
      </c>
      <c r="AJ156" s="43">
        <f t="shared" si="38"/>
        <v>0.13903236432331148</v>
      </c>
      <c r="AK156" s="43">
        <f t="shared" si="39"/>
        <v>0.38959801554326168</v>
      </c>
      <c r="AL156" s="19">
        <f t="shared" si="40"/>
        <v>2.0204019844567385</v>
      </c>
      <c r="AM156" s="19">
        <f t="shared" si="41"/>
        <v>626.33049982272291</v>
      </c>
    </row>
    <row r="157" spans="15:39" x14ac:dyDescent="0.2">
      <c r="O157" s="42"/>
      <c r="P157" s="43"/>
      <c r="Q157" s="43"/>
      <c r="R157" s="43"/>
      <c r="S157" s="19"/>
      <c r="T157" s="19"/>
      <c r="U157" s="19"/>
      <c r="Y157" s="42">
        <v>154</v>
      </c>
      <c r="Z157" s="43">
        <f t="shared" si="32"/>
        <v>1.7088708531496402</v>
      </c>
      <c r="AA157" s="43">
        <f t="shared" si="33"/>
        <v>0.16882884604084311</v>
      </c>
      <c r="AB157" s="43">
        <f t="shared" si="34"/>
        <v>1.8776996991904833</v>
      </c>
      <c r="AC157" s="19">
        <f t="shared" si="35"/>
        <v>0.53230030080951685</v>
      </c>
      <c r="AD157" s="19">
        <f t="shared" si="36"/>
        <v>166.09317071620416</v>
      </c>
      <c r="AH157" s="42">
        <v>154</v>
      </c>
      <c r="AI157" s="43">
        <f t="shared" si="37"/>
        <v>0.25385172302671366</v>
      </c>
      <c r="AJ157" s="43">
        <f t="shared" si="38"/>
        <v>0.13994107258686253</v>
      </c>
      <c r="AK157" s="43">
        <f t="shared" si="39"/>
        <v>0.39379279561357616</v>
      </c>
      <c r="AL157" s="19">
        <f t="shared" si="40"/>
        <v>2.0162072043864239</v>
      </c>
      <c r="AM157" s="19">
        <f t="shared" si="41"/>
        <v>629.11526987325692</v>
      </c>
    </row>
    <row r="158" spans="15:39" x14ac:dyDescent="0.2">
      <c r="P158" s="43"/>
      <c r="Q158" s="43"/>
      <c r="R158" s="43"/>
      <c r="S158" s="19"/>
      <c r="T158" s="19"/>
      <c r="U158" s="19"/>
      <c r="Y158">
        <v>155</v>
      </c>
      <c r="Z158" s="43">
        <f t="shared" si="32"/>
        <v>1.7311360367228921</v>
      </c>
      <c r="AA158" s="43">
        <f t="shared" si="33"/>
        <v>0.16992513724890052</v>
      </c>
      <c r="AB158" s="43">
        <f t="shared" si="34"/>
        <v>1.9010611739717926</v>
      </c>
      <c r="AC158" s="19">
        <f t="shared" si="35"/>
        <v>0.5089388260282075</v>
      </c>
      <c r="AD158" s="19">
        <f t="shared" si="36"/>
        <v>159.8349042701324</v>
      </c>
      <c r="AH158">
        <v>155</v>
      </c>
      <c r="AI158" s="43">
        <f t="shared" si="37"/>
        <v>0.25715920246739732</v>
      </c>
      <c r="AJ158" s="43">
        <f t="shared" si="38"/>
        <v>0.14084978085041361</v>
      </c>
      <c r="AK158" s="43">
        <f t="shared" si="39"/>
        <v>0.39800898331781093</v>
      </c>
      <c r="AL158" s="19">
        <f t="shared" si="40"/>
        <v>2.011991016682189</v>
      </c>
      <c r="AM158" s="19">
        <f t="shared" si="41"/>
        <v>631.87631812932341</v>
      </c>
    </row>
    <row r="159" spans="15:39" x14ac:dyDescent="0.2">
      <c r="O159" s="42"/>
      <c r="P159" s="43"/>
      <c r="Q159" s="43"/>
      <c r="R159" s="43"/>
      <c r="S159" s="19"/>
      <c r="T159" s="19"/>
      <c r="U159" s="19"/>
      <c r="Y159" s="42">
        <v>156</v>
      </c>
      <c r="Z159" s="43">
        <f t="shared" si="32"/>
        <v>1.7535453315166827</v>
      </c>
      <c r="AA159" s="43">
        <f t="shared" si="33"/>
        <v>0.17102142845695795</v>
      </c>
      <c r="AB159" s="43">
        <f t="shared" si="34"/>
        <v>1.9245667599736407</v>
      </c>
      <c r="AC159" s="19">
        <f t="shared" si="35"/>
        <v>0.48543324002635946</v>
      </c>
      <c r="AD159" s="19">
        <f t="shared" si="36"/>
        <v>153.43641864396434</v>
      </c>
      <c r="AH159" s="42">
        <v>156</v>
      </c>
      <c r="AI159" s="43">
        <f t="shared" si="37"/>
        <v>0.26048808954200131</v>
      </c>
      <c r="AJ159" s="43">
        <f t="shared" si="38"/>
        <v>0.14175848911396466</v>
      </c>
      <c r="AK159" s="43">
        <f t="shared" si="39"/>
        <v>0.40224657865596597</v>
      </c>
      <c r="AL159" s="19">
        <f t="shared" si="40"/>
        <v>2.007753421344034</v>
      </c>
      <c r="AM159" s="19">
        <f t="shared" si="41"/>
        <v>634.61351446486617</v>
      </c>
    </row>
    <row r="160" spans="15:39" x14ac:dyDescent="0.2">
      <c r="P160" s="43"/>
      <c r="Q160" s="43"/>
      <c r="R160" s="43"/>
      <c r="S160" s="19"/>
      <c r="T160" s="19"/>
      <c r="U160" s="19"/>
      <c r="Y160">
        <v>157</v>
      </c>
      <c r="Z160" s="43">
        <f t="shared" si="32"/>
        <v>1.776098737531012</v>
      </c>
      <c r="AA160" s="43">
        <f t="shared" si="33"/>
        <v>0.17211771966501538</v>
      </c>
      <c r="AB160" s="43">
        <f t="shared" si="34"/>
        <v>1.9482164571960274</v>
      </c>
      <c r="AC160" s="19">
        <f t="shared" si="35"/>
        <v>0.46178354280397271</v>
      </c>
      <c r="AD160" s="19">
        <f t="shared" si="36"/>
        <v>146.89683785930572</v>
      </c>
      <c r="AH160">
        <v>157</v>
      </c>
      <c r="AI160" s="43">
        <f t="shared" si="37"/>
        <v>0.26383838425052558</v>
      </c>
      <c r="AJ160" s="43">
        <f t="shared" si="38"/>
        <v>0.14266719737751571</v>
      </c>
      <c r="AK160" s="43">
        <f t="shared" si="39"/>
        <v>0.40650558162804129</v>
      </c>
      <c r="AL160" s="19">
        <f t="shared" si="40"/>
        <v>2.0034944183719587</v>
      </c>
      <c r="AM160" s="19">
        <f t="shared" si="41"/>
        <v>637.32672875382877</v>
      </c>
    </row>
    <row r="161" spans="15:39" x14ac:dyDescent="0.2">
      <c r="O161" s="42"/>
      <c r="P161" s="43"/>
      <c r="Q161" s="43"/>
      <c r="R161" s="43"/>
      <c r="S161" s="19"/>
      <c r="T161" s="19"/>
      <c r="U161" s="19"/>
      <c r="Y161" s="42">
        <v>158</v>
      </c>
      <c r="Z161" s="43">
        <f t="shared" si="32"/>
        <v>1.7987962547658805</v>
      </c>
      <c r="AA161" s="43">
        <f t="shared" si="33"/>
        <v>0.17321401087307278</v>
      </c>
      <c r="AB161" s="43">
        <f t="shared" si="34"/>
        <v>1.9720102656389533</v>
      </c>
      <c r="AC161" s="19">
        <f t="shared" si="35"/>
        <v>0.43798973436104682</v>
      </c>
      <c r="AD161" s="19">
        <f t="shared" si="36"/>
        <v>140.21528593776213</v>
      </c>
      <c r="AH161" s="42">
        <v>158</v>
      </c>
      <c r="AI161" s="43">
        <f t="shared" si="37"/>
        <v>0.26721008659297013</v>
      </c>
      <c r="AJ161" s="43">
        <f t="shared" si="38"/>
        <v>0.14357590564106676</v>
      </c>
      <c r="AK161" s="43">
        <f t="shared" si="39"/>
        <v>0.41078599223403689</v>
      </c>
      <c r="AL161" s="19">
        <f t="shared" si="40"/>
        <v>1.9992140077659633</v>
      </c>
      <c r="AM161" s="19">
        <f t="shared" si="41"/>
        <v>640.01583087015524</v>
      </c>
    </row>
    <row r="162" spans="15:39" x14ac:dyDescent="0.2">
      <c r="P162" s="43"/>
      <c r="Q162" s="43"/>
      <c r="R162" s="43"/>
      <c r="S162" s="19"/>
      <c r="T162" s="19"/>
      <c r="U162" s="19"/>
      <c r="Y162">
        <v>159</v>
      </c>
      <c r="Z162" s="43">
        <f t="shared" si="32"/>
        <v>1.8216378832212876</v>
      </c>
      <c r="AA162" s="43">
        <f t="shared" si="33"/>
        <v>0.17431030208113021</v>
      </c>
      <c r="AB162" s="43">
        <f t="shared" si="34"/>
        <v>1.9959481853024179</v>
      </c>
      <c r="AC162" s="19">
        <f t="shared" si="35"/>
        <v>0.41405181469758223</v>
      </c>
      <c r="AD162" s="19">
        <f t="shared" si="36"/>
        <v>133.39088690093951</v>
      </c>
      <c r="AH162">
        <v>159</v>
      </c>
      <c r="AI162" s="43">
        <f t="shared" si="37"/>
        <v>0.27060319656933496</v>
      </c>
      <c r="AJ162" s="43">
        <f t="shared" si="38"/>
        <v>0.14448461390461781</v>
      </c>
      <c r="AK162" s="43">
        <f t="shared" si="39"/>
        <v>0.41508781047395277</v>
      </c>
      <c r="AL162" s="19">
        <f t="shared" si="40"/>
        <v>1.9949121895260473</v>
      </c>
      <c r="AM162" s="19">
        <f t="shared" si="41"/>
        <v>642.68069068778914</v>
      </c>
    </row>
    <row r="163" spans="15:39" x14ac:dyDescent="0.2">
      <c r="O163" s="42"/>
      <c r="P163" s="43"/>
      <c r="Q163" s="43"/>
      <c r="R163" s="43"/>
      <c r="S163" s="19"/>
      <c r="T163" s="19"/>
      <c r="U163" s="19"/>
      <c r="Y163" s="42">
        <v>160</v>
      </c>
      <c r="Z163" s="43">
        <f t="shared" si="32"/>
        <v>1.8446236228972335</v>
      </c>
      <c r="AA163" s="43">
        <f t="shared" si="33"/>
        <v>0.17540659328918765</v>
      </c>
      <c r="AB163" s="43">
        <f t="shared" si="34"/>
        <v>2.020030216186421</v>
      </c>
      <c r="AC163" s="19">
        <f t="shared" si="35"/>
        <v>0.38996978381357916</v>
      </c>
      <c r="AD163" s="19">
        <f t="shared" si="36"/>
        <v>126.42276477044368</v>
      </c>
      <c r="AH163" s="42">
        <v>160</v>
      </c>
      <c r="AI163" s="43">
        <f t="shared" si="37"/>
        <v>0.27401771417962006</v>
      </c>
      <c r="AJ163" s="43">
        <f t="shared" si="38"/>
        <v>0.14539332216816889</v>
      </c>
      <c r="AK163" s="43">
        <f t="shared" si="39"/>
        <v>0.41941103634778898</v>
      </c>
      <c r="AL163" s="19">
        <f t="shared" si="40"/>
        <v>1.9905889636522112</v>
      </c>
      <c r="AM163" s="19">
        <f t="shared" si="41"/>
        <v>645.32117808067426</v>
      </c>
    </row>
    <row r="164" spans="15:39" x14ac:dyDescent="0.2">
      <c r="P164" s="43"/>
      <c r="Q164" s="43"/>
      <c r="R164" s="43"/>
      <c r="S164" s="19"/>
      <c r="T164" s="19"/>
      <c r="U164" s="19"/>
      <c r="Y164">
        <v>161</v>
      </c>
      <c r="Z164" s="43">
        <f t="shared" si="32"/>
        <v>1.8677534737937185</v>
      </c>
      <c r="AA164" s="43">
        <f t="shared" si="33"/>
        <v>0.17650288449724505</v>
      </c>
      <c r="AB164" s="43">
        <f t="shared" si="34"/>
        <v>2.0442563582909634</v>
      </c>
      <c r="AC164" s="19">
        <f t="shared" si="35"/>
        <v>0.36574364170903673</v>
      </c>
      <c r="AD164" s="19">
        <f t="shared" si="36"/>
        <v>119.31004356788009</v>
      </c>
      <c r="AH164">
        <v>161</v>
      </c>
      <c r="AI164" s="43">
        <f t="shared" si="37"/>
        <v>0.27745363942382545</v>
      </c>
      <c r="AJ164" s="43">
        <f t="shared" si="38"/>
        <v>0.14630203043171994</v>
      </c>
      <c r="AK164" s="43">
        <f t="shared" si="39"/>
        <v>0.42375566985554536</v>
      </c>
      <c r="AL164" s="19">
        <f t="shared" si="40"/>
        <v>1.9862443301444548</v>
      </c>
      <c r="AM164" s="19">
        <f t="shared" si="41"/>
        <v>647.93716292275451</v>
      </c>
    </row>
    <row r="165" spans="15:39" x14ac:dyDescent="0.2">
      <c r="O165" s="42"/>
      <c r="P165" s="43"/>
      <c r="Q165" s="43"/>
      <c r="R165" s="43"/>
      <c r="S165" s="19"/>
      <c r="T165" s="19"/>
      <c r="U165" s="19"/>
      <c r="Y165" s="42">
        <v>162</v>
      </c>
      <c r="Z165" s="43">
        <f t="shared" si="32"/>
        <v>1.8910274359107422</v>
      </c>
      <c r="AA165" s="43">
        <f t="shared" si="33"/>
        <v>0.17759917570530248</v>
      </c>
      <c r="AB165" s="43">
        <f t="shared" si="34"/>
        <v>2.0686266116160446</v>
      </c>
      <c r="AC165" s="19">
        <f t="shared" si="35"/>
        <v>0.34137338838395559</v>
      </c>
      <c r="AD165" s="19">
        <f t="shared" si="36"/>
        <v>112.05184731485465</v>
      </c>
      <c r="AH165" s="42">
        <v>162</v>
      </c>
      <c r="AI165" s="43">
        <f t="shared" si="37"/>
        <v>0.28091097230195111</v>
      </c>
      <c r="AJ165" s="43">
        <f t="shared" si="38"/>
        <v>0.14721073869527099</v>
      </c>
      <c r="AK165" s="43">
        <f t="shared" si="39"/>
        <v>0.42812171099722207</v>
      </c>
      <c r="AL165" s="19">
        <f t="shared" si="40"/>
        <v>1.9818782890027782</v>
      </c>
      <c r="AM165" s="19">
        <f t="shared" si="41"/>
        <v>650.52851508797346</v>
      </c>
    </row>
    <row r="166" spans="15:39" x14ac:dyDescent="0.2">
      <c r="P166" s="43"/>
      <c r="Q166" s="43"/>
      <c r="R166" s="43"/>
      <c r="S166" s="19"/>
      <c r="T166" s="19"/>
      <c r="U166" s="19"/>
      <c r="Y166">
        <v>163</v>
      </c>
      <c r="Z166" s="43">
        <f t="shared" si="32"/>
        <v>1.9144455092483046</v>
      </c>
      <c r="AA166" s="43">
        <f t="shared" si="33"/>
        <v>0.17869546691335991</v>
      </c>
      <c r="AB166" s="43">
        <f t="shared" si="34"/>
        <v>2.0931409761616644</v>
      </c>
      <c r="AC166" s="19">
        <f t="shared" si="35"/>
        <v>0.31685902383833575</v>
      </c>
      <c r="AD166" s="19">
        <f t="shared" si="36"/>
        <v>104.64730003297321</v>
      </c>
      <c r="AH166">
        <v>163</v>
      </c>
      <c r="AI166" s="43">
        <f t="shared" si="37"/>
        <v>0.28438971281399705</v>
      </c>
      <c r="AJ166" s="43">
        <f t="shared" si="38"/>
        <v>0.14811944695882204</v>
      </c>
      <c r="AK166" s="43">
        <f t="shared" si="39"/>
        <v>0.43250915977281912</v>
      </c>
      <c r="AL166" s="19">
        <f t="shared" si="40"/>
        <v>1.9774908402271811</v>
      </c>
      <c r="AM166" s="19">
        <f t="shared" si="41"/>
        <v>653.09510445027524</v>
      </c>
    </row>
    <row r="167" spans="15:39" x14ac:dyDescent="0.2">
      <c r="O167" s="42"/>
      <c r="P167" s="43"/>
      <c r="Q167" s="43"/>
      <c r="R167" s="43"/>
      <c r="S167" s="19"/>
      <c r="T167" s="19"/>
      <c r="U167" s="19"/>
      <c r="Y167" s="42">
        <v>164</v>
      </c>
      <c r="Z167" s="43">
        <f t="shared" si="32"/>
        <v>1.9380076938064059</v>
      </c>
      <c r="AA167" s="43">
        <f t="shared" si="33"/>
        <v>0.17979175812141732</v>
      </c>
      <c r="AB167" s="43">
        <f t="shared" si="34"/>
        <v>2.1177994519278234</v>
      </c>
      <c r="AC167" s="19">
        <f t="shared" si="35"/>
        <v>0.29220054807217677</v>
      </c>
      <c r="AD167" s="19">
        <f t="shared" si="36"/>
        <v>97.095525743841321</v>
      </c>
      <c r="AH167" s="42">
        <v>164</v>
      </c>
      <c r="AI167" s="43">
        <f t="shared" si="37"/>
        <v>0.28788986095996333</v>
      </c>
      <c r="AJ167" s="43">
        <f t="shared" si="38"/>
        <v>0.14902815522237309</v>
      </c>
      <c r="AK167" s="43">
        <f t="shared" si="39"/>
        <v>0.43691801618233639</v>
      </c>
      <c r="AL167" s="19">
        <f t="shared" si="40"/>
        <v>1.9730819838176639</v>
      </c>
      <c r="AM167" s="19">
        <f t="shared" si="41"/>
        <v>655.63680088360331</v>
      </c>
    </row>
    <row r="168" spans="15:39" x14ac:dyDescent="0.2">
      <c r="P168" s="43"/>
      <c r="Q168" s="43"/>
      <c r="R168" s="43"/>
      <c r="S168" s="19"/>
      <c r="T168" s="19"/>
      <c r="U168" s="19"/>
      <c r="Y168">
        <v>165</v>
      </c>
      <c r="Z168" s="43">
        <f t="shared" si="32"/>
        <v>1.9617139895850462</v>
      </c>
      <c r="AA168" s="43">
        <f t="shared" si="33"/>
        <v>0.18088804932947475</v>
      </c>
      <c r="AB168" s="43">
        <f t="shared" si="34"/>
        <v>2.1426020389145211</v>
      </c>
      <c r="AC168" s="19">
        <f t="shared" si="35"/>
        <v>0.26739796108547909</v>
      </c>
      <c r="AD168" s="19">
        <f t="shared" si="36"/>
        <v>89.395648469064895</v>
      </c>
      <c r="AH168">
        <v>165</v>
      </c>
      <c r="AI168" s="43">
        <f t="shared" si="37"/>
        <v>0.29141141673984983</v>
      </c>
      <c r="AJ168" s="43">
        <f t="shared" si="38"/>
        <v>0.14993686348592417</v>
      </c>
      <c r="AK168" s="43">
        <f t="shared" si="39"/>
        <v>0.44134828022577399</v>
      </c>
      <c r="AL168" s="19">
        <f t="shared" si="40"/>
        <v>1.9686517197742261</v>
      </c>
      <c r="AM168" s="19">
        <f t="shared" si="41"/>
        <v>658.15347426190135</v>
      </c>
    </row>
    <row r="169" spans="15:39" x14ac:dyDescent="0.2">
      <c r="O169" s="42"/>
      <c r="P169" s="43"/>
      <c r="Q169" s="43"/>
      <c r="R169" s="43"/>
      <c r="S169" s="19"/>
      <c r="T169" s="19"/>
      <c r="U169" s="19"/>
      <c r="Y169" s="42">
        <v>166</v>
      </c>
      <c r="Z169" s="43">
        <f t="shared" si="32"/>
        <v>1.9855643965842253</v>
      </c>
      <c r="AA169" s="43">
        <f t="shared" si="33"/>
        <v>0.18198434053753218</v>
      </c>
      <c r="AB169" s="43">
        <f t="shared" si="34"/>
        <v>2.1675487371217574</v>
      </c>
      <c r="AC169" s="19">
        <f t="shared" si="35"/>
        <v>0.2424512628782427</v>
      </c>
      <c r="AD169" s="19">
        <f t="shared" si="36"/>
        <v>81.546792230249679</v>
      </c>
      <c r="AH169" s="42">
        <v>166</v>
      </c>
      <c r="AI169" s="43">
        <f t="shared" si="37"/>
        <v>0.29495438015365666</v>
      </c>
      <c r="AJ169" s="43">
        <f t="shared" si="38"/>
        <v>0.15084557174947522</v>
      </c>
      <c r="AK169" s="43">
        <f t="shared" si="39"/>
        <v>0.44579995190313187</v>
      </c>
      <c r="AL169" s="19">
        <f t="shared" si="40"/>
        <v>1.9642000480968682</v>
      </c>
      <c r="AM169" s="19">
        <f t="shared" si="41"/>
        <v>660.64499445911349</v>
      </c>
    </row>
    <row r="170" spans="15:39" x14ac:dyDescent="0.2">
      <c r="P170" s="43"/>
      <c r="Q170" s="43"/>
      <c r="R170" s="43"/>
      <c r="S170" s="19"/>
      <c r="T170" s="19"/>
      <c r="U170" s="19"/>
      <c r="Y170">
        <v>167</v>
      </c>
      <c r="Z170" s="43">
        <f t="shared" si="32"/>
        <v>2.009558914803943</v>
      </c>
      <c r="AA170" s="43">
        <f t="shared" si="33"/>
        <v>0.18308063174558961</v>
      </c>
      <c r="AB170" s="43">
        <f t="shared" si="34"/>
        <v>2.1926395465495325</v>
      </c>
      <c r="AC170" s="19">
        <f t="shared" si="35"/>
        <v>0.21736045345046762</v>
      </c>
      <c r="AD170" s="19">
        <f t="shared" si="36"/>
        <v>73.548081049001397</v>
      </c>
      <c r="AH170">
        <v>167</v>
      </c>
      <c r="AI170" s="43">
        <f t="shared" si="37"/>
        <v>0.29851875120138371</v>
      </c>
      <c r="AJ170" s="43">
        <f t="shared" si="38"/>
        <v>0.15175428001302627</v>
      </c>
      <c r="AK170" s="43">
        <f t="shared" si="39"/>
        <v>0.45027303121440998</v>
      </c>
      <c r="AL170" s="19">
        <f t="shared" si="40"/>
        <v>1.9597269687855903</v>
      </c>
      <c r="AM170" s="19">
        <f t="shared" si="41"/>
        <v>663.11123134918341</v>
      </c>
    </row>
    <row r="171" spans="15:39" x14ac:dyDescent="0.2">
      <c r="O171" s="42"/>
      <c r="P171" s="43"/>
      <c r="Q171" s="43"/>
      <c r="R171" s="43"/>
      <c r="S171" s="19"/>
      <c r="T171" s="19"/>
      <c r="U171" s="19"/>
      <c r="Y171" s="42">
        <v>168</v>
      </c>
      <c r="Z171" s="43">
        <f t="shared" si="32"/>
        <v>2.0336975442442</v>
      </c>
      <c r="AA171" s="43">
        <f t="shared" si="33"/>
        <v>0.18417692295364702</v>
      </c>
      <c r="AB171" s="43">
        <f t="shared" si="34"/>
        <v>2.2178744671978472</v>
      </c>
      <c r="AC171" s="19">
        <f t="shared" si="35"/>
        <v>0.19212553280215294</v>
      </c>
      <c r="AD171" s="19">
        <f t="shared" si="36"/>
        <v>65.398638946925558</v>
      </c>
      <c r="AH171" s="42">
        <v>168</v>
      </c>
      <c r="AI171" s="43">
        <f t="shared" si="37"/>
        <v>0.3021045298830311</v>
      </c>
      <c r="AJ171" s="43">
        <f t="shared" si="38"/>
        <v>0.15266298827657732</v>
      </c>
      <c r="AK171" s="43">
        <f t="shared" si="39"/>
        <v>0.45476751815960842</v>
      </c>
      <c r="AL171" s="19">
        <f t="shared" si="40"/>
        <v>1.9552324818403917</v>
      </c>
      <c r="AM171" s="19">
        <f t="shared" si="41"/>
        <v>665.55205480605468</v>
      </c>
    </row>
    <row r="172" spans="15:39" x14ac:dyDescent="0.2">
      <c r="P172" s="43"/>
      <c r="Q172" s="43"/>
      <c r="R172" s="43"/>
      <c r="S172" s="19"/>
      <c r="T172" s="19"/>
      <c r="U172" s="19"/>
      <c r="Y172">
        <v>169</v>
      </c>
      <c r="Z172" s="43">
        <f t="shared" si="32"/>
        <v>2.0579802849049957</v>
      </c>
      <c r="AA172" s="43">
        <f t="shared" si="33"/>
        <v>0.18527321416170445</v>
      </c>
      <c r="AB172" s="43">
        <f t="shared" si="34"/>
        <v>2.2432534990667001</v>
      </c>
      <c r="AC172" s="19">
        <f t="shared" si="35"/>
        <v>0.16674650093330001</v>
      </c>
      <c r="AD172" s="19">
        <f t="shared" si="36"/>
        <v>57.097589945628336</v>
      </c>
      <c r="AH172">
        <v>169</v>
      </c>
      <c r="AI172" s="43">
        <f t="shared" si="37"/>
        <v>0.30571171619859877</v>
      </c>
      <c r="AJ172" s="43">
        <f t="shared" si="38"/>
        <v>0.15357169654012837</v>
      </c>
      <c r="AK172" s="43">
        <f t="shared" si="39"/>
        <v>0.45928341273872714</v>
      </c>
      <c r="AL172" s="19">
        <f t="shared" si="40"/>
        <v>1.9507165872612731</v>
      </c>
      <c r="AM172" s="19">
        <f t="shared" si="41"/>
        <v>667.96733470367144</v>
      </c>
    </row>
    <row r="173" spans="15:39" x14ac:dyDescent="0.2">
      <c r="O173" s="42"/>
      <c r="P173" s="43"/>
      <c r="Q173" s="43"/>
      <c r="R173" s="43"/>
      <c r="S173" s="19"/>
      <c r="T173" s="19"/>
      <c r="U173" s="19"/>
      <c r="Y173" s="42">
        <v>170</v>
      </c>
      <c r="Z173" s="43">
        <f t="shared" si="32"/>
        <v>2.0824071367863302</v>
      </c>
      <c r="AA173" s="43">
        <f t="shared" si="33"/>
        <v>0.18636950536976188</v>
      </c>
      <c r="AB173" s="43">
        <f t="shared" si="34"/>
        <v>2.2687766421560922</v>
      </c>
      <c r="AC173" s="19">
        <f t="shared" si="35"/>
        <v>0.14122335784390794</v>
      </c>
      <c r="AD173" s="19">
        <f t="shared" si="36"/>
        <v>48.644058066715161</v>
      </c>
      <c r="AH173" s="42">
        <v>170</v>
      </c>
      <c r="AI173" s="43">
        <f t="shared" si="37"/>
        <v>0.30934031014808672</v>
      </c>
      <c r="AJ173" s="43">
        <f t="shared" si="38"/>
        <v>0.15448040480367944</v>
      </c>
      <c r="AK173" s="43">
        <f t="shared" si="39"/>
        <v>0.46382071495176613</v>
      </c>
      <c r="AL173" s="19">
        <f t="shared" si="40"/>
        <v>1.946179285048234</v>
      </c>
      <c r="AM173" s="19">
        <f t="shared" si="41"/>
        <v>670.35694091597702</v>
      </c>
    </row>
    <row r="174" spans="15:39" x14ac:dyDescent="0.2">
      <c r="P174" s="43"/>
      <c r="Q174" s="43"/>
      <c r="R174" s="43"/>
      <c r="S174" s="19"/>
      <c r="T174" s="19"/>
      <c r="U174" s="19"/>
      <c r="Y174">
        <v>171</v>
      </c>
      <c r="Z174" s="43">
        <f t="shared" si="32"/>
        <v>2.1069780998882033</v>
      </c>
      <c r="AA174" s="43">
        <f t="shared" si="33"/>
        <v>0.18746579657781928</v>
      </c>
      <c r="AB174" s="43">
        <f t="shared" si="34"/>
        <v>2.2944438964660225</v>
      </c>
      <c r="AC174" s="19">
        <f t="shared" si="35"/>
        <v>0.11555610353397761</v>
      </c>
      <c r="AD174" s="19">
        <f t="shared" si="36"/>
        <v>40.037167331792105</v>
      </c>
      <c r="AH174">
        <v>171</v>
      </c>
      <c r="AI174" s="43">
        <f t="shared" si="37"/>
        <v>0.31299031173149494</v>
      </c>
      <c r="AJ174" s="43">
        <f t="shared" si="38"/>
        <v>0.15538911306723049</v>
      </c>
      <c r="AK174" s="43">
        <f t="shared" si="39"/>
        <v>0.46837942479872541</v>
      </c>
      <c r="AL174" s="19">
        <f t="shared" si="40"/>
        <v>1.9416205752012747</v>
      </c>
      <c r="AM174" s="19">
        <f t="shared" si="41"/>
        <v>672.72074331691567</v>
      </c>
    </row>
    <row r="175" spans="15:39" x14ac:dyDescent="0.2">
      <c r="O175" s="42"/>
      <c r="P175" s="43"/>
      <c r="Q175" s="43"/>
      <c r="R175" s="43"/>
      <c r="S175" s="19"/>
      <c r="T175" s="19"/>
      <c r="U175" s="19"/>
      <c r="Y175">
        <v>172</v>
      </c>
      <c r="Z175" s="43">
        <f t="shared" si="32"/>
        <v>2.1316931742106155</v>
      </c>
      <c r="AA175" s="43">
        <f t="shared" si="33"/>
        <v>0.18856208778587671</v>
      </c>
      <c r="AB175" s="43">
        <f t="shared" si="34"/>
        <v>2.3202552619964925</v>
      </c>
      <c r="AC175" s="19">
        <f t="shared" si="35"/>
        <v>8.9744738003507685E-2</v>
      </c>
      <c r="AD175" s="19">
        <f t="shared" si="36"/>
        <v>31.276041762464462</v>
      </c>
      <c r="AH175" s="42">
        <v>172</v>
      </c>
      <c r="AI175" s="43">
        <f t="shared" si="37"/>
        <v>0.31666172094882344</v>
      </c>
      <c r="AJ175" s="43">
        <f t="shared" si="38"/>
        <v>0.15629782133078154</v>
      </c>
      <c r="AK175" s="43">
        <f t="shared" si="39"/>
        <v>0.47295954227960502</v>
      </c>
      <c r="AL175" s="19">
        <f t="shared" si="40"/>
        <v>1.937040457720395</v>
      </c>
      <c r="AM175" s="19">
        <f t="shared" si="41"/>
        <v>675.05861178043062</v>
      </c>
    </row>
    <row r="176" spans="15:39" x14ac:dyDescent="0.2">
      <c r="P176" s="43"/>
      <c r="Q176" s="43"/>
      <c r="R176" s="43"/>
      <c r="S176" s="19"/>
      <c r="T176" s="19"/>
      <c r="U176" s="19"/>
      <c r="Y176" s="42">
        <v>173</v>
      </c>
      <c r="Z176" s="43">
        <f t="shared" si="32"/>
        <v>2.1565523597535665</v>
      </c>
      <c r="AA176" s="43">
        <f t="shared" si="33"/>
        <v>0.18965837899393415</v>
      </c>
      <c r="AB176" s="43">
        <f t="shared" si="34"/>
        <v>2.3462107387475006</v>
      </c>
      <c r="AC176" s="19">
        <f t="shared" si="35"/>
        <v>6.3789261252499507E-2</v>
      </c>
      <c r="AD176" s="19">
        <f t="shared" si="36"/>
        <v>22.359805380338447</v>
      </c>
      <c r="AH176">
        <v>173</v>
      </c>
      <c r="AI176" s="43">
        <f t="shared" si="37"/>
        <v>0.32035453780007223</v>
      </c>
      <c r="AJ176" s="43">
        <f t="shared" si="38"/>
        <v>0.15720652959433259</v>
      </c>
      <c r="AK176" s="43">
        <f t="shared" si="39"/>
        <v>0.47756106739440485</v>
      </c>
      <c r="AL176" s="19">
        <f t="shared" si="40"/>
        <v>1.9324389326055953</v>
      </c>
      <c r="AM176" s="19">
        <f t="shared" si="41"/>
        <v>677.37041618046624</v>
      </c>
    </row>
    <row r="177" spans="15:39" x14ac:dyDescent="0.2">
      <c r="O177" s="42"/>
      <c r="P177" s="43"/>
      <c r="Q177" s="43"/>
      <c r="R177" s="43"/>
      <c r="S177" s="19"/>
      <c r="T177" s="19"/>
      <c r="U177" s="19"/>
      <c r="Y177">
        <v>174</v>
      </c>
      <c r="Z177" s="43">
        <f t="shared" si="32"/>
        <v>2.1815556565170562</v>
      </c>
      <c r="AA177" s="43">
        <f t="shared" si="33"/>
        <v>0.19075467020199155</v>
      </c>
      <c r="AB177" s="43">
        <f t="shared" si="34"/>
        <v>2.372310326719048</v>
      </c>
      <c r="AC177" s="19">
        <f t="shared" si="35"/>
        <v>3.7689673280952185E-2</v>
      </c>
      <c r="AD177" s="19">
        <f t="shared" si="36"/>
        <v>13.287582207019501</v>
      </c>
      <c r="AH177" s="42">
        <v>174</v>
      </c>
      <c r="AI177" s="43">
        <f t="shared" si="37"/>
        <v>0.32406876228524129</v>
      </c>
      <c r="AJ177" s="43">
        <f t="shared" si="38"/>
        <v>0.15811523785788364</v>
      </c>
      <c r="AK177" s="43">
        <f t="shared" si="39"/>
        <v>0.4821840001431249</v>
      </c>
      <c r="AL177" s="19">
        <f t="shared" si="40"/>
        <v>1.9278159998568754</v>
      </c>
      <c r="AM177" s="19">
        <f t="shared" si="41"/>
        <v>679.65602639096596</v>
      </c>
    </row>
    <row r="178" spans="15:39" x14ac:dyDescent="0.2">
      <c r="P178" s="43"/>
      <c r="Q178" s="43"/>
      <c r="R178" s="43"/>
      <c r="S178" s="19"/>
      <c r="T178" s="19"/>
      <c r="U178" s="19"/>
      <c r="Y178">
        <v>175</v>
      </c>
      <c r="Z178" s="43">
        <f t="shared" si="32"/>
        <v>2.206703064501085</v>
      </c>
      <c r="AA178" s="43">
        <f t="shared" si="33"/>
        <v>0.19185096141004898</v>
      </c>
      <c r="AB178" s="43">
        <f t="shared" si="34"/>
        <v>2.398554025911134</v>
      </c>
      <c r="AC178" s="19">
        <f t="shared" si="35"/>
        <v>1.1445974088866162E-2</v>
      </c>
      <c r="AD178" s="19">
        <f t="shared" si="36"/>
        <v>4.058496264113522</v>
      </c>
      <c r="AH178">
        <v>175</v>
      </c>
      <c r="AI178" s="43">
        <f t="shared" si="37"/>
        <v>0.32780439440433062</v>
      </c>
      <c r="AJ178" s="43">
        <f t="shared" si="38"/>
        <v>0.15902394612143469</v>
      </c>
      <c r="AK178" s="43">
        <f t="shared" si="39"/>
        <v>0.48682834052576529</v>
      </c>
      <c r="AL178" s="19">
        <f t="shared" si="40"/>
        <v>1.9231716594742347</v>
      </c>
      <c r="AM178" s="19">
        <f t="shared" si="41"/>
        <v>681.91531228587348</v>
      </c>
    </row>
    <row r="179" spans="15:39" x14ac:dyDescent="0.2">
      <c r="O179" s="42"/>
      <c r="P179" s="43"/>
      <c r="Q179" s="43"/>
      <c r="R179" s="43"/>
      <c r="S179" s="19"/>
      <c r="T179" s="19"/>
      <c r="U179" s="19"/>
      <c r="Y179" s="42">
        <v>176</v>
      </c>
      <c r="Z179" s="43">
        <f t="shared" si="32"/>
        <v>2.2319945837056525</v>
      </c>
      <c r="AA179" s="43">
        <f t="shared" si="33"/>
        <v>0.19294725261810641</v>
      </c>
      <c r="AB179" s="43">
        <f t="shared" si="34"/>
        <v>2.4249418363237591</v>
      </c>
      <c r="AC179" s="19">
        <f t="shared" si="35"/>
        <v>-1.4941836323759006E-2</v>
      </c>
      <c r="AD179" s="19">
        <f t="shared" si="36"/>
        <v>-5.3283284267738882</v>
      </c>
      <c r="AH179" s="42">
        <v>176</v>
      </c>
      <c r="AI179" s="43">
        <f t="shared" si="37"/>
        <v>0.33156143415734024</v>
      </c>
      <c r="AJ179" s="43">
        <f t="shared" si="38"/>
        <v>0.15993265438498577</v>
      </c>
      <c r="AK179" s="43">
        <f t="shared" si="39"/>
        <v>0.49149408854232601</v>
      </c>
      <c r="AL179" s="19">
        <f t="shared" si="40"/>
        <v>1.9185059114576741</v>
      </c>
      <c r="AM179" s="19">
        <f t="shared" si="41"/>
        <v>684.14814373913282</v>
      </c>
    </row>
    <row r="180" spans="15:39" x14ac:dyDescent="0.2">
      <c r="P180" s="43"/>
      <c r="Q180" s="43"/>
      <c r="R180" s="43"/>
      <c r="S180" s="19"/>
      <c r="T180" s="19"/>
      <c r="U180" s="19"/>
      <c r="Y180">
        <v>177</v>
      </c>
      <c r="Z180" s="43">
        <f t="shared" si="32"/>
        <v>2.2574302141307592</v>
      </c>
      <c r="AA180" s="43">
        <f t="shared" si="33"/>
        <v>0.19404354382616382</v>
      </c>
      <c r="AB180" s="43">
        <f t="shared" si="34"/>
        <v>2.451473757956923</v>
      </c>
      <c r="AC180" s="19">
        <f t="shared" si="35"/>
        <v>-4.1473757956922874E-2</v>
      </c>
      <c r="AD180" s="19">
        <f t="shared" si="36"/>
        <v>-14.873767844036822</v>
      </c>
      <c r="AH180">
        <v>177</v>
      </c>
      <c r="AI180" s="43">
        <f t="shared" si="37"/>
        <v>0.33533988154427019</v>
      </c>
      <c r="AJ180" s="43">
        <f t="shared" si="38"/>
        <v>0.16084136264853682</v>
      </c>
      <c r="AK180" s="43">
        <f t="shared" si="39"/>
        <v>0.49618124419280701</v>
      </c>
      <c r="AL180" s="19">
        <f t="shared" si="40"/>
        <v>1.9138187558071931</v>
      </c>
      <c r="AM180" s="19">
        <f t="shared" si="41"/>
        <v>686.35439062468754</v>
      </c>
    </row>
    <row r="181" spans="15:39" x14ac:dyDescent="0.2">
      <c r="O181" s="42"/>
      <c r="P181" s="43"/>
      <c r="Q181" s="43"/>
      <c r="R181" s="43"/>
      <c r="S181" s="19"/>
      <c r="T181" s="19"/>
      <c r="U181" s="19"/>
      <c r="Y181">
        <v>178</v>
      </c>
      <c r="Z181" s="43">
        <f t="shared" si="32"/>
        <v>2.2830099557764041</v>
      </c>
      <c r="AA181" s="43">
        <f t="shared" si="33"/>
        <v>0.19513983503422125</v>
      </c>
      <c r="AB181" s="43">
        <f t="shared" si="34"/>
        <v>2.4781497908106251</v>
      </c>
      <c r="AC181" s="19">
        <f t="shared" si="35"/>
        <v>-6.8149790810624999E-2</v>
      </c>
      <c r="AD181" s="19">
        <f t="shared" si="36"/>
        <v>-24.57869796606937</v>
      </c>
      <c r="AH181" s="42">
        <v>178</v>
      </c>
      <c r="AI181" s="43">
        <f t="shared" si="37"/>
        <v>0.33913973656512036</v>
      </c>
      <c r="AJ181" s="43">
        <f t="shared" si="38"/>
        <v>0.16175007091208787</v>
      </c>
      <c r="AK181" s="43">
        <f t="shared" si="39"/>
        <v>0.50088980747720824</v>
      </c>
      <c r="AL181" s="19">
        <f t="shared" si="40"/>
        <v>1.909110192522792</v>
      </c>
      <c r="AM181" s="19">
        <f t="shared" si="41"/>
        <v>688.53392281648178</v>
      </c>
    </row>
    <row r="182" spans="15:39" x14ac:dyDescent="0.2">
      <c r="Y182" s="42">
        <v>179</v>
      </c>
      <c r="Z182" s="43">
        <f t="shared" si="32"/>
        <v>2.3087338086425881</v>
      </c>
      <c r="AA182" s="43">
        <f t="shared" si="33"/>
        <v>0.19623612624227868</v>
      </c>
      <c r="AB182" s="43">
        <f t="shared" si="34"/>
        <v>2.5049699348848669</v>
      </c>
      <c r="AC182" s="19">
        <f t="shared" si="35"/>
        <v>-9.4969934884866714E-2</v>
      </c>
      <c r="AD182" s="19">
        <f t="shared" si="36"/>
        <v>-34.443994771266254</v>
      </c>
      <c r="AH182">
        <v>179</v>
      </c>
      <c r="AI182" s="43">
        <f t="shared" si="37"/>
        <v>0.34296099921989087</v>
      </c>
      <c r="AJ182" s="43">
        <f t="shared" si="38"/>
        <v>0.16265877917563892</v>
      </c>
      <c r="AK182" s="43">
        <f t="shared" si="39"/>
        <v>0.50561977839552985</v>
      </c>
      <c r="AL182" s="19">
        <f t="shared" si="40"/>
        <v>1.9043802216044703</v>
      </c>
      <c r="AM182" s="19">
        <f t="shared" si="41"/>
        <v>690.68661018845876</v>
      </c>
    </row>
    <row r="183" spans="15:39" x14ac:dyDescent="0.2">
      <c r="Y183">
        <v>180</v>
      </c>
      <c r="Z183" s="43">
        <f t="shared" si="32"/>
        <v>2.3346017727293114</v>
      </c>
      <c r="AA183" s="43">
        <f t="shared" si="33"/>
        <v>0.19733241745033608</v>
      </c>
      <c r="AB183" s="43">
        <f t="shared" si="34"/>
        <v>2.5319341901796473</v>
      </c>
      <c r="AC183" s="19">
        <f t="shared" si="35"/>
        <v>-0.12193419017964713</v>
      </c>
      <c r="AD183" s="19">
        <f t="shared" si="36"/>
        <v>-44.470534238021408</v>
      </c>
      <c r="AH183" s="42">
        <v>180</v>
      </c>
      <c r="AI183" s="43">
        <f t="shared" si="37"/>
        <v>0.34680366950858166</v>
      </c>
      <c r="AJ183" s="43">
        <f t="shared" si="38"/>
        <v>0.16356748743918997</v>
      </c>
      <c r="AK183" s="43">
        <f t="shared" si="39"/>
        <v>0.51037115694777158</v>
      </c>
      <c r="AL183" s="19">
        <f t="shared" si="40"/>
        <v>1.8996288430522286</v>
      </c>
      <c r="AM183" s="19">
        <f t="shared" si="41"/>
        <v>692.81232261456285</v>
      </c>
    </row>
    <row r="184" spans="15:39" x14ac:dyDescent="0.2">
      <c r="Y184">
        <v>181</v>
      </c>
      <c r="Z184" s="43">
        <f t="shared" si="32"/>
        <v>2.3606138480365728</v>
      </c>
      <c r="AA184" s="43">
        <f t="shared" si="33"/>
        <v>0.19842870865839352</v>
      </c>
      <c r="AB184" s="43">
        <f t="shared" si="34"/>
        <v>2.5590425566949664</v>
      </c>
      <c r="AC184" s="19">
        <f t="shared" si="35"/>
        <v>-0.14904255669496624</v>
      </c>
      <c r="AD184" s="19">
        <f t="shared" si="36"/>
        <v>-54.659192344729092</v>
      </c>
      <c r="AH184">
        <v>181</v>
      </c>
      <c r="AI184" s="43">
        <f t="shared" si="37"/>
        <v>0.35066774743119267</v>
      </c>
      <c r="AJ184" s="43">
        <f t="shared" si="38"/>
        <v>0.16447619570274105</v>
      </c>
      <c r="AK184" s="43">
        <f t="shared" si="39"/>
        <v>0.51514394313393375</v>
      </c>
      <c r="AL184" s="19">
        <f t="shared" si="40"/>
        <v>1.8948560568660664</v>
      </c>
      <c r="AM184" s="19">
        <f t="shared" si="41"/>
        <v>694.91092996873726</v>
      </c>
    </row>
    <row r="185" spans="15:39" x14ac:dyDescent="0.2">
      <c r="Y185" s="42">
        <v>182</v>
      </c>
      <c r="Z185" s="43">
        <f t="shared" si="32"/>
        <v>2.3867700345643734</v>
      </c>
      <c r="AA185" s="43">
        <f t="shared" si="33"/>
        <v>0.19952499986645095</v>
      </c>
      <c r="AB185" s="43">
        <f t="shared" si="34"/>
        <v>2.5862950344308242</v>
      </c>
      <c r="AC185" s="19">
        <f t="shared" si="35"/>
        <v>-0.17629503443082406</v>
      </c>
      <c r="AD185" s="19">
        <f t="shared" si="36"/>
        <v>-65.010845069783528</v>
      </c>
      <c r="AH185" s="42">
        <v>182</v>
      </c>
      <c r="AI185" s="43">
        <f t="shared" si="37"/>
        <v>0.35455323298772401</v>
      </c>
      <c r="AJ185" s="43">
        <f t="shared" si="38"/>
        <v>0.1653849039662921</v>
      </c>
      <c r="AK185" s="43">
        <f t="shared" si="39"/>
        <v>0.51993813695401614</v>
      </c>
      <c r="AL185" s="19">
        <f t="shared" si="40"/>
        <v>1.890061863045984</v>
      </c>
      <c r="AM185" s="19">
        <f t="shared" si="41"/>
        <v>696.98230212492615</v>
      </c>
    </row>
    <row r="186" spans="15:39" x14ac:dyDescent="0.2">
      <c r="Y186">
        <v>183</v>
      </c>
      <c r="Z186" s="43">
        <f t="shared" si="32"/>
        <v>2.4130703323127132</v>
      </c>
      <c r="AA186" s="43">
        <f t="shared" si="33"/>
        <v>0.20062129107450835</v>
      </c>
      <c r="AB186" s="43">
        <f t="shared" si="34"/>
        <v>2.6136916233872216</v>
      </c>
      <c r="AC186" s="19">
        <f t="shared" si="35"/>
        <v>-0.20369162338722147</v>
      </c>
      <c r="AD186" s="19">
        <f t="shared" si="36"/>
        <v>-75.526368391579325</v>
      </c>
      <c r="AH186">
        <v>183</v>
      </c>
      <c r="AI186" s="43">
        <f t="shared" si="37"/>
        <v>0.35846012617817563</v>
      </c>
      <c r="AJ186" s="43">
        <f t="shared" si="38"/>
        <v>0.16629361222984315</v>
      </c>
      <c r="AK186" s="43">
        <f t="shared" si="39"/>
        <v>0.52475373840801876</v>
      </c>
      <c r="AL186" s="19">
        <f t="shared" si="40"/>
        <v>1.8852462615919814</v>
      </c>
      <c r="AM186" s="19">
        <f t="shared" si="41"/>
        <v>699.02630895707341</v>
      </c>
    </row>
    <row r="187" spans="15:39" x14ac:dyDescent="0.2">
      <c r="Y187">
        <v>184</v>
      </c>
      <c r="Z187" s="43">
        <f t="shared" si="32"/>
        <v>2.4395147412815912</v>
      </c>
      <c r="AA187" s="43">
        <f t="shared" si="33"/>
        <v>0.20171758228256578</v>
      </c>
      <c r="AB187" s="43">
        <f t="shared" si="34"/>
        <v>2.6412323235641568</v>
      </c>
      <c r="AC187" s="19">
        <f t="shared" si="35"/>
        <v>-0.23123232356415668</v>
      </c>
      <c r="AD187" s="19">
        <f t="shared" si="36"/>
        <v>-86.20663828851005</v>
      </c>
      <c r="AH187" s="42">
        <v>184</v>
      </c>
      <c r="AI187" s="43">
        <f t="shared" si="37"/>
        <v>0.36238842700254753</v>
      </c>
      <c r="AJ187" s="43">
        <f t="shared" si="38"/>
        <v>0.1672023204933942</v>
      </c>
      <c r="AK187" s="43">
        <f t="shared" si="39"/>
        <v>0.5295907474959417</v>
      </c>
      <c r="AL187" s="19">
        <f t="shared" si="40"/>
        <v>1.8804092525040583</v>
      </c>
      <c r="AM187" s="19">
        <f t="shared" si="41"/>
        <v>701.0428203391225</v>
      </c>
    </row>
    <row r="188" spans="15:39" x14ac:dyDescent="0.2">
      <c r="Y188" s="42">
        <v>185</v>
      </c>
      <c r="Z188" s="43">
        <f t="shared" si="32"/>
        <v>2.4661032614710083</v>
      </c>
      <c r="AA188" s="43">
        <f t="shared" si="33"/>
        <v>0.20281387349062321</v>
      </c>
      <c r="AB188" s="43">
        <f t="shared" si="34"/>
        <v>2.6689171349616316</v>
      </c>
      <c r="AC188" s="19">
        <f t="shared" si="35"/>
        <v>-0.25891713496163149</v>
      </c>
      <c r="AD188" s="19">
        <f t="shared" si="36"/>
        <v>-97.052530738970589</v>
      </c>
      <c r="AH188">
        <v>185</v>
      </c>
      <c r="AI188" s="43">
        <f t="shared" si="37"/>
        <v>0.36633813546083971</v>
      </c>
      <c r="AJ188" s="43">
        <f t="shared" si="38"/>
        <v>0.16811102875694525</v>
      </c>
      <c r="AK188" s="43">
        <f t="shared" si="39"/>
        <v>0.53444916421778499</v>
      </c>
      <c r="AL188" s="19">
        <f t="shared" si="40"/>
        <v>1.875550835782215</v>
      </c>
      <c r="AM188" s="19">
        <f t="shared" si="41"/>
        <v>703.0317061450171</v>
      </c>
    </row>
    <row r="189" spans="15:39" x14ac:dyDescent="0.2">
      <c r="Y189">
        <v>186</v>
      </c>
      <c r="Z189" s="43">
        <f t="shared" si="32"/>
        <v>2.4928358928809646</v>
      </c>
      <c r="AA189" s="43">
        <f t="shared" si="33"/>
        <v>0.20391016469868062</v>
      </c>
      <c r="AB189" s="43">
        <f t="shared" si="34"/>
        <v>2.6967460575796451</v>
      </c>
      <c r="AC189" s="19">
        <f t="shared" si="35"/>
        <v>-0.286746057579645</v>
      </c>
      <c r="AD189" s="19">
        <f t="shared" si="36"/>
        <v>-108.06492172135493</v>
      </c>
      <c r="AH189" s="42">
        <v>186</v>
      </c>
      <c r="AI189" s="43">
        <f t="shared" si="37"/>
        <v>0.37030925155305217</v>
      </c>
      <c r="AJ189" s="43">
        <f t="shared" si="38"/>
        <v>0.16901973702049633</v>
      </c>
      <c r="AK189" s="43">
        <f t="shared" si="39"/>
        <v>0.5393289885735485</v>
      </c>
      <c r="AL189" s="19">
        <f t="shared" si="40"/>
        <v>1.8706710114264515</v>
      </c>
      <c r="AM189" s="19">
        <f t="shared" si="41"/>
        <v>704.99283624870134</v>
      </c>
    </row>
    <row r="190" spans="15:39" x14ac:dyDescent="0.2">
      <c r="Y190">
        <v>187</v>
      </c>
      <c r="Z190" s="43">
        <f t="shared" si="32"/>
        <v>2.5197126355114592</v>
      </c>
      <c r="AA190" s="43">
        <f t="shared" si="33"/>
        <v>0.20500645590673805</v>
      </c>
      <c r="AB190" s="43">
        <f t="shared" si="34"/>
        <v>2.7247190914181973</v>
      </c>
      <c r="AC190" s="19">
        <f t="shared" si="35"/>
        <v>-0.31471909141819721</v>
      </c>
      <c r="AD190" s="19">
        <f t="shared" si="36"/>
        <v>-119.24468721405727</v>
      </c>
      <c r="AH190">
        <v>187</v>
      </c>
      <c r="AI190" s="43">
        <f t="shared" si="37"/>
        <v>0.3743017752791849</v>
      </c>
      <c r="AJ190" s="43">
        <f t="shared" si="38"/>
        <v>0.16992844528404738</v>
      </c>
      <c r="AK190" s="43">
        <f t="shared" si="39"/>
        <v>0.54423022056323234</v>
      </c>
      <c r="AL190" s="19">
        <f t="shared" si="40"/>
        <v>1.8657697794367678</v>
      </c>
      <c r="AM190" s="19">
        <f t="shared" si="41"/>
        <v>706.92608052411879</v>
      </c>
    </row>
    <row r="191" spans="15:39" x14ac:dyDescent="0.2">
      <c r="AH191" s="42">
        <v>188</v>
      </c>
      <c r="AI191" s="43">
        <f t="shared" si="37"/>
        <v>0.37831570663923791</v>
      </c>
      <c r="AJ191" s="43">
        <f t="shared" si="38"/>
        <v>0.17083715354759843</v>
      </c>
      <c r="AK191" s="43">
        <f t="shared" si="39"/>
        <v>0.54915286018683629</v>
      </c>
      <c r="AL191" s="19">
        <f t="shared" si="40"/>
        <v>1.8608471398131639</v>
      </c>
      <c r="AM191" s="19">
        <f t="shared" si="41"/>
        <v>708.83130884521336</v>
      </c>
    </row>
    <row r="192" spans="15:39" x14ac:dyDescent="0.2">
      <c r="AH192">
        <v>189</v>
      </c>
      <c r="AI192" s="43">
        <f t="shared" si="37"/>
        <v>0.38235104563321126</v>
      </c>
      <c r="AJ192" s="43">
        <f t="shared" si="38"/>
        <v>0.17174586181114948</v>
      </c>
      <c r="AK192" s="43">
        <f t="shared" si="39"/>
        <v>0.55409690744436069</v>
      </c>
      <c r="AL192" s="19">
        <f t="shared" si="40"/>
        <v>1.8559030925556395</v>
      </c>
      <c r="AM192" s="19">
        <f t="shared" si="41"/>
        <v>710.70839108592872</v>
      </c>
    </row>
    <row r="193" spans="34:39" x14ac:dyDescent="0.2">
      <c r="AH193" s="42">
        <v>190</v>
      </c>
      <c r="AI193" s="43">
        <f t="shared" si="37"/>
        <v>0.38640779226110483</v>
      </c>
      <c r="AJ193" s="43">
        <f t="shared" si="38"/>
        <v>0.17265457007470053</v>
      </c>
      <c r="AK193" s="43">
        <f t="shared" si="39"/>
        <v>0.55906236233580531</v>
      </c>
      <c r="AL193" s="19">
        <f t="shared" si="40"/>
        <v>1.8509376376641948</v>
      </c>
      <c r="AM193" s="19">
        <f t="shared" si="41"/>
        <v>712.55719712020868</v>
      </c>
    </row>
    <row r="194" spans="34:39" x14ac:dyDescent="0.2">
      <c r="AH194">
        <v>191</v>
      </c>
      <c r="AI194" s="43">
        <f t="shared" si="37"/>
        <v>0.39048594652291874</v>
      </c>
      <c r="AJ194" s="43">
        <f t="shared" si="38"/>
        <v>0.17356327833825161</v>
      </c>
      <c r="AK194" s="43">
        <f t="shared" si="39"/>
        <v>0.56404922486117037</v>
      </c>
      <c r="AL194" s="19">
        <f t="shared" si="40"/>
        <v>1.8459507751388298</v>
      </c>
      <c r="AM194" s="19">
        <f t="shared" si="41"/>
        <v>714.37759682199703</v>
      </c>
    </row>
    <row r="195" spans="34:39" x14ac:dyDescent="0.2">
      <c r="AH195" s="42">
        <v>192</v>
      </c>
      <c r="AI195" s="43">
        <f t="shared" si="37"/>
        <v>0.39458550841865286</v>
      </c>
      <c r="AJ195" s="43">
        <f t="shared" si="38"/>
        <v>0.17447198660180266</v>
      </c>
      <c r="AK195" s="43">
        <f t="shared" si="39"/>
        <v>0.56905749502045555</v>
      </c>
      <c r="AL195" s="19">
        <f t="shared" si="40"/>
        <v>1.8409425049795445</v>
      </c>
      <c r="AM195" s="19">
        <f t="shared" si="41"/>
        <v>716.16946006523756</v>
      </c>
    </row>
    <row r="196" spans="34:39" x14ac:dyDescent="0.2">
      <c r="AH196">
        <v>193</v>
      </c>
      <c r="AI196" s="43">
        <f t="shared" ref="AI196:AI257" si="42">(AH196^2)*$L$5</f>
        <v>0.39870647794830733</v>
      </c>
      <c r="AJ196" s="43">
        <f t="shared" ref="AJ196:AJ197" si="43">AH196*$M$5</f>
        <v>0.17538069486535371</v>
      </c>
      <c r="AK196" s="43">
        <f t="shared" ref="AK196:AK197" si="44">AI196+AJ196</f>
        <v>0.57408717281366106</v>
      </c>
      <c r="AL196" s="19">
        <f t="shared" ref="AL196:AL257" si="45">$K$5-AK196</f>
        <v>1.835912827186339</v>
      </c>
      <c r="AM196" s="19">
        <f t="shared" ref="AM196:AM197" si="46">AH196*0.8*(AL196/((424.48+365.19)/2))*1000</f>
        <v>717.93265672387372</v>
      </c>
    </row>
    <row r="197" spans="34:39" x14ac:dyDescent="0.2">
      <c r="AH197" s="42">
        <v>194</v>
      </c>
      <c r="AI197" s="43">
        <f t="shared" si="42"/>
        <v>0.40284885511188206</v>
      </c>
      <c r="AJ197" s="43">
        <f t="shared" si="43"/>
        <v>0.17628940312890476</v>
      </c>
      <c r="AK197" s="43">
        <f t="shared" si="44"/>
        <v>0.5791382582407868</v>
      </c>
      <c r="AL197" s="19">
        <f t="shared" si="45"/>
        <v>1.8308617417592132</v>
      </c>
      <c r="AM197" s="19">
        <f t="shared" si="46"/>
        <v>719.66705667184999</v>
      </c>
    </row>
    <row r="198" spans="34:39" x14ac:dyDescent="0.2">
      <c r="AH198">
        <v>195</v>
      </c>
      <c r="AI198" s="43">
        <f t="shared" si="42"/>
        <v>0.40701263990937703</v>
      </c>
      <c r="AJ198" s="43">
        <f>AH198*$M$5</f>
        <v>0.17719811139245581</v>
      </c>
      <c r="AK198" s="43">
        <f>AI198+AJ198</f>
        <v>0.58421075130183286</v>
      </c>
      <c r="AL198" s="19">
        <f t="shared" si="45"/>
        <v>1.8257892486981673</v>
      </c>
      <c r="AM198" s="19">
        <f>AH198*0.8*(AL198/((424.48+365.19)/2))*1000</f>
        <v>721.3725297831096</v>
      </c>
    </row>
    <row r="199" spans="34:39" x14ac:dyDescent="0.2">
      <c r="AH199" s="42">
        <v>196</v>
      </c>
      <c r="AI199" s="43">
        <f t="shared" si="42"/>
        <v>0.41119783234079232</v>
      </c>
      <c r="AJ199" s="43">
        <f>AH199*$M$5</f>
        <v>0.17810681965600689</v>
      </c>
      <c r="AK199" s="43">
        <f>AI199+AJ199</f>
        <v>0.58930465199679927</v>
      </c>
      <c r="AL199" s="19">
        <f t="shared" si="45"/>
        <v>1.8206953480032009</v>
      </c>
      <c r="AM199" s="19">
        <f>AH199*0.8*(AL199/((424.48+365.19)/2))*1000</f>
        <v>723.04894593159645</v>
      </c>
    </row>
    <row r="200" spans="34:39" x14ac:dyDescent="0.2">
      <c r="AH200">
        <v>197</v>
      </c>
      <c r="AI200" s="43">
        <f t="shared" si="42"/>
        <v>0.4154044324061279</v>
      </c>
      <c r="AJ200" s="43">
        <f>AH200*$M$5</f>
        <v>0.17901552791955794</v>
      </c>
      <c r="AK200" s="43">
        <f>AI200+AJ200</f>
        <v>0.59441996032568589</v>
      </c>
      <c r="AL200" s="19">
        <f t="shared" si="45"/>
        <v>1.8155800396743142</v>
      </c>
      <c r="AM200" s="19">
        <f>AH200*0.8*(AL200/((424.48+365.19)/2))*1000</f>
        <v>724.69617499125445</v>
      </c>
    </row>
    <row r="201" spans="34:39" x14ac:dyDescent="0.2">
      <c r="AH201" s="42">
        <v>198</v>
      </c>
      <c r="AI201" s="43">
        <f t="shared" si="42"/>
        <v>0.41963244010538375</v>
      </c>
      <c r="AJ201" s="43">
        <f>AH201*$M$5</f>
        <v>0.17992423618310899</v>
      </c>
      <c r="AK201" s="43">
        <f>AI201+AJ201</f>
        <v>0.59955667628849274</v>
      </c>
      <c r="AL201" s="19">
        <f t="shared" si="45"/>
        <v>1.8104433237115074</v>
      </c>
      <c r="AM201" s="19">
        <f>AH201*0.8*(AL201/((424.48+365.19)/2))*1000</f>
        <v>726.31408683602706</v>
      </c>
    </row>
    <row r="202" spans="34:39" x14ac:dyDescent="0.2">
      <c r="AH202">
        <v>199</v>
      </c>
      <c r="AI202" s="43">
        <f t="shared" si="42"/>
        <v>0.42388185543855988</v>
      </c>
      <c r="AJ202" s="43">
        <f>AH202*$M$5</f>
        <v>0.18083294444666004</v>
      </c>
      <c r="AK202" s="43">
        <f>AI202+AJ202</f>
        <v>0.60471479988521992</v>
      </c>
      <c r="AL202" s="19">
        <f t="shared" si="45"/>
        <v>1.8052852001147803</v>
      </c>
      <c r="AM202" s="19">
        <f>AH202*0.8*(AL202/((424.48+365.19)/2))*1000</f>
        <v>727.90255133985852</v>
      </c>
    </row>
    <row r="203" spans="34:39" x14ac:dyDescent="0.2">
      <c r="AH203" s="42">
        <v>200</v>
      </c>
      <c r="AI203" s="43">
        <f t="shared" si="42"/>
        <v>0.42815267840565635</v>
      </c>
      <c r="AJ203" s="43">
        <f t="shared" ref="AJ203:AJ257" si="47">AH203*$M$5</f>
        <v>0.18174165271021109</v>
      </c>
      <c r="AK203" s="43">
        <f t="shared" ref="AK203:AK257" si="48">AI203+AJ203</f>
        <v>0.60989433111586744</v>
      </c>
      <c r="AL203" s="19">
        <f t="shared" si="45"/>
        <v>1.8001056688841328</v>
      </c>
      <c r="AM203" s="19">
        <f t="shared" ref="AM203:AM257" si="49">AH203*0.8*(AL203/((424.48+365.19)/2))*1000</f>
        <v>729.46143837669194</v>
      </c>
    </row>
    <row r="204" spans="34:39" x14ac:dyDescent="0.2">
      <c r="AH204">
        <v>201</v>
      </c>
      <c r="AI204" s="43">
        <f t="shared" si="42"/>
        <v>0.43244490900667304</v>
      </c>
      <c r="AJ204" s="43">
        <f t="shared" si="47"/>
        <v>0.18265036097376214</v>
      </c>
      <c r="AK204" s="43">
        <f t="shared" si="48"/>
        <v>0.61509526998043518</v>
      </c>
      <c r="AL204" s="19">
        <f t="shared" si="45"/>
        <v>1.7949047300195651</v>
      </c>
      <c r="AM204" s="19">
        <f t="shared" si="49"/>
        <v>730.99061782047204</v>
      </c>
    </row>
    <row r="205" spans="34:39" x14ac:dyDescent="0.2">
      <c r="AH205" s="42">
        <v>202</v>
      </c>
      <c r="AI205" s="43">
        <f t="shared" si="42"/>
        <v>0.43675854724161001</v>
      </c>
      <c r="AJ205" s="43">
        <f t="shared" si="47"/>
        <v>0.18355906923731322</v>
      </c>
      <c r="AK205" s="43">
        <f t="shared" si="48"/>
        <v>0.62031761647892325</v>
      </c>
      <c r="AL205" s="19">
        <f t="shared" si="45"/>
        <v>1.7896823835210769</v>
      </c>
      <c r="AM205" s="19">
        <f t="shared" si="49"/>
        <v>732.48995954514169</v>
      </c>
    </row>
    <row r="206" spans="34:39" x14ac:dyDescent="0.2">
      <c r="AH206">
        <v>203</v>
      </c>
      <c r="AI206" s="43">
        <f t="shared" si="42"/>
        <v>0.44109359311046731</v>
      </c>
      <c r="AJ206" s="43">
        <f t="shared" si="47"/>
        <v>0.18446777750086427</v>
      </c>
      <c r="AK206" s="43">
        <f t="shared" si="48"/>
        <v>0.62556137061133155</v>
      </c>
      <c r="AL206" s="19">
        <f t="shared" si="45"/>
        <v>1.7844386293886685</v>
      </c>
      <c r="AM206" s="19">
        <f t="shared" si="49"/>
        <v>733.95933342464502</v>
      </c>
    </row>
    <row r="207" spans="34:39" x14ac:dyDescent="0.2">
      <c r="AH207" s="42">
        <v>204</v>
      </c>
      <c r="AI207" s="43">
        <f t="shared" si="42"/>
        <v>0.44545004661324483</v>
      </c>
      <c r="AJ207" s="43">
        <f t="shared" si="47"/>
        <v>0.18537648576441532</v>
      </c>
      <c r="AK207" s="43">
        <f t="shared" si="48"/>
        <v>0.63082653237766018</v>
      </c>
      <c r="AL207" s="19">
        <f t="shared" si="45"/>
        <v>1.7791734676223401</v>
      </c>
      <c r="AM207" s="19">
        <f t="shared" si="49"/>
        <v>735.39860933292607</v>
      </c>
    </row>
    <row r="208" spans="34:39" x14ac:dyDescent="0.2">
      <c r="AH208">
        <v>205</v>
      </c>
      <c r="AI208" s="43">
        <f t="shared" si="42"/>
        <v>0.44982790774994269</v>
      </c>
      <c r="AJ208" s="43">
        <f t="shared" si="47"/>
        <v>0.18628519402796637</v>
      </c>
      <c r="AK208" s="43">
        <f t="shared" si="48"/>
        <v>0.63611310177790903</v>
      </c>
      <c r="AL208" s="19">
        <f t="shared" si="45"/>
        <v>1.773886898222091</v>
      </c>
      <c r="AM208" s="19">
        <f t="shared" si="49"/>
        <v>736.80765714392817</v>
      </c>
    </row>
    <row r="209" spans="34:39" x14ac:dyDescent="0.2">
      <c r="AH209" s="42">
        <v>206</v>
      </c>
      <c r="AI209" s="43">
        <f t="shared" si="42"/>
        <v>0.45422717652056083</v>
      </c>
      <c r="AJ209" s="43">
        <f t="shared" si="47"/>
        <v>0.18719390229151742</v>
      </c>
      <c r="AK209" s="43">
        <f t="shared" si="48"/>
        <v>0.64142107881207822</v>
      </c>
      <c r="AL209" s="19">
        <f t="shared" si="45"/>
        <v>1.7685789211879219</v>
      </c>
      <c r="AM209" s="19">
        <f t="shared" si="49"/>
        <v>738.18634673159556</v>
      </c>
    </row>
    <row r="210" spans="34:39" x14ac:dyDescent="0.2">
      <c r="AH210">
        <v>207</v>
      </c>
      <c r="AI210" s="43">
        <f t="shared" si="42"/>
        <v>0.45864785292509919</v>
      </c>
      <c r="AJ210" s="43">
        <f t="shared" si="47"/>
        <v>0.18810261055506849</v>
      </c>
      <c r="AK210" s="43">
        <f t="shared" si="48"/>
        <v>0.64675046348016774</v>
      </c>
      <c r="AL210" s="19">
        <f t="shared" si="45"/>
        <v>1.7632495365198324</v>
      </c>
      <c r="AM210" s="19">
        <f t="shared" si="49"/>
        <v>739.5345479698716</v>
      </c>
    </row>
    <row r="211" spans="34:39" x14ac:dyDescent="0.2">
      <c r="AH211" s="42">
        <v>208</v>
      </c>
      <c r="AI211" s="43">
        <f t="shared" si="42"/>
        <v>0.46308993696355788</v>
      </c>
      <c r="AJ211" s="43">
        <f t="shared" si="47"/>
        <v>0.18901131881861954</v>
      </c>
      <c r="AK211" s="43">
        <f t="shared" si="48"/>
        <v>0.65210125578217748</v>
      </c>
      <c r="AL211" s="19">
        <f t="shared" si="45"/>
        <v>1.7578987442178227</v>
      </c>
      <c r="AM211" s="19">
        <f t="shared" si="49"/>
        <v>740.85213073270018</v>
      </c>
    </row>
    <row r="212" spans="34:39" x14ac:dyDescent="0.2">
      <c r="AH212">
        <v>209</v>
      </c>
      <c r="AI212" s="43">
        <f t="shared" si="42"/>
        <v>0.46755342863593685</v>
      </c>
      <c r="AJ212" s="43">
        <f t="shared" si="47"/>
        <v>0.18992002708217059</v>
      </c>
      <c r="AK212" s="43">
        <f t="shared" si="48"/>
        <v>0.65747345571810745</v>
      </c>
      <c r="AL212" s="19">
        <f t="shared" si="45"/>
        <v>1.7525265442818927</v>
      </c>
      <c r="AM212" s="19">
        <f t="shared" si="49"/>
        <v>742.13896489402521</v>
      </c>
    </row>
    <row r="213" spans="34:39" x14ac:dyDescent="0.2">
      <c r="AH213" s="42">
        <v>210</v>
      </c>
      <c r="AI213" s="43">
        <f t="shared" si="42"/>
        <v>0.4720383279422361</v>
      </c>
      <c r="AJ213" s="43">
        <f t="shared" si="47"/>
        <v>0.19082873534572165</v>
      </c>
      <c r="AK213" s="43">
        <f t="shared" si="48"/>
        <v>0.66286706328795775</v>
      </c>
      <c r="AL213" s="19">
        <f t="shared" si="45"/>
        <v>1.7471329367120423</v>
      </c>
      <c r="AM213" s="19">
        <f t="shared" si="49"/>
        <v>743.39492032779015</v>
      </c>
    </row>
    <row r="214" spans="34:39" x14ac:dyDescent="0.2">
      <c r="AH214">
        <v>211</v>
      </c>
      <c r="AI214" s="43">
        <f t="shared" si="42"/>
        <v>0.47654463488245563</v>
      </c>
      <c r="AJ214" s="43">
        <f t="shared" si="47"/>
        <v>0.1917374436092727</v>
      </c>
      <c r="AK214" s="43">
        <f t="shared" si="48"/>
        <v>0.66828207849172827</v>
      </c>
      <c r="AL214" s="19">
        <f t="shared" si="45"/>
        <v>1.7417179215082719</v>
      </c>
      <c r="AM214" s="19">
        <f t="shared" si="49"/>
        <v>744.61986690793958</v>
      </c>
    </row>
    <row r="215" spans="34:39" x14ac:dyDescent="0.2">
      <c r="AH215" s="42">
        <v>212</v>
      </c>
      <c r="AI215" s="43">
        <f t="shared" si="42"/>
        <v>0.48107234945659544</v>
      </c>
      <c r="AJ215" s="43">
        <f t="shared" si="47"/>
        <v>0.19264615187282377</v>
      </c>
      <c r="AK215" s="43">
        <f t="shared" si="48"/>
        <v>0.67371850132941924</v>
      </c>
      <c r="AL215" s="19">
        <f t="shared" si="45"/>
        <v>1.7362814986705808</v>
      </c>
      <c r="AM215" s="19">
        <f t="shared" si="49"/>
        <v>745.81367450841617</v>
      </c>
    </row>
    <row r="216" spans="34:39" x14ac:dyDescent="0.2">
      <c r="AH216">
        <v>213</v>
      </c>
      <c r="AI216" s="43">
        <f t="shared" si="42"/>
        <v>0.48562147166465558</v>
      </c>
      <c r="AJ216" s="43">
        <f t="shared" si="47"/>
        <v>0.19355486013637482</v>
      </c>
      <c r="AK216" s="43">
        <f t="shared" si="48"/>
        <v>0.67917633180103043</v>
      </c>
      <c r="AL216" s="19">
        <f t="shared" si="45"/>
        <v>1.7308236681989697</v>
      </c>
      <c r="AM216" s="19">
        <f t="shared" si="49"/>
        <v>746.97621300316439</v>
      </c>
    </row>
    <row r="217" spans="34:39" x14ac:dyDescent="0.2">
      <c r="AH217" s="42">
        <v>214</v>
      </c>
      <c r="AI217" s="43">
        <f t="shared" si="42"/>
        <v>0.49019200150663594</v>
      </c>
      <c r="AJ217" s="43">
        <f t="shared" si="47"/>
        <v>0.19446356839992587</v>
      </c>
      <c r="AK217" s="43">
        <f t="shared" si="48"/>
        <v>0.68465556990656184</v>
      </c>
      <c r="AL217" s="19">
        <f t="shared" si="45"/>
        <v>1.7253444300934384</v>
      </c>
      <c r="AM217" s="19">
        <f t="shared" si="49"/>
        <v>748.10735226612803</v>
      </c>
    </row>
    <row r="218" spans="34:39" x14ac:dyDescent="0.2">
      <c r="AH218">
        <v>215</v>
      </c>
      <c r="AI218" s="43">
        <f t="shared" si="42"/>
        <v>0.49478393898253659</v>
      </c>
      <c r="AJ218" s="43">
        <f t="shared" si="47"/>
        <v>0.19537227666347692</v>
      </c>
      <c r="AK218" s="43">
        <f t="shared" si="48"/>
        <v>0.69015621564601348</v>
      </c>
      <c r="AL218" s="19">
        <f t="shared" si="45"/>
        <v>1.7198437843539867</v>
      </c>
      <c r="AM218" s="19">
        <f t="shared" si="49"/>
        <v>749.20696217125032</v>
      </c>
    </row>
    <row r="219" spans="34:39" x14ac:dyDescent="0.2">
      <c r="AH219" s="42">
        <v>216</v>
      </c>
      <c r="AI219" s="43">
        <f t="shared" si="42"/>
        <v>0.49939728409235756</v>
      </c>
      <c r="AJ219" s="43">
        <f t="shared" si="47"/>
        <v>0.19628098492702797</v>
      </c>
      <c r="AK219" s="43">
        <f t="shared" si="48"/>
        <v>0.69567826901938556</v>
      </c>
      <c r="AL219" s="19">
        <f t="shared" si="45"/>
        <v>1.7143217309806147</v>
      </c>
      <c r="AM219" s="19">
        <f t="shared" si="49"/>
        <v>750.27491259247597</v>
      </c>
    </row>
    <row r="220" spans="34:39" x14ac:dyDescent="0.2">
      <c r="AH220">
        <v>217</v>
      </c>
      <c r="AI220" s="43">
        <f t="shared" si="42"/>
        <v>0.50403203683609876</v>
      </c>
      <c r="AJ220" s="43">
        <f t="shared" si="47"/>
        <v>0.19718969319057905</v>
      </c>
      <c r="AK220" s="43">
        <f t="shared" si="48"/>
        <v>0.70122173002667787</v>
      </c>
      <c r="AL220" s="19">
        <f t="shared" si="45"/>
        <v>1.7087782699733223</v>
      </c>
      <c r="AM220" s="19">
        <f t="shared" si="49"/>
        <v>751.31107340374786</v>
      </c>
    </row>
    <row r="221" spans="34:39" x14ac:dyDescent="0.2">
      <c r="AH221" s="42">
        <v>218</v>
      </c>
      <c r="AI221" s="43">
        <f t="shared" si="42"/>
        <v>0.50868819721376024</v>
      </c>
      <c r="AJ221" s="43">
        <f t="shared" si="47"/>
        <v>0.1980984014541301</v>
      </c>
      <c r="AK221" s="43">
        <f t="shared" si="48"/>
        <v>0.70678659866789029</v>
      </c>
      <c r="AL221" s="19">
        <f t="shared" si="45"/>
        <v>1.7032134013321099</v>
      </c>
      <c r="AM221" s="19">
        <f t="shared" si="49"/>
        <v>752.31531447901</v>
      </c>
    </row>
    <row r="222" spans="34:39" x14ac:dyDescent="0.2">
      <c r="AH222">
        <v>219</v>
      </c>
      <c r="AI222" s="43">
        <f t="shared" si="42"/>
        <v>0.51336576522534205</v>
      </c>
      <c r="AJ222" s="43">
        <f t="shared" si="47"/>
        <v>0.19900710971768115</v>
      </c>
      <c r="AK222" s="43">
        <f t="shared" si="48"/>
        <v>0.71237287494302315</v>
      </c>
      <c r="AL222" s="19">
        <f t="shared" si="45"/>
        <v>1.697627125056977</v>
      </c>
      <c r="AM222" s="19">
        <f t="shared" si="49"/>
        <v>753.28750569220654</v>
      </c>
    </row>
    <row r="223" spans="34:39" x14ac:dyDescent="0.2">
      <c r="AH223" s="42">
        <v>220</v>
      </c>
      <c r="AI223" s="43">
        <f t="shared" si="42"/>
        <v>0.5180647408708442</v>
      </c>
      <c r="AJ223" s="43">
        <f t="shared" si="47"/>
        <v>0.1999158179812322</v>
      </c>
      <c r="AK223" s="43">
        <f t="shared" si="48"/>
        <v>0.71798055885207646</v>
      </c>
      <c r="AL223" s="19">
        <f t="shared" si="45"/>
        <v>1.6920194411479237</v>
      </c>
      <c r="AM223" s="19">
        <f t="shared" si="49"/>
        <v>754.22751691728058</v>
      </c>
    </row>
    <row r="224" spans="34:39" x14ac:dyDescent="0.2">
      <c r="AH224">
        <v>221</v>
      </c>
      <c r="AI224" s="43">
        <f t="shared" si="42"/>
        <v>0.52278512415026657</v>
      </c>
      <c r="AJ224" s="43">
        <f t="shared" si="47"/>
        <v>0.20082452624478325</v>
      </c>
      <c r="AK224" s="43">
        <f t="shared" si="48"/>
        <v>0.72360965039504976</v>
      </c>
      <c r="AL224" s="19">
        <f t="shared" si="45"/>
        <v>1.6863903496049504</v>
      </c>
      <c r="AM224" s="19">
        <f t="shared" si="49"/>
        <v>755.13521802817684</v>
      </c>
    </row>
    <row r="225" spans="34:39" x14ac:dyDescent="0.2">
      <c r="AH225" s="42">
        <v>222</v>
      </c>
      <c r="AI225" s="43">
        <f t="shared" si="42"/>
        <v>0.52752691506360916</v>
      </c>
      <c r="AJ225" s="43">
        <f t="shared" si="47"/>
        <v>0.2017332345083343</v>
      </c>
      <c r="AK225" s="43">
        <f t="shared" si="48"/>
        <v>0.72926014957194352</v>
      </c>
      <c r="AL225" s="19">
        <f t="shared" si="45"/>
        <v>1.6807398504280566</v>
      </c>
      <c r="AM225" s="19">
        <f t="shared" si="49"/>
        <v>756.0104788988383</v>
      </c>
    </row>
    <row r="226" spans="34:39" x14ac:dyDescent="0.2">
      <c r="AH226">
        <v>223</v>
      </c>
      <c r="AI226" s="43">
        <f t="shared" si="42"/>
        <v>0.53229011361087208</v>
      </c>
      <c r="AJ226" s="43">
        <f t="shared" si="47"/>
        <v>0.20264194277188538</v>
      </c>
      <c r="AK226" s="43">
        <f t="shared" si="48"/>
        <v>0.73493205638275749</v>
      </c>
      <c r="AL226" s="19">
        <f t="shared" si="45"/>
        <v>1.6750679436172426</v>
      </c>
      <c r="AM226" s="19">
        <f t="shared" si="49"/>
        <v>756.85316940320911</v>
      </c>
    </row>
    <row r="227" spans="34:39" x14ac:dyDescent="0.2">
      <c r="AH227" s="42">
        <v>224</v>
      </c>
      <c r="AI227" s="43">
        <f t="shared" si="42"/>
        <v>0.53707471979205534</v>
      </c>
      <c r="AJ227" s="43">
        <f t="shared" si="47"/>
        <v>0.20355065103543643</v>
      </c>
      <c r="AK227" s="43">
        <f t="shared" si="48"/>
        <v>0.7406253708274918</v>
      </c>
      <c r="AL227" s="19">
        <f t="shared" si="45"/>
        <v>1.6693746291725082</v>
      </c>
      <c r="AM227" s="19">
        <f t="shared" si="49"/>
        <v>757.66315941523283</v>
      </c>
    </row>
    <row r="228" spans="34:39" x14ac:dyDescent="0.2">
      <c r="AH228">
        <v>225</v>
      </c>
      <c r="AI228" s="43">
        <f t="shared" si="42"/>
        <v>0.54188073360715883</v>
      </c>
      <c r="AJ228" s="43">
        <f t="shared" si="47"/>
        <v>0.20445935929898748</v>
      </c>
      <c r="AK228" s="43">
        <f t="shared" si="48"/>
        <v>0.74634009290614634</v>
      </c>
      <c r="AL228" s="19">
        <f t="shared" si="45"/>
        <v>1.6636599070938538</v>
      </c>
      <c r="AM228" s="19">
        <f t="shared" si="49"/>
        <v>758.44031880885359</v>
      </c>
    </row>
    <row r="229" spans="34:39" x14ac:dyDescent="0.2">
      <c r="AH229" s="42">
        <v>226</v>
      </c>
      <c r="AI229" s="43">
        <f t="shared" si="42"/>
        <v>0.54670815505618253</v>
      </c>
      <c r="AJ229" s="43">
        <f t="shared" si="47"/>
        <v>0.20536806756253853</v>
      </c>
      <c r="AK229" s="43">
        <f t="shared" si="48"/>
        <v>0.75207622261872109</v>
      </c>
      <c r="AL229" s="19">
        <f t="shared" si="45"/>
        <v>1.6579237773812792</v>
      </c>
      <c r="AM229" s="19">
        <f t="shared" si="49"/>
        <v>759.18451745801474</v>
      </c>
    </row>
    <row r="230" spans="34:39" x14ac:dyDescent="0.2">
      <c r="AH230">
        <v>227</v>
      </c>
      <c r="AI230" s="43">
        <f t="shared" si="42"/>
        <v>0.55155698413912668</v>
      </c>
      <c r="AJ230" s="43">
        <f t="shared" si="47"/>
        <v>0.20627677582608958</v>
      </c>
      <c r="AK230" s="43">
        <f t="shared" si="48"/>
        <v>0.75783375996521629</v>
      </c>
      <c r="AL230" s="19">
        <f t="shared" si="45"/>
        <v>1.6521662400347839</v>
      </c>
      <c r="AM230" s="19">
        <f t="shared" si="49"/>
        <v>759.89562523666029</v>
      </c>
    </row>
    <row r="231" spans="34:39" x14ac:dyDescent="0.2">
      <c r="AH231" s="42">
        <v>228</v>
      </c>
      <c r="AI231" s="43">
        <f t="shared" si="42"/>
        <v>0.55642722085599094</v>
      </c>
      <c r="AJ231" s="43">
        <f t="shared" si="47"/>
        <v>0.20718548408964066</v>
      </c>
      <c r="AK231" s="43">
        <f t="shared" si="48"/>
        <v>0.7636127049456316</v>
      </c>
      <c r="AL231" s="19">
        <f t="shared" si="45"/>
        <v>1.6463872950543685</v>
      </c>
      <c r="AM231" s="19">
        <f t="shared" si="49"/>
        <v>760.57351201873394</v>
      </c>
    </row>
    <row r="232" spans="34:39" x14ac:dyDescent="0.2">
      <c r="AH232">
        <v>229</v>
      </c>
      <c r="AI232" s="43">
        <f t="shared" si="42"/>
        <v>0.56131886520677554</v>
      </c>
      <c r="AJ232" s="43">
        <f t="shared" si="47"/>
        <v>0.20809419235319171</v>
      </c>
      <c r="AK232" s="43">
        <f t="shared" si="48"/>
        <v>0.76941305755996725</v>
      </c>
      <c r="AL232" s="19">
        <f t="shared" si="45"/>
        <v>1.640586942440033</v>
      </c>
      <c r="AM232" s="19">
        <f t="shared" si="49"/>
        <v>761.21804767817969</v>
      </c>
    </row>
    <row r="233" spans="34:39" x14ac:dyDescent="0.2">
      <c r="AH233" s="42">
        <v>230</v>
      </c>
      <c r="AI233" s="43">
        <f t="shared" si="42"/>
        <v>0.56623191719148047</v>
      </c>
      <c r="AJ233" s="43">
        <f t="shared" si="47"/>
        <v>0.20900290061674276</v>
      </c>
      <c r="AK233" s="43">
        <f t="shared" si="48"/>
        <v>0.77523481780822323</v>
      </c>
      <c r="AL233" s="19">
        <f t="shared" si="45"/>
        <v>1.634765182191777</v>
      </c>
      <c r="AM233" s="19">
        <f t="shared" si="49"/>
        <v>761.82910208894089</v>
      </c>
    </row>
    <row r="234" spans="34:39" x14ac:dyDescent="0.2">
      <c r="AH234">
        <v>231</v>
      </c>
      <c r="AI234" s="43">
        <f t="shared" si="42"/>
        <v>0.57116637681010574</v>
      </c>
      <c r="AJ234" s="43">
        <f t="shared" si="47"/>
        <v>0.20991160888029381</v>
      </c>
      <c r="AK234" s="43">
        <f t="shared" si="48"/>
        <v>0.78107798569039955</v>
      </c>
      <c r="AL234" s="19">
        <f t="shared" si="45"/>
        <v>1.6289220143096006</v>
      </c>
      <c r="AM234" s="19">
        <f t="shared" si="49"/>
        <v>762.40654512496155</v>
      </c>
    </row>
    <row r="235" spans="34:39" x14ac:dyDescent="0.2">
      <c r="AH235" s="42">
        <v>232</v>
      </c>
      <c r="AI235" s="43">
        <f t="shared" si="42"/>
        <v>0.57612224406265111</v>
      </c>
      <c r="AJ235" s="43">
        <f t="shared" si="47"/>
        <v>0.21082031714384486</v>
      </c>
      <c r="AK235" s="43">
        <f t="shared" si="48"/>
        <v>0.78694256120649597</v>
      </c>
      <c r="AL235" s="19">
        <f t="shared" si="45"/>
        <v>1.6230574387935042</v>
      </c>
      <c r="AM235" s="19">
        <f t="shared" si="49"/>
        <v>762.9502466601856</v>
      </c>
    </row>
    <row r="236" spans="34:39" x14ac:dyDescent="0.2">
      <c r="AH236">
        <v>233</v>
      </c>
      <c r="AI236" s="43">
        <f t="shared" si="42"/>
        <v>0.58109951894911693</v>
      </c>
      <c r="AJ236" s="43">
        <f t="shared" si="47"/>
        <v>0.21172902540739594</v>
      </c>
      <c r="AK236" s="43">
        <f t="shared" si="48"/>
        <v>0.79282854435651284</v>
      </c>
      <c r="AL236" s="19">
        <f t="shared" si="45"/>
        <v>1.6171714556434873</v>
      </c>
      <c r="AM236" s="19">
        <f t="shared" si="49"/>
        <v>763.46007656855647</v>
      </c>
    </row>
    <row r="237" spans="34:39" x14ac:dyDescent="0.2">
      <c r="AH237" s="42">
        <v>234</v>
      </c>
      <c r="AI237" s="43">
        <f t="shared" si="42"/>
        <v>0.58609820146950298</v>
      </c>
      <c r="AJ237" s="43">
        <f t="shared" si="47"/>
        <v>0.21263773367094699</v>
      </c>
      <c r="AK237" s="43">
        <f t="shared" si="48"/>
        <v>0.79873593514044994</v>
      </c>
      <c r="AL237" s="19">
        <f t="shared" si="45"/>
        <v>1.6112640648595502</v>
      </c>
      <c r="AM237" s="19">
        <f t="shared" si="49"/>
        <v>763.93590472401843</v>
      </c>
    </row>
    <row r="238" spans="34:39" x14ac:dyDescent="0.2">
      <c r="AH238">
        <v>235</v>
      </c>
      <c r="AI238" s="43">
        <f t="shared" si="42"/>
        <v>0.59111829162380924</v>
      </c>
      <c r="AJ238" s="43">
        <f t="shared" si="47"/>
        <v>0.21354644193449804</v>
      </c>
      <c r="AK238" s="43">
        <f t="shared" si="48"/>
        <v>0.80466473355830725</v>
      </c>
      <c r="AL238" s="19">
        <f t="shared" si="45"/>
        <v>1.6053352664416929</v>
      </c>
      <c r="AM238" s="19">
        <f t="shared" si="49"/>
        <v>764.37760100051469</v>
      </c>
    </row>
    <row r="239" spans="34:39" x14ac:dyDescent="0.2">
      <c r="AH239" s="42">
        <v>236</v>
      </c>
      <c r="AI239" s="43">
        <f t="shared" si="42"/>
        <v>0.59615978941203585</v>
      </c>
      <c r="AJ239" s="43">
        <f t="shared" si="47"/>
        <v>0.21445515019804909</v>
      </c>
      <c r="AK239" s="43">
        <f t="shared" si="48"/>
        <v>0.81061493961008491</v>
      </c>
      <c r="AL239" s="19">
        <f t="shared" si="45"/>
        <v>1.5993850603899151</v>
      </c>
      <c r="AM239" s="19">
        <f t="shared" si="49"/>
        <v>764.78503527198939</v>
      </c>
    </row>
    <row r="240" spans="34:39" x14ac:dyDescent="0.2">
      <c r="AH240">
        <v>237</v>
      </c>
      <c r="AI240" s="43">
        <f t="shared" si="42"/>
        <v>0.60122269483418278</v>
      </c>
      <c r="AJ240" s="43">
        <f t="shared" si="47"/>
        <v>0.21536385846160014</v>
      </c>
      <c r="AK240" s="43">
        <f t="shared" si="48"/>
        <v>0.81658655329578289</v>
      </c>
      <c r="AL240" s="19">
        <f t="shared" si="45"/>
        <v>1.5934134467042171</v>
      </c>
      <c r="AM240" s="19">
        <f t="shared" si="49"/>
        <v>765.15807741238632</v>
      </c>
    </row>
    <row r="241" spans="34:41" x14ac:dyDescent="0.2">
      <c r="AH241" s="42">
        <v>238</v>
      </c>
      <c r="AI241" s="43">
        <f t="shared" si="42"/>
        <v>0.60630700789024994</v>
      </c>
      <c r="AJ241" s="43">
        <f t="shared" si="47"/>
        <v>0.21627256672515122</v>
      </c>
      <c r="AK241" s="43">
        <f t="shared" si="48"/>
        <v>0.82257957461540121</v>
      </c>
      <c r="AL241" s="19">
        <f t="shared" si="45"/>
        <v>1.5874204253845989</v>
      </c>
      <c r="AM241" s="19">
        <f t="shared" si="49"/>
        <v>765.49659729564905</v>
      </c>
    </row>
    <row r="242" spans="34:41" x14ac:dyDescent="0.2">
      <c r="AH242">
        <v>239</v>
      </c>
      <c r="AI242" s="43">
        <f t="shared" si="42"/>
        <v>0.61141272858023743</v>
      </c>
      <c r="AJ242" s="43">
        <f t="shared" si="47"/>
        <v>0.21718127498870227</v>
      </c>
      <c r="AK242" s="43">
        <f t="shared" si="48"/>
        <v>0.82859400356893964</v>
      </c>
      <c r="AL242" s="19">
        <f t="shared" si="45"/>
        <v>1.5814059964310605</v>
      </c>
      <c r="AM242" s="19">
        <f t="shared" si="49"/>
        <v>765.80046479572161</v>
      </c>
    </row>
    <row r="243" spans="34:41" x14ac:dyDescent="0.2">
      <c r="AH243" s="42">
        <v>240</v>
      </c>
      <c r="AI243" s="43">
        <f t="shared" si="42"/>
        <v>0.61653985690414514</v>
      </c>
      <c r="AJ243" s="43">
        <f t="shared" si="47"/>
        <v>0.21808998325225332</v>
      </c>
      <c r="AK243" s="43">
        <f t="shared" si="48"/>
        <v>0.83462984015639852</v>
      </c>
      <c r="AL243" s="19">
        <f t="shared" si="45"/>
        <v>1.5753701598436016</v>
      </c>
      <c r="AM243" s="19">
        <f t="shared" si="49"/>
        <v>766.06954978654755</v>
      </c>
    </row>
    <row r="244" spans="34:41" x14ac:dyDescent="0.2">
      <c r="AH244">
        <v>241</v>
      </c>
      <c r="AI244" s="43">
        <f t="shared" si="42"/>
        <v>0.62168839286197319</v>
      </c>
      <c r="AJ244" s="43">
        <f t="shared" si="47"/>
        <v>0.21899869151580437</v>
      </c>
      <c r="AK244" s="43">
        <f t="shared" si="48"/>
        <v>0.84068708437777762</v>
      </c>
      <c r="AL244" s="19">
        <f t="shared" si="45"/>
        <v>1.5693129156222225</v>
      </c>
      <c r="AM244" s="19">
        <f t="shared" si="49"/>
        <v>766.3037221420708</v>
      </c>
    </row>
    <row r="245" spans="34:41" x14ac:dyDescent="0.2">
      <c r="AH245" s="42">
        <v>242</v>
      </c>
      <c r="AI245" s="43">
        <f t="shared" si="42"/>
        <v>0.62685833645372147</v>
      </c>
      <c r="AJ245" s="43">
        <f t="shared" si="47"/>
        <v>0.21990739977935542</v>
      </c>
      <c r="AK245" s="43">
        <f t="shared" si="48"/>
        <v>0.84676573623307694</v>
      </c>
      <c r="AL245" s="19">
        <f t="shared" si="45"/>
        <v>1.5632342637669232</v>
      </c>
      <c r="AM245" s="19">
        <f t="shared" si="49"/>
        <v>766.5028517362349</v>
      </c>
    </row>
    <row r="246" spans="34:41" x14ac:dyDescent="0.2">
      <c r="AH246">
        <v>243</v>
      </c>
      <c r="AI246" s="43">
        <f t="shared" si="42"/>
        <v>0.63204968767939007</v>
      </c>
      <c r="AJ246" s="43">
        <f t="shared" si="47"/>
        <v>0.22081610804290649</v>
      </c>
      <c r="AK246" s="43">
        <f t="shared" si="48"/>
        <v>0.85286579572229659</v>
      </c>
      <c r="AL246" s="19">
        <f t="shared" si="45"/>
        <v>1.5571342042777037</v>
      </c>
      <c r="AM246" s="19">
        <f t="shared" si="49"/>
        <v>766.66680844298401</v>
      </c>
    </row>
    <row r="247" spans="34:41" x14ac:dyDescent="0.2">
      <c r="AH247" s="42">
        <v>244</v>
      </c>
      <c r="AI247" s="43">
        <f t="shared" si="42"/>
        <v>0.6372624465389789</v>
      </c>
      <c r="AJ247" s="43">
        <f t="shared" si="47"/>
        <v>0.22172481630645755</v>
      </c>
      <c r="AK247" s="43">
        <f t="shared" si="48"/>
        <v>0.85898726284543647</v>
      </c>
      <c r="AL247" s="19">
        <f t="shared" si="45"/>
        <v>1.5510127371545637</v>
      </c>
      <c r="AM247" s="19">
        <f t="shared" si="49"/>
        <v>766.79546213626145</v>
      </c>
    </row>
    <row r="248" spans="34:41" x14ac:dyDescent="0.2">
      <c r="AH248">
        <v>245</v>
      </c>
      <c r="AI248" s="43">
        <f t="shared" si="42"/>
        <v>0.64249661303248806</v>
      </c>
      <c r="AJ248" s="43">
        <f t="shared" si="47"/>
        <v>0.2226335245700086</v>
      </c>
      <c r="AK248" s="43">
        <f t="shared" si="48"/>
        <v>0.86513013760249668</v>
      </c>
      <c r="AL248" s="19">
        <f t="shared" si="45"/>
        <v>1.5448698623975035</v>
      </c>
      <c r="AM248" s="19">
        <f t="shared" si="49"/>
        <v>766.88868269001148</v>
      </c>
    </row>
    <row r="249" spans="34:41" x14ac:dyDescent="0.2">
      <c r="AH249" s="42">
        <v>246</v>
      </c>
      <c r="AI249" s="43">
        <f t="shared" si="42"/>
        <v>0.64775218715991745</v>
      </c>
      <c r="AJ249" s="43">
        <f t="shared" si="47"/>
        <v>0.22354223283355965</v>
      </c>
      <c r="AK249" s="43">
        <f t="shared" si="48"/>
        <v>0.87129441999347712</v>
      </c>
      <c r="AL249" s="19">
        <f t="shared" si="45"/>
        <v>1.538705580006523</v>
      </c>
      <c r="AM249" s="19">
        <f t="shared" si="49"/>
        <v>766.94633997817755</v>
      </c>
      <c r="AN249" s="4" t="s">
        <v>292</v>
      </c>
      <c r="AO249" s="4" t="s">
        <v>208</v>
      </c>
    </row>
    <row r="250" spans="34:41" x14ac:dyDescent="0.2">
      <c r="AH250" s="48">
        <v>247</v>
      </c>
      <c r="AI250" s="50">
        <f t="shared" si="42"/>
        <v>0.65302916892126717</v>
      </c>
      <c r="AJ250" s="50">
        <f t="shared" si="47"/>
        <v>0.2244509410971107</v>
      </c>
      <c r="AK250" s="50">
        <f t="shared" si="48"/>
        <v>0.87748011001837789</v>
      </c>
      <c r="AL250" s="47">
        <f t="shared" si="45"/>
        <v>1.5325198899816224</v>
      </c>
      <c r="AM250" s="47">
        <f t="shared" si="49"/>
        <v>766.96830387470357</v>
      </c>
      <c r="AN250">
        <v>214.89</v>
      </c>
      <c r="AO250" s="19">
        <f>AM250-AN250</f>
        <v>552.07830387470358</v>
      </c>
    </row>
    <row r="251" spans="34:41" x14ac:dyDescent="0.2">
      <c r="AH251" s="42">
        <v>248</v>
      </c>
      <c r="AI251" s="43">
        <f t="shared" si="42"/>
        <v>0.65832755831653722</v>
      </c>
      <c r="AJ251" s="43">
        <f t="shared" si="47"/>
        <v>0.22535964936066175</v>
      </c>
      <c r="AK251" s="43">
        <f t="shared" si="48"/>
        <v>0.88368720767719899</v>
      </c>
      <c r="AL251" s="19">
        <f t="shared" si="45"/>
        <v>1.526312792322801</v>
      </c>
      <c r="AM251" s="19">
        <f t="shared" si="49"/>
        <v>766.95444425353298</v>
      </c>
    </row>
    <row r="252" spans="34:41" x14ac:dyDescent="0.2">
      <c r="AH252">
        <v>249</v>
      </c>
      <c r="AI252" s="43">
        <f t="shared" si="42"/>
        <v>0.6636473553457275</v>
      </c>
      <c r="AJ252" s="43">
        <f t="shared" si="47"/>
        <v>0.22626835762421282</v>
      </c>
      <c r="AK252" s="43">
        <f t="shared" si="48"/>
        <v>0.88991571296994032</v>
      </c>
      <c r="AL252" s="19">
        <f t="shared" si="45"/>
        <v>1.5200842870300599</v>
      </c>
      <c r="AM252" s="19">
        <f t="shared" si="49"/>
        <v>766.90463098861028</v>
      </c>
    </row>
    <row r="253" spans="34:41" x14ac:dyDescent="0.2">
      <c r="AH253" s="42">
        <v>250</v>
      </c>
      <c r="AI253" s="43">
        <f t="shared" si="42"/>
        <v>0.668988560008838</v>
      </c>
      <c r="AJ253" s="43">
        <f t="shared" si="47"/>
        <v>0.22717706588776387</v>
      </c>
      <c r="AK253" s="43">
        <f t="shared" si="48"/>
        <v>0.89616562589660187</v>
      </c>
      <c r="AL253" s="19">
        <f t="shared" si="45"/>
        <v>1.5138343741033982</v>
      </c>
      <c r="AM253" s="19">
        <f t="shared" si="49"/>
        <v>766.81873395387845</v>
      </c>
    </row>
    <row r="254" spans="34:41" x14ac:dyDescent="0.2">
      <c r="AH254">
        <v>251</v>
      </c>
      <c r="AI254" s="43">
        <f t="shared" si="42"/>
        <v>0.67435117230586883</v>
      </c>
      <c r="AJ254" s="43">
        <f t="shared" si="47"/>
        <v>0.22808577415131492</v>
      </c>
      <c r="AK254" s="43">
        <f t="shared" si="48"/>
        <v>0.90243694645718375</v>
      </c>
      <c r="AL254" s="19">
        <f t="shared" si="45"/>
        <v>1.5075630535428164</v>
      </c>
      <c r="AM254" s="19">
        <f t="shared" si="49"/>
        <v>766.69662302328186</v>
      </c>
    </row>
    <row r="255" spans="34:41" x14ac:dyDescent="0.2">
      <c r="AH255" s="42">
        <v>252</v>
      </c>
      <c r="AI255" s="43">
        <f t="shared" si="42"/>
        <v>0.67973519223682</v>
      </c>
      <c r="AJ255" s="43">
        <f t="shared" si="47"/>
        <v>0.22899448241486597</v>
      </c>
      <c r="AK255" s="43">
        <f t="shared" si="48"/>
        <v>0.90872967465168597</v>
      </c>
      <c r="AL255" s="19">
        <f t="shared" si="45"/>
        <v>1.5012703253483142</v>
      </c>
      <c r="AM255" s="19">
        <f t="shared" si="49"/>
        <v>766.53816807076407</v>
      </c>
    </row>
    <row r="256" spans="34:41" x14ac:dyDescent="0.2">
      <c r="AH256">
        <v>253</v>
      </c>
      <c r="AI256" s="43">
        <f t="shared" si="42"/>
        <v>0.68514061980169139</v>
      </c>
      <c r="AJ256" s="43">
        <f t="shared" si="47"/>
        <v>0.22990319067841702</v>
      </c>
      <c r="AK256" s="43">
        <f t="shared" si="48"/>
        <v>0.91504381048010841</v>
      </c>
      <c r="AL256" s="19">
        <f t="shared" si="45"/>
        <v>1.4949561895198917</v>
      </c>
      <c r="AM256" s="19">
        <f t="shared" si="49"/>
        <v>766.34323897026866</v>
      </c>
    </row>
    <row r="257" spans="34:39" x14ac:dyDescent="0.2">
      <c r="AH257" s="42">
        <v>254</v>
      </c>
      <c r="AI257" s="43">
        <f t="shared" si="42"/>
        <v>0.69056745500048311</v>
      </c>
      <c r="AJ257" s="43">
        <f t="shared" si="47"/>
        <v>0.2308118989419681</v>
      </c>
      <c r="AK257" s="43">
        <f t="shared" si="48"/>
        <v>0.92137935394245118</v>
      </c>
      <c r="AL257" s="19">
        <f t="shared" si="45"/>
        <v>1.4886206460575488</v>
      </c>
      <c r="AM257" s="19">
        <f t="shared" si="49"/>
        <v>766.11170559573986</v>
      </c>
    </row>
  </sheetData>
  <mergeCells count="3">
    <mergeCell ref="O1:U1"/>
    <mergeCell ref="Y1:AD1"/>
    <mergeCell ref="AH1:AM1"/>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9B9B4-B407-2641-AB29-1A8CBAB5F556}">
  <dimension ref="A1:V73"/>
  <sheetViews>
    <sheetView zoomScale="111" zoomScaleNormal="90" workbookViewId="0">
      <selection activeCell="D40" sqref="D40"/>
    </sheetView>
  </sheetViews>
  <sheetFormatPr baseColWidth="10" defaultRowHeight="16" x14ac:dyDescent="0.2"/>
  <cols>
    <col min="2" max="2" width="14.1640625" bestFit="1" customWidth="1"/>
    <col min="3" max="3" width="12.83203125" bestFit="1" customWidth="1"/>
    <col min="7" max="7" width="15.5" bestFit="1" customWidth="1"/>
    <col min="8" max="8" width="7.33203125" bestFit="1" customWidth="1"/>
    <col min="10" max="10" width="12" bestFit="1" customWidth="1"/>
    <col min="11" max="11" width="12.83203125" bestFit="1" customWidth="1"/>
    <col min="16" max="16" width="23.83203125" customWidth="1"/>
    <col min="17" max="17" width="23.1640625" bestFit="1" customWidth="1"/>
    <col min="18" max="18" width="13.5" bestFit="1" customWidth="1"/>
  </cols>
  <sheetData>
    <row r="1" spans="1:22" x14ac:dyDescent="0.2">
      <c r="A1" s="111" t="s">
        <v>321</v>
      </c>
      <c r="B1" s="111"/>
      <c r="C1" s="111"/>
      <c r="D1" s="111"/>
      <c r="E1" s="111"/>
      <c r="I1" s="111" t="s">
        <v>320</v>
      </c>
      <c r="J1" s="111"/>
      <c r="K1" s="111"/>
      <c r="L1" s="111"/>
      <c r="M1" s="111"/>
      <c r="P1" s="4" t="s">
        <v>328</v>
      </c>
    </row>
    <row r="2" spans="1:22" x14ac:dyDescent="0.2">
      <c r="A2" t="s">
        <v>319</v>
      </c>
      <c r="B2" t="s">
        <v>318</v>
      </c>
      <c r="C2" t="s">
        <v>317</v>
      </c>
      <c r="D2" t="s">
        <v>316</v>
      </c>
      <c r="E2" t="s">
        <v>183</v>
      </c>
      <c r="G2" t="s">
        <v>322</v>
      </c>
      <c r="I2" t="s">
        <v>319</v>
      </c>
      <c r="J2" t="s">
        <v>318</v>
      </c>
      <c r="K2" t="s">
        <v>317</v>
      </c>
      <c r="L2" t="s">
        <v>316</v>
      </c>
      <c r="M2" t="s">
        <v>183</v>
      </c>
    </row>
    <row r="3" spans="1:22" x14ac:dyDescent="0.2">
      <c r="A3" s="94">
        <v>-1.2048019999999999</v>
      </c>
      <c r="B3">
        <v>23770000</v>
      </c>
      <c r="C3">
        <v>594.29999999999995</v>
      </c>
      <c r="D3">
        <v>-110850</v>
      </c>
      <c r="E3">
        <v>-2377</v>
      </c>
      <c r="F3" t="s">
        <v>315</v>
      </c>
      <c r="G3" s="19">
        <f>100/(0.015394*C3)</f>
        <v>10.930569438289623</v>
      </c>
      <c r="I3" s="94">
        <v>-1.481854</v>
      </c>
      <c r="J3">
        <v>7500000</v>
      </c>
      <c r="K3">
        <v>713.55</v>
      </c>
      <c r="L3">
        <v>-227920</v>
      </c>
      <c r="M3">
        <v>0</v>
      </c>
      <c r="N3" t="s">
        <v>314</v>
      </c>
      <c r="Q3" s="108" t="s">
        <v>201</v>
      </c>
      <c r="R3" s="108"/>
      <c r="S3" s="108"/>
    </row>
    <row r="4" spans="1:22" x14ac:dyDescent="0.2">
      <c r="A4">
        <f>B3+(C3*9.81*-100)</f>
        <v>23186991.699999999</v>
      </c>
      <c r="B4" s="3">
        <f t="shared" ref="B4:B27" si="0">B3+(C3*9.81*E3)-(C3*9.81*E4)</f>
        <v>23186991.699999999</v>
      </c>
      <c r="C4" s="19">
        <v>589.85964591480001</v>
      </c>
      <c r="D4">
        <f t="shared" ref="D4:D27" si="1">(D3+(9.81*E3))-(9.81*E4)</f>
        <v>-111831</v>
      </c>
      <c r="E4">
        <v>-2277</v>
      </c>
      <c r="G4" s="19">
        <f t="shared" ref="G4:G27" si="2">100/(0.015394*C4)</f>
        <v>11.012852739062977</v>
      </c>
      <c r="J4" s="3">
        <f t="shared" ref="J4:J27" si="3">J3+(K3*9.81*M3)-(K3*9.81*M4)</f>
        <v>8038994.2635000004</v>
      </c>
      <c r="K4" s="19">
        <v>719.25662931889997</v>
      </c>
      <c r="L4" s="3">
        <f t="shared" ref="L4:L27" si="4">(L3+(9.81*M3))-(9.81*M4)</f>
        <v>-227164.63</v>
      </c>
      <c r="M4">
        <v>-77</v>
      </c>
      <c r="P4" t="s">
        <v>202</v>
      </c>
      <c r="Q4">
        <v>3</v>
      </c>
      <c r="R4">
        <v>4</v>
      </c>
      <c r="S4">
        <v>5</v>
      </c>
    </row>
    <row r="5" spans="1:22" x14ac:dyDescent="0.2">
      <c r="B5" s="3">
        <f t="shared" si="0"/>
        <v>22608339.387357578</v>
      </c>
      <c r="C5" s="19">
        <v>585.31887145530004</v>
      </c>
      <c r="D5">
        <f t="shared" si="1"/>
        <v>-112812</v>
      </c>
      <c r="E5">
        <v>-2177</v>
      </c>
      <c r="G5" s="19">
        <f t="shared" si="2"/>
        <v>11.098288016964469</v>
      </c>
      <c r="J5" s="3">
        <f t="shared" si="3"/>
        <v>8744585.0168618411</v>
      </c>
      <c r="K5" s="19">
        <v>726.1520349699</v>
      </c>
      <c r="L5" s="3">
        <f t="shared" si="4"/>
        <v>-226183.63</v>
      </c>
      <c r="M5">
        <v>-177</v>
      </c>
      <c r="P5" t="s">
        <v>107</v>
      </c>
      <c r="Q5">
        <v>23.77</v>
      </c>
      <c r="R5" s="97">
        <v>11.33</v>
      </c>
      <c r="S5">
        <v>6.5</v>
      </c>
      <c r="V5" s="19"/>
    </row>
    <row r="6" spans="1:22" x14ac:dyDescent="0.2">
      <c r="B6" s="3">
        <f t="shared" si="0"/>
        <v>22034141.574459925</v>
      </c>
      <c r="C6" s="19">
        <v>580.68273786340001</v>
      </c>
      <c r="D6">
        <f t="shared" si="1"/>
        <v>-113793</v>
      </c>
      <c r="E6">
        <v>-2077</v>
      </c>
      <c r="G6" s="19">
        <f t="shared" si="2"/>
        <v>11.186896033929724</v>
      </c>
      <c r="J6" s="3">
        <f t="shared" si="3"/>
        <v>9456940.1631673127</v>
      </c>
      <c r="K6" s="19">
        <v>732.56740143740001</v>
      </c>
      <c r="L6" s="3">
        <f t="shared" si="4"/>
        <v>-225202.63</v>
      </c>
      <c r="M6">
        <v>-277</v>
      </c>
      <c r="P6" t="s">
        <v>205</v>
      </c>
      <c r="Q6">
        <v>94.44</v>
      </c>
      <c r="R6">
        <v>54.59</v>
      </c>
      <c r="S6" s="19">
        <v>25.443907697899999</v>
      </c>
      <c r="T6" s="19"/>
      <c r="U6" s="19"/>
      <c r="V6" s="19"/>
    </row>
    <row r="7" spans="1:22" x14ac:dyDescent="0.2">
      <c r="B7" s="3">
        <f t="shared" si="0"/>
        <v>21464491.80861593</v>
      </c>
      <c r="C7" s="19">
        <v>575.9381061803</v>
      </c>
      <c r="D7">
        <f t="shared" si="1"/>
        <v>-114774</v>
      </c>
      <c r="E7">
        <v>-1977</v>
      </c>
      <c r="G7" s="19">
        <f t="shared" si="2"/>
        <v>11.27905472388019</v>
      </c>
      <c r="J7" s="3">
        <f t="shared" si="3"/>
        <v>10175588.783977402</v>
      </c>
      <c r="K7" s="19">
        <v>738.57967087359998</v>
      </c>
      <c r="L7" s="3">
        <f t="shared" si="4"/>
        <v>-224221.63</v>
      </c>
      <c r="M7">
        <v>-377</v>
      </c>
      <c r="P7" t="s">
        <v>203</v>
      </c>
      <c r="Q7">
        <v>-110.85</v>
      </c>
      <c r="R7" s="97">
        <v>-134.16999999999999</v>
      </c>
      <c r="S7" s="19">
        <v>-146.6061936044</v>
      </c>
      <c r="U7" s="19"/>
      <c r="V7" s="19"/>
    </row>
    <row r="8" spans="1:22" x14ac:dyDescent="0.2">
      <c r="B8" s="3">
        <f t="shared" si="0"/>
        <v>20899496.526453055</v>
      </c>
      <c r="C8" s="19">
        <v>571.0878119125</v>
      </c>
      <c r="D8">
        <f t="shared" si="1"/>
        <v>-115755</v>
      </c>
      <c r="E8">
        <v>-1877</v>
      </c>
      <c r="G8" s="19">
        <f t="shared" si="2"/>
        <v>11.37484863390995</v>
      </c>
      <c r="J8" s="3">
        <f t="shared" si="3"/>
        <v>10900135.441104405</v>
      </c>
      <c r="K8" s="19">
        <v>744.24767145290002</v>
      </c>
      <c r="L8" s="3">
        <f t="shared" si="4"/>
        <v>-223240.63</v>
      </c>
      <c r="M8">
        <v>-477</v>
      </c>
      <c r="P8" t="s">
        <v>206</v>
      </c>
      <c r="Q8">
        <v>594.29999999999995</v>
      </c>
      <c r="R8" s="97">
        <v>452.35</v>
      </c>
      <c r="S8" s="19">
        <v>303.8402676064</v>
      </c>
      <c r="T8" s="19"/>
      <c r="U8" s="19"/>
      <c r="V8" s="19"/>
    </row>
    <row r="9" spans="1:22" x14ac:dyDescent="0.2">
      <c r="B9" s="3">
        <f t="shared" si="0"/>
        <v>20339259.382966891</v>
      </c>
      <c r="C9" s="19">
        <v>566.12643264799999</v>
      </c>
      <c r="D9">
        <f t="shared" si="1"/>
        <v>-116736</v>
      </c>
      <c r="E9">
        <v>-1777</v>
      </c>
      <c r="G9" s="19">
        <f t="shared" si="2"/>
        <v>11.474534737392416</v>
      </c>
      <c r="J9" s="3">
        <f t="shared" si="3"/>
        <v>11630242.4067997</v>
      </c>
      <c r="K9" s="19">
        <v>749.61767908490003</v>
      </c>
      <c r="L9" s="3">
        <f t="shared" si="4"/>
        <v>-222259.63</v>
      </c>
      <c r="M9">
        <v>-577</v>
      </c>
      <c r="P9" t="s">
        <v>204</v>
      </c>
      <c r="Q9">
        <v>-1.2048019999999999</v>
      </c>
      <c r="R9">
        <v>-1.2048019999999999</v>
      </c>
      <c r="S9">
        <v>-1.2048019999999999</v>
      </c>
    </row>
    <row r="10" spans="1:22" x14ac:dyDescent="0.2">
      <c r="B10" s="3">
        <f t="shared" si="0"/>
        <v>19783889.352539204</v>
      </c>
      <c r="C10" s="19">
        <v>561.04805954150004</v>
      </c>
      <c r="D10">
        <f t="shared" si="1"/>
        <v>-117717</v>
      </c>
      <c r="E10">
        <v>-1677</v>
      </c>
      <c r="G10" s="19">
        <f t="shared" si="2"/>
        <v>11.578397441538641</v>
      </c>
      <c r="J10" s="3">
        <f t="shared" si="3"/>
        <v>12365617.349981986</v>
      </c>
      <c r="K10" s="19">
        <v>754.72746537650005</v>
      </c>
      <c r="L10" s="3">
        <f t="shared" si="4"/>
        <v>-221278.63</v>
      </c>
      <c r="M10">
        <v>-677</v>
      </c>
    </row>
    <row r="11" spans="1:22" x14ac:dyDescent="0.2">
      <c r="B11" s="3">
        <f t="shared" si="0"/>
        <v>19233501.206128992</v>
      </c>
      <c r="C11" s="19">
        <v>555.84638928080005</v>
      </c>
      <c r="D11">
        <f t="shared" si="1"/>
        <v>-118698</v>
      </c>
      <c r="E11">
        <v>-1577</v>
      </c>
      <c r="G11" s="19">
        <f t="shared" si="2"/>
        <v>11.686749329397699</v>
      </c>
      <c r="J11" s="3">
        <f t="shared" si="3"/>
        <v>13106004.993516333</v>
      </c>
      <c r="K11" s="19">
        <v>759.60515560210001</v>
      </c>
      <c r="L11" s="3">
        <f t="shared" si="4"/>
        <v>-220297.63</v>
      </c>
      <c r="M11">
        <v>-777</v>
      </c>
    </row>
    <row r="12" spans="1:22" x14ac:dyDescent="0.2">
      <c r="B12" s="3">
        <f t="shared" si="0"/>
        <v>18688215.89824453</v>
      </c>
      <c r="C12" s="19">
        <v>550.50478942899997</v>
      </c>
      <c r="D12">
        <f t="shared" si="1"/>
        <v>-119679</v>
      </c>
      <c r="E12">
        <v>-1477</v>
      </c>
      <c r="G12" s="19">
        <f t="shared" si="2"/>
        <v>11.800146959508576</v>
      </c>
      <c r="J12" s="3">
        <f t="shared" si="3"/>
        <v>13851177.651161993</v>
      </c>
      <c r="K12" s="19">
        <v>764.27733337550001</v>
      </c>
      <c r="L12" s="3">
        <f t="shared" si="4"/>
        <v>-219316.63</v>
      </c>
      <c r="M12">
        <v>-877</v>
      </c>
      <c r="P12" t="s">
        <v>207</v>
      </c>
      <c r="Q12" s="19">
        <f>100*0.78*(R7-S7)</f>
        <v>970.0231011432013</v>
      </c>
    </row>
    <row r="13" spans="1:22" x14ac:dyDescent="0.2">
      <c r="B13" s="3">
        <f t="shared" si="0"/>
        <v>18148170.699814681</v>
      </c>
      <c r="C13" s="19">
        <v>545.03550667080003</v>
      </c>
      <c r="D13">
        <f t="shared" si="1"/>
        <v>-120660</v>
      </c>
      <c r="E13">
        <v>-1377</v>
      </c>
      <c r="G13" s="19">
        <f t="shared" si="2"/>
        <v>11.918558218077914</v>
      </c>
      <c r="J13" s="3">
        <f t="shared" si="3"/>
        <v>14600933.71520336</v>
      </c>
      <c r="K13" s="19">
        <v>768.76456973020004</v>
      </c>
      <c r="L13" s="3">
        <f t="shared" si="4"/>
        <v>-218335.63</v>
      </c>
      <c r="M13">
        <v>-977</v>
      </c>
    </row>
    <row r="14" spans="1:22" x14ac:dyDescent="0.2">
      <c r="B14" s="3">
        <f t="shared" si="0"/>
        <v>17613490.867770627</v>
      </c>
      <c r="C14" s="19">
        <v>539.42099910060006</v>
      </c>
      <c r="D14">
        <f t="shared" si="1"/>
        <v>-121641</v>
      </c>
      <c r="E14">
        <v>-1277</v>
      </c>
      <c r="G14" s="19">
        <f t="shared" si="2"/>
        <v>12.042611296198418</v>
      </c>
      <c r="J14" s="3">
        <f t="shared" si="3"/>
        <v>15355091.758108687</v>
      </c>
      <c r="K14" s="19">
        <v>773.08441358300001</v>
      </c>
      <c r="L14" s="3">
        <f t="shared" si="4"/>
        <v>-217354.63</v>
      </c>
      <c r="M14">
        <v>-1077</v>
      </c>
    </row>
    <row r="15" spans="1:22" x14ac:dyDescent="0.2">
      <c r="B15" s="3">
        <f t="shared" si="0"/>
        <v>17084318.867652938</v>
      </c>
      <c r="C15" s="19">
        <v>533.66418217349997</v>
      </c>
      <c r="D15">
        <f t="shared" si="1"/>
        <v>-122622</v>
      </c>
      <c r="E15">
        <v>-1177</v>
      </c>
      <c r="G15" s="19">
        <f t="shared" si="2"/>
        <v>12.17251903756882</v>
      </c>
      <c r="J15" s="3">
        <f t="shared" si="3"/>
        <v>16113487.56783361</v>
      </c>
      <c r="K15" s="19">
        <v>777.25192115799996</v>
      </c>
      <c r="L15" s="3">
        <f t="shared" si="4"/>
        <v>-216373.63</v>
      </c>
      <c r="M15">
        <v>-1177</v>
      </c>
    </row>
    <row r="16" spans="1:22" x14ac:dyDescent="0.2">
      <c r="B16" s="3">
        <f t="shared" si="0"/>
        <v>16560794.304940734</v>
      </c>
      <c r="C16" s="19">
        <v>527.75801094450003</v>
      </c>
      <c r="D16">
        <f t="shared" si="1"/>
        <v>-123603</v>
      </c>
      <c r="E16">
        <v>-1077</v>
      </c>
      <c r="G16" s="19">
        <f t="shared" si="2"/>
        <v>12.308742420697538</v>
      </c>
      <c r="J16" s="3">
        <f t="shared" si="3"/>
        <v>16875971.702489607</v>
      </c>
      <c r="K16" s="19">
        <v>781.28006676970006</v>
      </c>
      <c r="L16" s="3">
        <f t="shared" si="4"/>
        <v>-215392.63</v>
      </c>
      <c r="M16">
        <v>-1277</v>
      </c>
    </row>
    <row r="17" spans="2:14" x14ac:dyDescent="0.2">
      <c r="B17" s="3">
        <f t="shared" si="0"/>
        <v>16043063.69620418</v>
      </c>
      <c r="C17" s="19">
        <v>521.68080437649996</v>
      </c>
      <c r="D17">
        <f t="shared" si="1"/>
        <v>-124584</v>
      </c>
      <c r="E17">
        <v>-977</v>
      </c>
      <c r="G17" s="19">
        <f t="shared" si="2"/>
        <v>12.452130426649353</v>
      </c>
      <c r="J17" s="3">
        <f t="shared" si="3"/>
        <v>17642407.447990682</v>
      </c>
      <c r="K17" s="19">
        <v>785.18018124460002</v>
      </c>
      <c r="L17" s="3">
        <f t="shared" si="4"/>
        <v>-214411.63</v>
      </c>
      <c r="M17">
        <v>-1377</v>
      </c>
    </row>
    <row r="18" spans="2:14" x14ac:dyDescent="0.2">
      <c r="B18" s="3">
        <f t="shared" si="0"/>
        <v>15531294.827110833</v>
      </c>
      <c r="C18" s="19">
        <v>515.43543329440001</v>
      </c>
      <c r="D18">
        <f t="shared" si="1"/>
        <v>-125565</v>
      </c>
      <c r="E18">
        <v>-877</v>
      </c>
      <c r="G18" s="19">
        <f t="shared" si="2"/>
        <v>12.603009024149097</v>
      </c>
      <c r="J18" s="3">
        <f t="shared" si="3"/>
        <v>18412669.205791637</v>
      </c>
      <c r="K18" s="19">
        <v>788.96212912850001</v>
      </c>
      <c r="L18" s="3">
        <f t="shared" si="4"/>
        <v>-213430.63</v>
      </c>
      <c r="M18">
        <v>-1477</v>
      </c>
    </row>
    <row r="19" spans="2:14" x14ac:dyDescent="0.2">
      <c r="B19" s="3">
        <f t="shared" si="0"/>
        <v>15025652.667049024</v>
      </c>
      <c r="C19" s="19">
        <v>509.0252769205</v>
      </c>
      <c r="D19">
        <f t="shared" si="1"/>
        <v>-126546</v>
      </c>
      <c r="E19">
        <v>-777</v>
      </c>
      <c r="G19" s="19">
        <f t="shared" si="2"/>
        <v>12.761718743075464</v>
      </c>
      <c r="J19" s="3">
        <f t="shared" si="3"/>
        <v>19186641.054466695</v>
      </c>
      <c r="K19" s="19">
        <v>792.63459322619997</v>
      </c>
      <c r="L19" s="3">
        <f t="shared" si="4"/>
        <v>-212449.63</v>
      </c>
      <c r="M19">
        <v>-1577</v>
      </c>
    </row>
    <row r="20" spans="2:14" x14ac:dyDescent="0.2">
      <c r="B20" s="3">
        <f t="shared" si="0"/>
        <v>14526298.870390013</v>
      </c>
      <c r="C20" s="19">
        <v>502.41504249259998</v>
      </c>
      <c r="D20">
        <f t="shared" si="1"/>
        <v>-127527</v>
      </c>
      <c r="E20">
        <v>-677</v>
      </c>
      <c r="G20" s="19">
        <f t="shared" si="2"/>
        <v>12.929623653279057</v>
      </c>
      <c r="J20" s="3">
        <f t="shared" si="3"/>
        <v>19964215.590421595</v>
      </c>
      <c r="K20" s="19">
        <v>796.20527695550004</v>
      </c>
      <c r="L20" s="3">
        <f t="shared" si="4"/>
        <v>-211468.63</v>
      </c>
      <c r="M20">
        <v>-1677</v>
      </c>
    </row>
    <row r="21" spans="2:14" x14ac:dyDescent="0.2">
      <c r="B21" s="3">
        <f t="shared" si="0"/>
        <v>14033429.713704772</v>
      </c>
      <c r="C21" s="19">
        <v>495.62043336580001</v>
      </c>
      <c r="D21">
        <f t="shared" si="1"/>
        <v>-128508</v>
      </c>
      <c r="E21">
        <v>-577</v>
      </c>
      <c r="G21" s="19">
        <f t="shared" si="2"/>
        <v>13.106879740733019</v>
      </c>
      <c r="J21" s="3">
        <f t="shared" si="3"/>
        <v>20745292.96711494</v>
      </c>
      <c r="K21" s="19">
        <v>799.68106583819997</v>
      </c>
      <c r="L21" s="3">
        <f t="shared" si="4"/>
        <v>-210487.63</v>
      </c>
      <c r="M21">
        <v>-1777</v>
      </c>
    </row>
    <row r="22" spans="2:14" x14ac:dyDescent="0.2">
      <c r="B22" s="3">
        <f t="shared" si="0"/>
        <v>13547226.068572922</v>
      </c>
      <c r="C22" s="19">
        <v>488.63196125690001</v>
      </c>
      <c r="D22">
        <f t="shared" si="1"/>
        <v>-129489</v>
      </c>
      <c r="E22">
        <v>-477</v>
      </c>
      <c r="G22" s="19">
        <f t="shared" si="2"/>
        <v>13.294335885163697</v>
      </c>
      <c r="J22" s="3">
        <f t="shared" si="3"/>
        <v>21529780.092702217</v>
      </c>
      <c r="K22" s="19">
        <v>803.06812520660003</v>
      </c>
      <c r="L22" s="3">
        <f t="shared" si="4"/>
        <v>-209506.63</v>
      </c>
      <c r="M22">
        <v>-1877</v>
      </c>
    </row>
    <row r="23" spans="2:14" x14ac:dyDescent="0.2">
      <c r="B23" s="3">
        <f t="shared" si="0"/>
        <v>13067878.114579903</v>
      </c>
      <c r="C23" s="19">
        <v>481.43963086849999</v>
      </c>
      <c r="D23">
        <f t="shared" si="1"/>
        <v>-130470</v>
      </c>
      <c r="E23">
        <v>-377</v>
      </c>
      <c r="G23" s="19">
        <f t="shared" si="2"/>
        <v>13.492942833677613</v>
      </c>
      <c r="J23" s="3">
        <f t="shared" si="3"/>
        <v>22317589.923529893</v>
      </c>
      <c r="K23" s="19">
        <v>806.37192833250003</v>
      </c>
      <c r="L23" s="3">
        <f t="shared" si="4"/>
        <v>-208525.63</v>
      </c>
      <c r="M23">
        <v>-1977</v>
      </c>
    </row>
    <row r="24" spans="2:14" x14ac:dyDescent="0.2">
      <c r="B24" s="3">
        <f t="shared" si="0"/>
        <v>12595585.836697904</v>
      </c>
      <c r="C24" s="19">
        <v>474.0333589919</v>
      </c>
      <c r="D24">
        <f t="shared" si="1"/>
        <v>-131451</v>
      </c>
      <c r="E24">
        <v>-277</v>
      </c>
      <c r="G24" s="19">
        <f t="shared" si="2"/>
        <v>13.703755851677357</v>
      </c>
      <c r="J24" s="3">
        <f t="shared" si="3"/>
        <v>23108640.785224076</v>
      </c>
      <c r="K24" s="19">
        <v>809.59751156410005</v>
      </c>
      <c r="L24" s="3">
        <f t="shared" si="4"/>
        <v>-207544.63</v>
      </c>
      <c r="M24">
        <v>-2077</v>
      </c>
    </row>
    <row r="25" spans="2:14" x14ac:dyDescent="0.2">
      <c r="B25" s="3">
        <f t="shared" si="0"/>
        <v>12130559.111526851</v>
      </c>
      <c r="C25" s="19">
        <v>466.40252731739997</v>
      </c>
      <c r="D25">
        <f t="shared" si="1"/>
        <v>-132432</v>
      </c>
      <c r="E25">
        <v>-177</v>
      </c>
      <c r="G25" s="19">
        <f t="shared" si="2"/>
        <v>13.92796358660121</v>
      </c>
      <c r="J25" s="3">
        <f t="shared" si="3"/>
        <v>23902855.944068462</v>
      </c>
      <c r="K25" s="19">
        <v>812.7493706816</v>
      </c>
      <c r="L25" s="3">
        <f t="shared" si="4"/>
        <v>-206563.63</v>
      </c>
      <c r="M25">
        <v>-2177</v>
      </c>
    </row>
    <row r="26" spans="2:14" x14ac:dyDescent="0.2">
      <c r="B26" s="3">
        <f t="shared" si="0"/>
        <v>11673018.23222848</v>
      </c>
      <c r="C26" s="19">
        <v>458.53619509010002</v>
      </c>
      <c r="D26">
        <f t="shared" si="1"/>
        <v>-133413</v>
      </c>
      <c r="E26">
        <v>-77</v>
      </c>
      <c r="G26" s="19">
        <f t="shared" si="2"/>
        <v>14.166902169847431</v>
      </c>
      <c r="J26" s="3">
        <f t="shared" si="3"/>
        <v>24700163.07670711</v>
      </c>
      <c r="K26" s="19">
        <v>815.83162231280005</v>
      </c>
      <c r="L26" s="3">
        <f t="shared" si="4"/>
        <v>-205582.63</v>
      </c>
      <c r="M26">
        <v>-2277</v>
      </c>
    </row>
    <row r="27" spans="2:14" x14ac:dyDescent="0.2">
      <c r="B27" s="3">
        <f t="shared" si="0"/>
        <v>11326653.746543271</v>
      </c>
      <c r="C27" s="96">
        <v>452.3463438178</v>
      </c>
      <c r="D27" s="3">
        <f t="shared" si="1"/>
        <v>-134168.37</v>
      </c>
      <c r="E27">
        <v>0</v>
      </c>
      <c r="F27" t="s">
        <v>313</v>
      </c>
      <c r="G27" s="19">
        <f t="shared" si="2"/>
        <v>14.360760302269744</v>
      </c>
      <c r="J27" s="3">
        <f t="shared" si="3"/>
        <v>25500493.898195967</v>
      </c>
      <c r="K27" s="19">
        <v>818.8480204622</v>
      </c>
      <c r="L27" s="3">
        <f t="shared" si="4"/>
        <v>-204601.63</v>
      </c>
      <c r="M27">
        <v>-2377</v>
      </c>
      <c r="N27" t="s">
        <v>312</v>
      </c>
    </row>
    <row r="28" spans="2:14" x14ac:dyDescent="0.2">
      <c r="D28" s="3"/>
    </row>
    <row r="29" spans="2:14" x14ac:dyDescent="0.2">
      <c r="B29" t="s">
        <v>311</v>
      </c>
      <c r="D29" t="s">
        <v>310</v>
      </c>
      <c r="J29" t="s">
        <v>311</v>
      </c>
      <c r="L29" t="s">
        <v>310</v>
      </c>
    </row>
    <row r="30" spans="2:14" x14ac:dyDescent="0.2">
      <c r="B30" s="96">
        <f>B27/1000000</f>
        <v>11.326653746543272</v>
      </c>
      <c r="D30" s="96">
        <f>D27/1000</f>
        <v>-134.16836999999998</v>
      </c>
      <c r="J30" s="19">
        <f>J27/1000000</f>
        <v>25.500493898195966</v>
      </c>
      <c r="L30" s="3">
        <f>L27/1000</f>
        <v>-204.60163</v>
      </c>
    </row>
    <row r="33" spans="1:18" x14ac:dyDescent="0.2">
      <c r="G33" t="s">
        <v>323</v>
      </c>
      <c r="H33" s="65">
        <f>G27-G3</f>
        <v>3.4301908639801209</v>
      </c>
    </row>
    <row r="34" spans="1:18" x14ac:dyDescent="0.2">
      <c r="E34" s="3"/>
      <c r="G34" t="s">
        <v>324</v>
      </c>
      <c r="H34" s="65">
        <f>0.5*100*H33^2</f>
        <v>588.31046816663445</v>
      </c>
    </row>
    <row r="35" spans="1:18" x14ac:dyDescent="0.2">
      <c r="G35" t="s">
        <v>325</v>
      </c>
      <c r="H35" s="65">
        <f>(H34/(D3-D27))*100</f>
        <v>2.5229485086935091</v>
      </c>
    </row>
    <row r="37" spans="1:18" x14ac:dyDescent="0.2">
      <c r="K37">
        <f xml:space="preserve"> AVERAGE(K3:K27,C3:C27)</f>
        <v>651.48500777185586</v>
      </c>
    </row>
    <row r="38" spans="1:18" x14ac:dyDescent="0.2">
      <c r="A38" s="4"/>
      <c r="B38" s="4"/>
      <c r="C38" s="4"/>
      <c r="D38" s="4"/>
      <c r="E38" s="4"/>
      <c r="I38" s="4"/>
      <c r="J38" s="4"/>
      <c r="K38" s="4"/>
      <c r="L38" s="4"/>
      <c r="M38" s="4"/>
    </row>
    <row r="40" spans="1:18" x14ac:dyDescent="0.2">
      <c r="G40" s="19"/>
      <c r="I40" s="94"/>
      <c r="R40" s="19"/>
    </row>
    <row r="41" spans="1:18" x14ac:dyDescent="0.2">
      <c r="B41" s="3"/>
      <c r="C41" s="19"/>
      <c r="G41" s="19"/>
      <c r="J41" s="3"/>
      <c r="K41" s="19"/>
      <c r="L41" s="3"/>
    </row>
    <row r="42" spans="1:18" x14ac:dyDescent="0.2">
      <c r="B42" s="3"/>
      <c r="C42" s="19"/>
      <c r="G42" s="19"/>
      <c r="J42" s="3"/>
      <c r="K42" s="19"/>
      <c r="L42" s="3"/>
      <c r="R42" s="19"/>
    </row>
    <row r="43" spans="1:18" x14ac:dyDescent="0.2">
      <c r="B43" s="3"/>
      <c r="C43" s="19"/>
      <c r="G43" s="19"/>
      <c r="J43" s="3"/>
      <c r="K43" s="19"/>
      <c r="L43" s="3"/>
    </row>
    <row r="44" spans="1:18" x14ac:dyDescent="0.2">
      <c r="B44" s="3"/>
      <c r="C44" s="19"/>
      <c r="G44" s="19"/>
      <c r="J44" s="3"/>
      <c r="K44" s="19"/>
      <c r="L44" s="3"/>
      <c r="R44" s="19"/>
    </row>
    <row r="45" spans="1:18" x14ac:dyDescent="0.2">
      <c r="B45" s="3"/>
      <c r="C45" s="19"/>
      <c r="G45" s="19"/>
      <c r="J45" s="3"/>
      <c r="K45" s="19"/>
      <c r="L45" s="3"/>
    </row>
    <row r="46" spans="1:18" x14ac:dyDescent="0.2">
      <c r="B46" s="3"/>
      <c r="C46" s="19"/>
      <c r="G46" s="19"/>
      <c r="J46" s="3"/>
      <c r="K46" s="19"/>
      <c r="L46" s="3"/>
    </row>
    <row r="47" spans="1:18" x14ac:dyDescent="0.2">
      <c r="B47" s="3"/>
      <c r="C47" s="19"/>
      <c r="G47" s="19"/>
      <c r="J47" s="3"/>
      <c r="K47" s="19"/>
      <c r="L47" s="3"/>
    </row>
    <row r="48" spans="1:18" x14ac:dyDescent="0.2">
      <c r="B48" s="3"/>
      <c r="C48" s="19"/>
      <c r="G48" s="19"/>
      <c r="J48" s="3"/>
      <c r="K48" s="19"/>
      <c r="L48" s="3"/>
    </row>
    <row r="49" spans="2:12" x14ac:dyDescent="0.2">
      <c r="B49" s="3"/>
      <c r="C49" s="19"/>
      <c r="G49" s="19"/>
      <c r="J49" s="3"/>
      <c r="K49" s="19"/>
      <c r="L49" s="3"/>
    </row>
    <row r="50" spans="2:12" x14ac:dyDescent="0.2">
      <c r="B50" s="3"/>
      <c r="C50" s="19"/>
      <c r="G50" s="19"/>
      <c r="J50" s="3"/>
      <c r="K50" s="19"/>
      <c r="L50" s="3"/>
    </row>
    <row r="51" spans="2:12" x14ac:dyDescent="0.2">
      <c r="B51" s="3"/>
      <c r="C51" s="19"/>
      <c r="G51" s="19"/>
      <c r="J51" s="3"/>
      <c r="K51" s="19"/>
      <c r="L51" s="3"/>
    </row>
    <row r="52" spans="2:12" x14ac:dyDescent="0.2">
      <c r="B52" s="3"/>
      <c r="C52" s="19"/>
      <c r="G52" s="19"/>
      <c r="J52" s="3"/>
      <c r="K52" s="19"/>
      <c r="L52" s="3"/>
    </row>
    <row r="53" spans="2:12" x14ac:dyDescent="0.2">
      <c r="B53" s="3"/>
      <c r="C53" s="19"/>
      <c r="G53" s="19"/>
      <c r="J53" s="3"/>
      <c r="K53" s="19"/>
      <c r="L53" s="3"/>
    </row>
    <row r="54" spans="2:12" x14ac:dyDescent="0.2">
      <c r="B54" s="3"/>
      <c r="C54" s="19"/>
      <c r="G54" s="19"/>
      <c r="J54" s="3"/>
      <c r="K54" s="19"/>
      <c r="L54" s="3"/>
    </row>
    <row r="55" spans="2:12" x14ac:dyDescent="0.2">
      <c r="B55" s="3"/>
      <c r="C55" s="19"/>
      <c r="G55" s="19"/>
      <c r="J55" s="3"/>
      <c r="K55" s="19"/>
      <c r="L55" s="3"/>
    </row>
    <row r="56" spans="2:12" x14ac:dyDescent="0.2">
      <c r="B56" s="3"/>
      <c r="C56" s="19"/>
      <c r="G56" s="19"/>
      <c r="J56" s="3"/>
      <c r="K56" s="19"/>
      <c r="L56" s="3"/>
    </row>
    <row r="57" spans="2:12" x14ac:dyDescent="0.2">
      <c r="B57" s="3"/>
      <c r="C57" s="19"/>
      <c r="G57" s="19"/>
      <c r="J57" s="3"/>
      <c r="K57" s="19"/>
      <c r="L57" s="3"/>
    </row>
    <row r="58" spans="2:12" x14ac:dyDescent="0.2">
      <c r="B58" s="3"/>
      <c r="C58" s="19"/>
      <c r="G58" s="19"/>
      <c r="J58" s="3"/>
      <c r="K58" s="19"/>
      <c r="L58" s="3"/>
    </row>
    <row r="59" spans="2:12" x14ac:dyDescent="0.2">
      <c r="B59" s="3"/>
      <c r="C59" s="19"/>
      <c r="G59" s="19"/>
      <c r="J59" s="3"/>
      <c r="K59" s="19"/>
      <c r="L59" s="3"/>
    </row>
    <row r="60" spans="2:12" x14ac:dyDescent="0.2">
      <c r="B60" s="3"/>
      <c r="C60" s="19"/>
      <c r="G60" s="19"/>
      <c r="J60" s="3"/>
      <c r="K60" s="19"/>
      <c r="L60" s="3"/>
    </row>
    <row r="61" spans="2:12" x14ac:dyDescent="0.2">
      <c r="B61" s="3"/>
      <c r="C61" s="19"/>
      <c r="G61" s="19"/>
      <c r="J61" s="3"/>
      <c r="K61" s="19"/>
      <c r="L61" s="3"/>
    </row>
    <row r="62" spans="2:12" x14ac:dyDescent="0.2">
      <c r="B62" s="3"/>
      <c r="C62" s="19"/>
      <c r="G62" s="19"/>
      <c r="J62" s="3"/>
      <c r="K62" s="19"/>
      <c r="L62" s="3"/>
    </row>
    <row r="63" spans="2:12" x14ac:dyDescent="0.2">
      <c r="B63" s="3"/>
      <c r="C63" s="19"/>
      <c r="G63" s="19"/>
      <c r="J63" s="3"/>
      <c r="K63" s="19"/>
      <c r="L63" s="3"/>
    </row>
    <row r="64" spans="2:12" x14ac:dyDescent="0.2">
      <c r="B64" s="3"/>
      <c r="C64" s="19"/>
      <c r="D64" s="3"/>
      <c r="G64" s="19"/>
      <c r="J64" s="3"/>
      <c r="K64" s="19"/>
      <c r="L64" s="3"/>
    </row>
    <row r="65" spans="2:12" x14ac:dyDescent="0.2">
      <c r="B65" s="3"/>
      <c r="C65" s="19"/>
      <c r="D65" s="3"/>
      <c r="G65" s="19"/>
      <c r="J65" s="3"/>
      <c r="K65" s="19"/>
      <c r="L65" s="3"/>
    </row>
    <row r="66" spans="2:12" x14ac:dyDescent="0.2">
      <c r="D66" s="3"/>
    </row>
    <row r="68" spans="2:12" x14ac:dyDescent="0.2">
      <c r="B68" s="19"/>
      <c r="D68" s="19"/>
      <c r="J68" s="19"/>
      <c r="L68" s="3"/>
    </row>
    <row r="71" spans="2:12" x14ac:dyDescent="0.2">
      <c r="H71" s="65"/>
    </row>
    <row r="72" spans="2:12" x14ac:dyDescent="0.2">
      <c r="E72" s="3"/>
      <c r="H72" s="65"/>
    </row>
    <row r="73" spans="2:12" x14ac:dyDescent="0.2">
      <c r="H73" s="65"/>
    </row>
  </sheetData>
  <mergeCells count="3">
    <mergeCell ref="A1:E1"/>
    <mergeCell ref="I1:M1"/>
    <mergeCell ref="Q3:S3"/>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Discounted fields</vt:lpstr>
      <vt:lpstr>Selecting a target field</vt:lpstr>
      <vt:lpstr>Cooling calculations</vt:lpstr>
      <vt:lpstr>Cooling summary</vt:lpstr>
      <vt:lpstr>(Section 5) South Sean</vt:lpstr>
      <vt:lpstr>Study comarison demonstrations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Jefferies, Alexander J P</dc:creator>
  <cp:lastModifiedBy>Alexander Jefferies</cp:lastModifiedBy>
  <dcterms:created xsi:type="dcterms:W3CDTF">2022-04-10T09:53:50Z</dcterms:created>
  <dcterms:modified xsi:type="dcterms:W3CDTF">2023-01-18T12:44:47Z</dcterms:modified>
</cp:coreProperties>
</file>