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cfa48849af95d0/Documents/PhD/Thesis/corrections/OnlineAppendix/Chapter5/"/>
    </mc:Choice>
  </mc:AlternateContent>
  <xr:revisionPtr revIDLastSave="249" documentId="8_{E28E4665-2A8B-46D9-B7F8-0C1E2F4E4B2C}" xr6:coauthVersionLast="43" xr6:coauthVersionMax="43" xr10:uidLastSave="{E2492053-9436-4091-9DC4-96AD4EE124FD}"/>
  <bookViews>
    <workbookView xWindow="-110" yWindow="-110" windowWidth="19420" windowHeight="10420" xr2:uid="{A58542D5-E2CC-4377-8B7E-AFF48D60C345}"/>
  </bookViews>
  <sheets>
    <sheet name="Sr age corrections" sheetId="1" r:id="rId1"/>
    <sheet name="Nd age corr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2" i="1" l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O41" i="1"/>
  <c r="N41" i="1"/>
  <c r="Y17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41" i="1"/>
  <c r="G41" i="1"/>
  <c r="E41" i="1"/>
  <c r="H48" i="2" l="1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I47" i="2"/>
  <c r="G47" i="2"/>
  <c r="H47" i="2"/>
  <c r="F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F48" i="2"/>
  <c r="J48" i="2" s="1"/>
  <c r="F49" i="2"/>
  <c r="J49" i="2" s="1"/>
  <c r="F50" i="2"/>
  <c r="J50" i="2" s="1"/>
  <c r="F51" i="2"/>
  <c r="F52" i="2"/>
  <c r="J52" i="2" s="1"/>
  <c r="F53" i="2"/>
  <c r="J53" i="2" s="1"/>
  <c r="F54" i="2"/>
  <c r="J54" i="2" s="1"/>
  <c r="F55" i="2"/>
  <c r="F56" i="2"/>
  <c r="J56" i="2" s="1"/>
  <c r="F57" i="2"/>
  <c r="J57" i="2" s="1"/>
  <c r="F58" i="2"/>
  <c r="J58" i="2" s="1"/>
  <c r="F59" i="2"/>
  <c r="F60" i="2"/>
  <c r="J60" i="2" s="1"/>
  <c r="F61" i="2"/>
  <c r="J61" i="2" s="1"/>
  <c r="F62" i="2"/>
  <c r="J62" i="2" s="1"/>
  <c r="F63" i="2"/>
  <c r="F64" i="2"/>
  <c r="J64" i="2" s="1"/>
  <c r="F65" i="2"/>
  <c r="J65" i="2" s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41" i="1"/>
  <c r="I41" i="1" s="1"/>
  <c r="F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E42" i="1"/>
  <c r="F42" i="1"/>
  <c r="E43" i="1"/>
  <c r="F43" i="1"/>
  <c r="E44" i="1"/>
  <c r="F44" i="1"/>
  <c r="E45" i="1"/>
  <c r="F45" i="1"/>
  <c r="E46" i="1"/>
  <c r="F46" i="1"/>
  <c r="E47" i="1"/>
  <c r="I47" i="1" s="1"/>
  <c r="F47" i="1"/>
  <c r="E48" i="1"/>
  <c r="F48" i="1"/>
  <c r="E49" i="1"/>
  <c r="F49" i="1"/>
  <c r="E50" i="1"/>
  <c r="F50" i="1"/>
  <c r="E51" i="1"/>
  <c r="I51" i="1" s="1"/>
  <c r="F51" i="1"/>
  <c r="E52" i="1"/>
  <c r="F52" i="1"/>
  <c r="E53" i="1"/>
  <c r="F53" i="1"/>
  <c r="E54" i="1"/>
  <c r="F54" i="1"/>
  <c r="E55" i="1"/>
  <c r="I55" i="1" s="1"/>
  <c r="F55" i="1"/>
  <c r="E56" i="1"/>
  <c r="F56" i="1"/>
  <c r="E57" i="1"/>
  <c r="F57" i="1"/>
  <c r="E58" i="1"/>
  <c r="F58" i="1"/>
  <c r="E59" i="1"/>
  <c r="I59" i="1" s="1"/>
  <c r="F59" i="1"/>
  <c r="K47" i="2" l="1"/>
  <c r="M47" i="2" s="1"/>
  <c r="K65" i="2"/>
  <c r="K61" i="2"/>
  <c r="K57" i="2"/>
  <c r="K53" i="2"/>
  <c r="M53" i="2" s="1"/>
  <c r="K49" i="2"/>
  <c r="K58" i="2"/>
  <c r="K50" i="2"/>
  <c r="M50" i="2" s="1"/>
  <c r="K64" i="2"/>
  <c r="M64" i="2" s="1"/>
  <c r="K60" i="2"/>
  <c r="K56" i="2"/>
  <c r="K52" i="2"/>
  <c r="M52" i="2" s="1"/>
  <c r="K62" i="2"/>
  <c r="M62" i="2" s="1"/>
  <c r="K54" i="2"/>
  <c r="K63" i="2"/>
  <c r="K59" i="2"/>
  <c r="M59" i="2" s="1"/>
  <c r="K55" i="2"/>
  <c r="M55" i="2" s="1"/>
  <c r="K51" i="2"/>
  <c r="M51" i="2" s="1"/>
  <c r="J63" i="2"/>
  <c r="J59" i="2"/>
  <c r="J55" i="2"/>
  <c r="J51" i="2"/>
  <c r="K48" i="2"/>
  <c r="J47" i="2"/>
  <c r="I42" i="1"/>
  <c r="I57" i="1"/>
  <c r="I53" i="1"/>
  <c r="I49" i="1"/>
  <c r="J41" i="1"/>
  <c r="I48" i="1"/>
  <c r="I44" i="1"/>
  <c r="J45" i="1"/>
  <c r="I54" i="1"/>
  <c r="J56" i="1"/>
  <c r="J52" i="1"/>
  <c r="J48" i="1"/>
  <c r="I58" i="1"/>
  <c r="I50" i="1"/>
  <c r="I46" i="1"/>
  <c r="I43" i="1"/>
  <c r="J58" i="1"/>
  <c r="J54" i="1"/>
  <c r="J50" i="1"/>
  <c r="J46" i="1"/>
  <c r="J43" i="1"/>
  <c r="I56" i="1"/>
  <c r="I52" i="1"/>
  <c r="I45" i="1"/>
  <c r="M61" i="2"/>
  <c r="M49" i="2"/>
  <c r="M63" i="2"/>
  <c r="M57" i="2"/>
  <c r="M65" i="2"/>
  <c r="M60" i="2"/>
  <c r="M48" i="2"/>
  <c r="M56" i="2"/>
  <c r="M58" i="2"/>
  <c r="M54" i="2"/>
  <c r="J59" i="1"/>
  <c r="J51" i="1"/>
  <c r="J44" i="1"/>
  <c r="J55" i="1"/>
  <c r="J47" i="1"/>
  <c r="J57" i="1"/>
  <c r="J53" i="1"/>
  <c r="J49" i="1"/>
  <c r="J42" i="1"/>
  <c r="R41" i="2"/>
  <c r="Y41" i="2" s="1"/>
  <c r="P41" i="2"/>
  <c r="Q41" i="2" s="1"/>
  <c r="M41" i="2"/>
  <c r="R40" i="2"/>
  <c r="X40" i="2" s="1"/>
  <c r="P40" i="2"/>
  <c r="Q40" i="2" s="1"/>
  <c r="M40" i="2"/>
  <c r="R39" i="2"/>
  <c r="V39" i="2" s="1"/>
  <c r="P39" i="2"/>
  <c r="Q39" i="2" s="1"/>
  <c r="M39" i="2"/>
  <c r="R38" i="2"/>
  <c r="V38" i="2" s="1"/>
  <c r="P38" i="2"/>
  <c r="Q38" i="2" s="1"/>
  <c r="M38" i="2"/>
  <c r="R37" i="2"/>
  <c r="V37" i="2" s="1"/>
  <c r="P37" i="2"/>
  <c r="Q37" i="2" s="1"/>
  <c r="M37" i="2"/>
  <c r="R36" i="2"/>
  <c r="X36" i="2" s="1"/>
  <c r="P36" i="2"/>
  <c r="Q36" i="2" s="1"/>
  <c r="M36" i="2"/>
  <c r="R35" i="2"/>
  <c r="V35" i="2" s="1"/>
  <c r="P35" i="2"/>
  <c r="Q35" i="2" s="1"/>
  <c r="M35" i="2"/>
  <c r="R34" i="2"/>
  <c r="V34" i="2" s="1"/>
  <c r="P34" i="2"/>
  <c r="Q34" i="2" s="1"/>
  <c r="M34" i="2"/>
  <c r="R33" i="2"/>
  <c r="P33" i="2"/>
  <c r="Q33" i="2" s="1"/>
  <c r="M33" i="2"/>
  <c r="R32" i="2"/>
  <c r="X32" i="2" s="1"/>
  <c r="P32" i="2"/>
  <c r="Q32" i="2" s="1"/>
  <c r="M32" i="2"/>
  <c r="R31" i="2"/>
  <c r="V31" i="2" s="1"/>
  <c r="P31" i="2"/>
  <c r="Q31" i="2" s="1"/>
  <c r="M31" i="2"/>
  <c r="R30" i="2"/>
  <c r="V30" i="2" s="1"/>
  <c r="P30" i="2"/>
  <c r="Q30" i="2" s="1"/>
  <c r="M30" i="2"/>
  <c r="R29" i="2"/>
  <c r="V29" i="2" s="1"/>
  <c r="P29" i="2"/>
  <c r="Q29" i="2" s="1"/>
  <c r="M29" i="2"/>
  <c r="R28" i="2"/>
  <c r="X28" i="2" s="1"/>
  <c r="P28" i="2"/>
  <c r="Q28" i="2" s="1"/>
  <c r="M28" i="2"/>
  <c r="R27" i="2"/>
  <c r="V27" i="2" s="1"/>
  <c r="P27" i="2"/>
  <c r="Q27" i="2" s="1"/>
  <c r="M27" i="2"/>
  <c r="R26" i="2"/>
  <c r="P26" i="2"/>
  <c r="Q26" i="2" s="1"/>
  <c r="M26" i="2"/>
  <c r="R25" i="2"/>
  <c r="X25" i="2" s="1"/>
  <c r="P25" i="2"/>
  <c r="Q25" i="2" s="1"/>
  <c r="M25" i="2"/>
  <c r="R24" i="2"/>
  <c r="V24" i="2" s="1"/>
  <c r="P24" i="2"/>
  <c r="Q24" i="2" s="1"/>
  <c r="M24" i="2"/>
  <c r="R23" i="2"/>
  <c r="V23" i="2" s="1"/>
  <c r="P23" i="2"/>
  <c r="Q23" i="2" s="1"/>
  <c r="M23" i="2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C13" i="1"/>
  <c r="Q17" i="1" s="1"/>
  <c r="R17" i="1" s="1"/>
  <c r="C5" i="1"/>
  <c r="S17" i="1" s="1"/>
  <c r="T34" i="2" l="1"/>
  <c r="W34" i="2"/>
  <c r="S39" i="2"/>
  <c r="S23" i="2"/>
  <c r="U24" i="2"/>
  <c r="S34" i="2"/>
  <c r="T39" i="2"/>
  <c r="Y31" i="2"/>
  <c r="X24" i="2"/>
  <c r="T27" i="2"/>
  <c r="U28" i="2"/>
  <c r="S31" i="2"/>
  <c r="U35" i="2"/>
  <c r="U36" i="2"/>
  <c r="S24" i="2"/>
  <c r="Y24" i="2"/>
  <c r="W27" i="2"/>
  <c r="Y28" i="2"/>
  <c r="T31" i="2"/>
  <c r="X39" i="2"/>
  <c r="T24" i="2"/>
  <c r="X31" i="2"/>
  <c r="Y39" i="2"/>
  <c r="X38" i="2"/>
  <c r="T23" i="2"/>
  <c r="U25" i="2"/>
  <c r="X27" i="2"/>
  <c r="S30" i="2"/>
  <c r="W35" i="2"/>
  <c r="Y36" i="2"/>
  <c r="S38" i="2"/>
  <c r="X30" i="2"/>
  <c r="W23" i="2"/>
  <c r="W24" i="2"/>
  <c r="Y25" i="2"/>
  <c r="S27" i="2"/>
  <c r="T30" i="2"/>
  <c r="U31" i="2"/>
  <c r="U32" i="2"/>
  <c r="X34" i="2"/>
  <c r="S35" i="2"/>
  <c r="X35" i="2"/>
  <c r="T38" i="2"/>
  <c r="U39" i="2"/>
  <c r="U40" i="2"/>
  <c r="X23" i="2"/>
  <c r="W30" i="2"/>
  <c r="W31" i="2"/>
  <c r="Y32" i="2"/>
  <c r="T35" i="2"/>
  <c r="Y35" i="2"/>
  <c r="W38" i="2"/>
  <c r="W39" i="2"/>
  <c r="Y40" i="2"/>
  <c r="Y33" i="2"/>
  <c r="U33" i="2"/>
  <c r="W33" i="2"/>
  <c r="X33" i="2"/>
  <c r="T33" i="2"/>
  <c r="S33" i="2"/>
  <c r="Y26" i="2"/>
  <c r="U26" i="2"/>
  <c r="W26" i="2"/>
  <c r="X26" i="2"/>
  <c r="T26" i="2"/>
  <c r="S26" i="2"/>
  <c r="V26" i="2"/>
  <c r="Y37" i="2"/>
  <c r="U37" i="2"/>
  <c r="W37" i="2"/>
  <c r="X37" i="2"/>
  <c r="T37" i="2"/>
  <c r="S37" i="2"/>
  <c r="Y29" i="2"/>
  <c r="U29" i="2"/>
  <c r="X29" i="2"/>
  <c r="T29" i="2"/>
  <c r="W29" i="2"/>
  <c r="S29" i="2"/>
  <c r="V33" i="2"/>
  <c r="V41" i="2"/>
  <c r="V25" i="2"/>
  <c r="V32" i="2"/>
  <c r="V40" i="2"/>
  <c r="S41" i="2"/>
  <c r="W41" i="2"/>
  <c r="U23" i="2"/>
  <c r="Y23" i="2"/>
  <c r="S25" i="2"/>
  <c r="W25" i="2"/>
  <c r="U27" i="2"/>
  <c r="Y27" i="2"/>
  <c r="S28" i="2"/>
  <c r="W28" i="2"/>
  <c r="U30" i="2"/>
  <c r="Y30" i="2"/>
  <c r="S32" i="2"/>
  <c r="W32" i="2"/>
  <c r="U34" i="2"/>
  <c r="Y34" i="2"/>
  <c r="S36" i="2"/>
  <c r="W36" i="2"/>
  <c r="U38" i="2"/>
  <c r="Y38" i="2"/>
  <c r="S40" i="2"/>
  <c r="W40" i="2"/>
  <c r="T41" i="2"/>
  <c r="X41" i="2"/>
  <c r="V28" i="2"/>
  <c r="V36" i="2"/>
  <c r="T25" i="2"/>
  <c r="T28" i="2"/>
  <c r="T32" i="2"/>
  <c r="T36" i="2"/>
  <c r="T40" i="2"/>
  <c r="U41" i="2"/>
  <c r="U17" i="1"/>
  <c r="T17" i="1"/>
  <c r="V17" i="1"/>
  <c r="W17" i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S35" i="1"/>
  <c r="S32" i="1"/>
  <c r="S26" i="1"/>
  <c r="S25" i="1"/>
  <c r="S23" i="1"/>
  <c r="S21" i="1"/>
  <c r="S20" i="1"/>
  <c r="S34" i="1"/>
  <c r="S33" i="1"/>
  <c r="S31" i="1"/>
  <c r="S30" i="1"/>
  <c r="S29" i="1"/>
  <c r="S28" i="1"/>
  <c r="S27" i="1"/>
  <c r="S24" i="1"/>
  <c r="S22" i="1"/>
  <c r="S19" i="1"/>
  <c r="S18" i="1"/>
  <c r="Z39" i="2" l="1"/>
  <c r="Z31" i="2"/>
  <c r="P55" i="2" s="1"/>
  <c r="S55" i="2" s="1"/>
  <c r="Z24" i="2"/>
  <c r="AA24" i="2" s="1"/>
  <c r="AB24" i="2" s="1"/>
  <c r="AC24" i="2" s="1"/>
  <c r="Z33" i="2"/>
  <c r="AA33" i="2" s="1"/>
  <c r="AB33" i="2" s="1"/>
  <c r="AC33" i="2" s="1"/>
  <c r="Z35" i="2"/>
  <c r="AA35" i="2" s="1"/>
  <c r="AB35" i="2" s="1"/>
  <c r="AC35" i="2" s="1"/>
  <c r="Z27" i="2"/>
  <c r="O55" i="2"/>
  <c r="R55" i="2" s="1"/>
  <c r="T55" i="2" s="1"/>
  <c r="AA31" i="2"/>
  <c r="AB31" i="2" s="1"/>
  <c r="AC31" i="2" s="1"/>
  <c r="AA39" i="2"/>
  <c r="AB39" i="2" s="1"/>
  <c r="AC39" i="2" s="1"/>
  <c r="P63" i="2"/>
  <c r="S63" i="2" s="1"/>
  <c r="O63" i="2"/>
  <c r="R63" i="2" s="1"/>
  <c r="T63" i="2" s="1"/>
  <c r="Z34" i="2"/>
  <c r="Z30" i="2"/>
  <c r="Z26" i="2"/>
  <c r="AA27" i="2"/>
  <c r="AB27" i="2" s="1"/>
  <c r="AC27" i="2" s="1"/>
  <c r="P51" i="2"/>
  <c r="S51" i="2" s="1"/>
  <c r="O51" i="2"/>
  <c r="R51" i="2" s="1"/>
  <c r="T51" i="2" s="1"/>
  <c r="O57" i="2"/>
  <c r="R57" i="2" s="1"/>
  <c r="T57" i="2" s="1"/>
  <c r="Z38" i="2"/>
  <c r="Z23" i="2"/>
  <c r="X17" i="1"/>
  <c r="Z29" i="2"/>
  <c r="Z40" i="2"/>
  <c r="Z36" i="2"/>
  <c r="Z32" i="2"/>
  <c r="Z28" i="2"/>
  <c r="Z25" i="2"/>
  <c r="Z41" i="2"/>
  <c r="Z37" i="2"/>
  <c r="U33" i="1"/>
  <c r="W33" i="1"/>
  <c r="T33" i="1"/>
  <c r="V33" i="1"/>
  <c r="U22" i="1"/>
  <c r="W22" i="1"/>
  <c r="T22" i="1"/>
  <c r="V22" i="1"/>
  <c r="U29" i="1"/>
  <c r="T29" i="1"/>
  <c r="W29" i="1"/>
  <c r="V29" i="1"/>
  <c r="U34" i="1"/>
  <c r="T34" i="1"/>
  <c r="W34" i="1"/>
  <c r="V34" i="1"/>
  <c r="U25" i="1"/>
  <c r="T25" i="1"/>
  <c r="W25" i="1"/>
  <c r="V25" i="1"/>
  <c r="U28" i="1"/>
  <c r="T28" i="1"/>
  <c r="W28" i="1"/>
  <c r="V28" i="1"/>
  <c r="U18" i="1"/>
  <c r="T18" i="1"/>
  <c r="W18" i="1"/>
  <c r="V18" i="1"/>
  <c r="U24" i="1"/>
  <c r="W24" i="1"/>
  <c r="T24" i="1"/>
  <c r="V24" i="1"/>
  <c r="U30" i="1"/>
  <c r="T30" i="1"/>
  <c r="W30" i="1"/>
  <c r="V30" i="1"/>
  <c r="U20" i="1"/>
  <c r="T20" i="1"/>
  <c r="W20" i="1"/>
  <c r="V20" i="1"/>
  <c r="U26" i="1"/>
  <c r="T26" i="1"/>
  <c r="W26" i="1"/>
  <c r="V26" i="1"/>
  <c r="U19" i="1"/>
  <c r="W19" i="1"/>
  <c r="T19" i="1"/>
  <c r="V19" i="1"/>
  <c r="U27" i="1"/>
  <c r="T27" i="1"/>
  <c r="W27" i="1"/>
  <c r="V27" i="1"/>
  <c r="U31" i="1"/>
  <c r="W31" i="1"/>
  <c r="T31" i="1"/>
  <c r="V31" i="1"/>
  <c r="U21" i="1"/>
  <c r="T21" i="1"/>
  <c r="W21" i="1"/>
  <c r="V21" i="1"/>
  <c r="U32" i="1"/>
  <c r="T32" i="1"/>
  <c r="W32" i="1"/>
  <c r="V32" i="1"/>
  <c r="U23" i="1"/>
  <c r="T23" i="1"/>
  <c r="W23" i="1"/>
  <c r="V23" i="1"/>
  <c r="U35" i="1"/>
  <c r="W35" i="1"/>
  <c r="T35" i="1"/>
  <c r="V35" i="1"/>
  <c r="P48" i="2" l="1"/>
  <c r="S48" i="2" s="1"/>
  <c r="O48" i="2"/>
  <c r="R48" i="2" s="1"/>
  <c r="T48" i="2" s="1"/>
  <c r="O59" i="2"/>
  <c r="R59" i="2" s="1"/>
  <c r="T59" i="2" s="1"/>
  <c r="P57" i="2"/>
  <c r="S57" i="2" s="1"/>
  <c r="P59" i="2"/>
  <c r="S59" i="2" s="1"/>
  <c r="AA25" i="2"/>
  <c r="AB25" i="2" s="1"/>
  <c r="AC25" i="2" s="1"/>
  <c r="P49" i="2"/>
  <c r="S49" i="2" s="1"/>
  <c r="O49" i="2"/>
  <c r="R49" i="2" s="1"/>
  <c r="T49" i="2" s="1"/>
  <c r="AA38" i="2"/>
  <c r="AB38" i="2" s="1"/>
  <c r="AC38" i="2" s="1"/>
  <c r="O62" i="2"/>
  <c r="R62" i="2" s="1"/>
  <c r="T62" i="2" s="1"/>
  <c r="P62" i="2"/>
  <c r="S62" i="2" s="1"/>
  <c r="AA28" i="2"/>
  <c r="AB28" i="2" s="1"/>
  <c r="AC28" i="2" s="1"/>
  <c r="P52" i="2"/>
  <c r="S52" i="2" s="1"/>
  <c r="O52" i="2"/>
  <c r="R52" i="2" s="1"/>
  <c r="T52" i="2" s="1"/>
  <c r="AA37" i="2"/>
  <c r="AB37" i="2" s="1"/>
  <c r="AC37" i="2" s="1"/>
  <c r="O61" i="2"/>
  <c r="R61" i="2" s="1"/>
  <c r="T61" i="2" s="1"/>
  <c r="P61" i="2"/>
  <c r="S61" i="2" s="1"/>
  <c r="AA32" i="2"/>
  <c r="AB32" i="2" s="1"/>
  <c r="AC32" i="2" s="1"/>
  <c r="O56" i="2"/>
  <c r="R56" i="2" s="1"/>
  <c r="T56" i="2" s="1"/>
  <c r="P56" i="2"/>
  <c r="S56" i="2" s="1"/>
  <c r="AA26" i="2"/>
  <c r="AB26" i="2" s="1"/>
  <c r="AC26" i="2" s="1"/>
  <c r="P50" i="2"/>
  <c r="S50" i="2" s="1"/>
  <c r="O50" i="2"/>
  <c r="R50" i="2" s="1"/>
  <c r="T50" i="2" s="1"/>
  <c r="AA40" i="2"/>
  <c r="AB40" i="2" s="1"/>
  <c r="AC40" i="2" s="1"/>
  <c r="P64" i="2"/>
  <c r="S64" i="2" s="1"/>
  <c r="O64" i="2"/>
  <c r="R64" i="2" s="1"/>
  <c r="T64" i="2" s="1"/>
  <c r="AA34" i="2"/>
  <c r="AB34" i="2" s="1"/>
  <c r="AC34" i="2" s="1"/>
  <c r="P58" i="2"/>
  <c r="S58" i="2" s="1"/>
  <c r="O58" i="2"/>
  <c r="R58" i="2" s="1"/>
  <c r="T58" i="2" s="1"/>
  <c r="AA29" i="2"/>
  <c r="AB29" i="2" s="1"/>
  <c r="AC29" i="2" s="1"/>
  <c r="O53" i="2"/>
  <c r="R53" i="2" s="1"/>
  <c r="T53" i="2" s="1"/>
  <c r="P53" i="2"/>
  <c r="S53" i="2" s="1"/>
  <c r="AA41" i="2"/>
  <c r="AB41" i="2" s="1"/>
  <c r="AC41" i="2" s="1"/>
  <c r="P65" i="2"/>
  <c r="S65" i="2" s="1"/>
  <c r="O65" i="2"/>
  <c r="R65" i="2" s="1"/>
  <c r="T65" i="2" s="1"/>
  <c r="AA36" i="2"/>
  <c r="AB36" i="2" s="1"/>
  <c r="AC36" i="2" s="1"/>
  <c r="P60" i="2"/>
  <c r="S60" i="2" s="1"/>
  <c r="O60" i="2"/>
  <c r="R60" i="2" s="1"/>
  <c r="T60" i="2" s="1"/>
  <c r="P47" i="2"/>
  <c r="S47" i="2" s="1"/>
  <c r="O47" i="2"/>
  <c r="R47" i="2" s="1"/>
  <c r="T47" i="2" s="1"/>
  <c r="AA23" i="2"/>
  <c r="AA30" i="2"/>
  <c r="AB30" i="2" s="1"/>
  <c r="AC30" i="2" s="1"/>
  <c r="P54" i="2"/>
  <c r="S54" i="2" s="1"/>
  <c r="O54" i="2"/>
  <c r="R54" i="2" s="1"/>
  <c r="T54" i="2" s="1"/>
  <c r="Z17" i="1"/>
  <c r="AA17" i="1" s="1"/>
  <c r="X35" i="1"/>
  <c r="X31" i="1"/>
  <c r="X19" i="1"/>
  <c r="X24" i="1"/>
  <c r="X22" i="1"/>
  <c r="X33" i="1"/>
  <c r="X23" i="1"/>
  <c r="X32" i="1"/>
  <c r="X21" i="1"/>
  <c r="X27" i="1"/>
  <c r="X26" i="1"/>
  <c r="X20" i="1"/>
  <c r="X30" i="1"/>
  <c r="X18" i="1"/>
  <c r="X28" i="1"/>
  <c r="X25" i="1"/>
  <c r="X34" i="1"/>
  <c r="X29" i="1"/>
  <c r="AB23" i="2" l="1"/>
  <c r="AC23" i="2" s="1"/>
  <c r="Y18" i="1"/>
  <c r="Z18" i="1" s="1"/>
  <c r="AA18" i="1" s="1"/>
  <c r="Y33" i="1"/>
  <c r="Z33" i="1" s="1"/>
  <c r="AA33" i="1" s="1"/>
  <c r="Y31" i="1"/>
  <c r="Z31" i="1" s="1"/>
  <c r="AA31" i="1" s="1"/>
  <c r="Y34" i="1"/>
  <c r="Z34" i="1" s="1"/>
  <c r="AA34" i="1" s="1"/>
  <c r="Y21" i="1"/>
  <c r="Z21" i="1" s="1"/>
  <c r="AA21" i="1" s="1"/>
  <c r="Y25" i="1"/>
  <c r="Z25" i="1" s="1"/>
  <c r="AA25" i="1" s="1"/>
  <c r="Y20" i="1"/>
  <c r="Z20" i="1" s="1"/>
  <c r="AA20" i="1" s="1"/>
  <c r="Y32" i="1"/>
  <c r="Z32" i="1" s="1"/>
  <c r="AA32" i="1" s="1"/>
  <c r="Y24" i="1"/>
  <c r="Z24" i="1" s="1"/>
  <c r="AA24" i="1" s="1"/>
  <c r="Y35" i="1"/>
  <c r="Z35" i="1" s="1"/>
  <c r="AA35" i="1" s="1"/>
  <c r="Y29" i="1"/>
  <c r="Z29" i="1" s="1"/>
  <c r="AA29" i="1" s="1"/>
  <c r="Y27" i="1"/>
  <c r="Z27" i="1" s="1"/>
  <c r="AA27" i="1" s="1"/>
  <c r="Y30" i="1"/>
  <c r="Z30" i="1" s="1"/>
  <c r="AA30" i="1" s="1"/>
  <c r="Y22" i="1"/>
  <c r="Z22" i="1" s="1"/>
  <c r="AA22" i="1" s="1"/>
  <c r="Y28" i="1"/>
  <c r="Z28" i="1" s="1"/>
  <c r="AA28" i="1" s="1"/>
  <c r="Y26" i="1"/>
  <c r="Z26" i="1" s="1"/>
  <c r="AA26" i="1" s="1"/>
  <c r="Y23" i="1"/>
  <c r="Z23" i="1" s="1"/>
  <c r="AA23" i="1" s="1"/>
  <c r="Y19" i="1"/>
  <c r="Z19" i="1" s="1"/>
  <c r="AA19" i="1" s="1"/>
</calcChain>
</file>

<file path=xl/sharedStrings.xml><?xml version="1.0" encoding="utf-8"?>
<sst xmlns="http://schemas.openxmlformats.org/spreadsheetml/2006/main" count="357" uniqueCount="151">
  <si>
    <t>Reference</t>
  </si>
  <si>
    <r>
      <t>(</t>
    </r>
    <r>
      <rPr>
        <vertAlign val="superscript"/>
        <sz val="10"/>
        <rFont val="Arial"/>
        <family val="2"/>
      </rPr>
      <t>84</t>
    </r>
    <r>
      <rPr>
        <sz val="10"/>
        <rFont val="Arial"/>
        <family val="2"/>
      </rPr>
      <t>Sr/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Sr)CHUR t=0</t>
    </r>
  </si>
  <si>
    <t>Thirlwall (1991)</t>
  </si>
  <si>
    <r>
      <t>(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Sr/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Sr)CHUR t=0</t>
    </r>
  </si>
  <si>
    <r>
      <t>(</t>
    </r>
    <r>
      <rPr>
        <vertAlign val="superscript"/>
        <sz val="10"/>
        <rFont val="Arial"/>
        <family val="2"/>
      </rPr>
      <t>87</t>
    </r>
    <r>
      <rPr>
        <sz val="10"/>
        <rFont val="Arial"/>
        <family val="2"/>
      </rPr>
      <t>Sr/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Sr)CHUR t=0</t>
    </r>
  </si>
  <si>
    <t>Kagami et al. (1992)</t>
  </si>
  <si>
    <r>
      <t>(</t>
    </r>
    <r>
      <rPr>
        <vertAlign val="superscript"/>
        <sz val="10"/>
        <rFont val="Arial"/>
        <family val="2"/>
      </rPr>
      <t>88</t>
    </r>
    <r>
      <rPr>
        <sz val="10"/>
        <rFont val="Arial"/>
        <family val="2"/>
      </rPr>
      <t>Sr/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Sr)CHUR t=0</t>
    </r>
  </si>
  <si>
    <t>Steiger &amp; Jager (1977)</t>
  </si>
  <si>
    <r>
      <t>(</t>
    </r>
    <r>
      <rPr>
        <vertAlign val="superscript"/>
        <sz val="10"/>
        <rFont val="Arial"/>
        <family val="2"/>
      </rPr>
      <t>87</t>
    </r>
    <r>
      <rPr>
        <sz val="10"/>
        <rFont val="Arial"/>
        <family val="2"/>
      </rPr>
      <t>Rb/</t>
    </r>
    <r>
      <rPr>
        <vertAlign val="superscript"/>
        <sz val="10"/>
        <rFont val="Arial"/>
        <family val="2"/>
      </rPr>
      <t>86</t>
    </r>
    <r>
      <rPr>
        <sz val="10"/>
        <rFont val="Arial"/>
        <family val="2"/>
      </rPr>
      <t>Sr)CHUR t=0</t>
    </r>
  </si>
  <si>
    <r>
      <t>84</t>
    </r>
    <r>
      <rPr>
        <sz val="10"/>
        <rFont val="Arial"/>
        <family val="2"/>
      </rPr>
      <t>Sr (amu)</t>
    </r>
  </si>
  <si>
    <t>de Laeter et al. (2003)</t>
  </si>
  <si>
    <r>
      <t>86</t>
    </r>
    <r>
      <rPr>
        <sz val="10"/>
        <rFont val="Arial"/>
        <family val="2"/>
      </rPr>
      <t>Sr (amu)</t>
    </r>
  </si>
  <si>
    <r>
      <t>87</t>
    </r>
    <r>
      <rPr>
        <sz val="10"/>
        <rFont val="Arial"/>
        <family val="2"/>
      </rPr>
      <t>Sr (amu)</t>
    </r>
  </si>
  <si>
    <r>
      <t>88</t>
    </r>
    <r>
      <rPr>
        <sz val="10"/>
        <rFont val="Arial"/>
        <family val="2"/>
      </rPr>
      <t>Sr (amu)</t>
    </r>
  </si>
  <si>
    <t>Rb (amu)</t>
  </si>
  <si>
    <t>Wieser (2006)</t>
  </si>
  <si>
    <r>
      <t>187</t>
    </r>
    <r>
      <rPr>
        <sz val="10"/>
        <rFont val="Arial"/>
        <family val="2"/>
      </rPr>
      <t>Rb (%)</t>
    </r>
  </si>
  <si>
    <t>Rosman &amp; Taylor (1998)</t>
  </si>
  <si>
    <r>
      <t xml:space="preserve">λ </t>
    </r>
    <r>
      <rPr>
        <vertAlign val="superscript"/>
        <sz val="10"/>
        <rFont val="Arial"/>
        <family val="2"/>
      </rPr>
      <t>187</t>
    </r>
    <r>
      <rPr>
        <sz val="10"/>
        <rFont val="Arial"/>
        <family val="2"/>
      </rPr>
      <t>Rb (y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</si>
  <si>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 xml:space="preserve">Sample </t>
  </si>
  <si>
    <t>Age (Ma)</t>
  </si>
  <si>
    <t>Age error</t>
  </si>
  <si>
    <t>Age source</t>
  </si>
  <si>
    <t>Lat</t>
  </si>
  <si>
    <t>Long</t>
  </si>
  <si>
    <t>Rock type</t>
  </si>
  <si>
    <t>SiO2</t>
  </si>
  <si>
    <t>LOI</t>
  </si>
  <si>
    <t>Rb</t>
  </si>
  <si>
    <t>Sr</t>
  </si>
  <si>
    <t>Rb/Sr</t>
  </si>
  <si>
    <t>2SE</t>
  </si>
  <si>
    <t>eλt-1</t>
  </si>
  <si>
    <t>CHUR (t)</t>
  </si>
  <si>
    <t>ΣSr</t>
  </si>
  <si>
    <t>%84Sr</t>
  </si>
  <si>
    <t>%86Sr</t>
  </si>
  <si>
    <t>%87Sr</t>
  </si>
  <si>
    <t>%88Sr</t>
  </si>
  <si>
    <t>Sr (amu)</t>
  </si>
  <si>
    <t>87Rb/86Sr</t>
  </si>
  <si>
    <t>(87Sr/86Sr)i</t>
  </si>
  <si>
    <t>εSr i</t>
  </si>
  <si>
    <t>AT11.2</t>
  </si>
  <si>
    <t>K-Ar, Mpodozis et al. (1996)</t>
  </si>
  <si>
    <t>Basaltic Andesite</t>
  </si>
  <si>
    <t>AT12.1</t>
  </si>
  <si>
    <t>Basalt-Basaltic Andesite</t>
  </si>
  <si>
    <t>AT12.2</t>
  </si>
  <si>
    <t>AT12.4</t>
  </si>
  <si>
    <t>AT12.6</t>
  </si>
  <si>
    <t>AT16.2</t>
  </si>
  <si>
    <t>K-Ar (WR), Zentill (1974)</t>
  </si>
  <si>
    <t>BA, Intrusive, margin</t>
  </si>
  <si>
    <t>AT16.4</t>
  </si>
  <si>
    <t>AT16.5</t>
  </si>
  <si>
    <t>AT17.2</t>
  </si>
  <si>
    <t>AT18.1</t>
  </si>
  <si>
    <t>AT20.1</t>
  </si>
  <si>
    <t>K-Ar (WR), SFB-267 internal report, projects C2, D1b</t>
  </si>
  <si>
    <t>Andesite</t>
  </si>
  <si>
    <t>AT20.3</t>
  </si>
  <si>
    <t>AT25.1</t>
  </si>
  <si>
    <t>Naranjo and Puig (1984)</t>
  </si>
  <si>
    <t>Rhyolite?</t>
  </si>
  <si>
    <t>AT26.1</t>
  </si>
  <si>
    <t>Andesite-Basaltic And.?</t>
  </si>
  <si>
    <t>AT26.2</t>
  </si>
  <si>
    <t>Dacite-Rhyodacite</t>
  </si>
  <si>
    <t>AT27.1</t>
  </si>
  <si>
    <t>Andesite?</t>
  </si>
  <si>
    <t>AT39.1</t>
  </si>
  <si>
    <t>K-Ar (WR), Cornejo and Mpodozis (1997)</t>
  </si>
  <si>
    <t>Trachyandesite??</t>
  </si>
  <si>
    <t>AT39.3</t>
  </si>
  <si>
    <t>AT41.1</t>
  </si>
  <si>
    <t>K-Ar (WR), Naranjo and Puig (1984)</t>
  </si>
  <si>
    <t>Andesite (slightly fresher fspars)</t>
  </si>
  <si>
    <r>
      <t>(</t>
    </r>
    <r>
      <rPr>
        <vertAlign val="superscript"/>
        <sz val="10"/>
        <rFont val="Arial"/>
        <family val="2"/>
      </rPr>
      <t>142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</si>
  <si>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t>Wasserburg et al. (1981)</t>
  </si>
  <si>
    <r>
      <t>(</t>
    </r>
    <r>
      <rPr>
        <vertAlign val="superscript"/>
        <sz val="10"/>
        <rFont val="Arial"/>
        <family val="2"/>
      </rPr>
      <t>143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</si>
  <si>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t>DePaolo &amp; Wasserburg (1976)</t>
  </si>
  <si>
    <r>
      <t>(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</si>
  <si>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(</t>
    </r>
    <r>
      <rPr>
        <vertAlign val="superscript"/>
        <sz val="10"/>
        <rFont val="Arial"/>
        <family val="2"/>
      </rPr>
      <t>145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</si>
  <si>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(</t>
    </r>
    <r>
      <rPr>
        <vertAlign val="superscript"/>
        <sz val="10"/>
        <rFont val="Arial"/>
        <family val="2"/>
      </rPr>
      <t>146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</si>
  <si>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(</t>
    </r>
    <r>
      <rPr>
        <vertAlign val="superscript"/>
        <sz val="10"/>
        <rFont val="Arial"/>
        <family val="2"/>
      </rPr>
      <t>148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</si>
  <si>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(</t>
    </r>
    <r>
      <rPr>
        <vertAlign val="superscript"/>
        <sz val="10"/>
        <rFont val="Arial"/>
        <family val="2"/>
      </rPr>
      <t>150</t>
    </r>
    <r>
      <rPr>
        <sz val="10"/>
        <rFont val="Arial"/>
        <family val="2"/>
      </rPr>
      <t>Nd/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</si>
  <si>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(</t>
    </r>
    <r>
      <rPr>
        <vertAlign val="superscript"/>
        <sz val="10"/>
        <rFont val="Arial"/>
        <family val="2"/>
      </rPr>
      <t>147</t>
    </r>
    <r>
      <rPr>
        <sz val="10"/>
        <rFont val="Arial"/>
        <family val="2"/>
      </rPr>
      <t>Sm/</t>
    </r>
    <r>
      <rPr>
        <vertAlign val="superscript"/>
        <sz val="10"/>
        <rFont val="Arial"/>
        <family val="2"/>
      </rPr>
      <t>144</t>
    </r>
    <r>
      <rPr>
        <sz val="10"/>
        <rFont val="Arial"/>
        <family val="2"/>
      </rPr>
      <t>Nd)CHUR t=0</t>
    </r>
  </si>
  <si>
    <r>
      <t>142</t>
    </r>
    <r>
      <rPr>
        <sz val="10"/>
        <rFont val="Arial"/>
        <family val="2"/>
      </rPr>
      <t>Nd (amu)</t>
    </r>
  </si>
  <si>
    <r>
      <t>143</t>
    </r>
    <r>
      <rPr>
        <sz val="10"/>
        <rFont val="Arial"/>
        <family val="2"/>
      </rPr>
      <t>Nd (amu)</t>
    </r>
  </si>
  <si>
    <r>
      <t>144</t>
    </r>
    <r>
      <rPr>
        <sz val="10"/>
        <rFont val="Arial"/>
        <family val="2"/>
      </rPr>
      <t>Nd (amu)</t>
    </r>
  </si>
  <si>
    <r>
      <t>145</t>
    </r>
    <r>
      <rPr>
        <sz val="10"/>
        <rFont val="Arial"/>
        <family val="2"/>
      </rPr>
      <t>Nd (amu)</t>
    </r>
  </si>
  <si>
    <r>
      <t>146</t>
    </r>
    <r>
      <rPr>
        <sz val="10"/>
        <rFont val="Arial"/>
        <family val="2"/>
      </rPr>
      <t>Nd (amu)</t>
    </r>
  </si>
  <si>
    <r>
      <t>148</t>
    </r>
    <r>
      <rPr>
        <sz val="10"/>
        <rFont val="Arial"/>
        <family val="2"/>
      </rPr>
      <t>Nd (amu)</t>
    </r>
  </si>
  <si>
    <r>
      <t>150</t>
    </r>
    <r>
      <rPr>
        <sz val="10"/>
        <rFont val="Arial"/>
        <family val="2"/>
      </rPr>
      <t>Nd (amu)</t>
    </r>
  </si>
  <si>
    <t>Sm (amu)</t>
  </si>
  <si>
    <r>
      <t>147</t>
    </r>
    <r>
      <rPr>
        <sz val="10"/>
        <rFont val="Arial"/>
        <family val="2"/>
      </rPr>
      <t>Sm (%)</t>
    </r>
  </si>
  <si>
    <r>
      <t xml:space="preserve">λ </t>
    </r>
    <r>
      <rPr>
        <vertAlign val="superscript"/>
        <sz val="10"/>
        <rFont val="Arial"/>
        <family val="2"/>
      </rPr>
      <t>147</t>
    </r>
    <r>
      <rPr>
        <sz val="10"/>
        <rFont val="Arial"/>
        <family val="2"/>
      </rPr>
      <t>Sm (y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</si>
  <si>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Lugmair &amp; Marti (1978)</t>
  </si>
  <si>
    <t>Sm</t>
  </si>
  <si>
    <t>Nd</t>
  </si>
  <si>
    <t>Sm/Nd</t>
  </si>
  <si>
    <t>143Nd/144Nd(i)</t>
  </si>
  <si>
    <t>ΣNd</t>
  </si>
  <si>
    <t>%142Nd</t>
  </si>
  <si>
    <t>%143Nd</t>
  </si>
  <si>
    <t>%144Nd</t>
  </si>
  <si>
    <t>%145Nd</t>
  </si>
  <si>
    <t>%146Nd</t>
  </si>
  <si>
    <t>%148Nd</t>
  </si>
  <si>
    <t>%150Nd</t>
  </si>
  <si>
    <t>Nd (amu)</t>
  </si>
  <si>
    <t>147Sm/144Nd</t>
  </si>
  <si>
    <t>(143Nd/144Nd)i</t>
  </si>
  <si>
    <t>εNd i</t>
  </si>
  <si>
    <t>upper</t>
  </si>
  <si>
    <t>lower</t>
  </si>
  <si>
    <t>Original</t>
  </si>
  <si>
    <t>% error</t>
  </si>
  <si>
    <t>2SD (%)</t>
  </si>
  <si>
    <t>Rb upper</t>
  </si>
  <si>
    <t>Sr upper</t>
  </si>
  <si>
    <t>Rb/Sr upper</t>
  </si>
  <si>
    <t>Rb lower</t>
  </si>
  <si>
    <t>Sr lower</t>
  </si>
  <si>
    <t>Rb/Sr lower</t>
  </si>
  <si>
    <t>2SE error</t>
  </si>
  <si>
    <t>original</t>
  </si>
  <si>
    <t>Name</t>
  </si>
  <si>
    <t>Segerstrom</t>
  </si>
  <si>
    <t>Cachiyuyo</t>
  </si>
  <si>
    <t>Co. Chrisoteado</t>
  </si>
  <si>
    <t>San Cristobal Complex</t>
  </si>
  <si>
    <t>Penacho Blanco</t>
  </si>
  <si>
    <t>Cerro Buenos Aires</t>
  </si>
  <si>
    <t>87Sr/86Sr</t>
  </si>
  <si>
    <t>Initial isotope calculations:</t>
  </si>
  <si>
    <t>Measured</t>
  </si>
  <si>
    <t>Calculated upper and lower error bounds (5% SD)</t>
  </si>
  <si>
    <t>Error bounds on Rb/Sr ratios</t>
  </si>
  <si>
    <t>Propogated</t>
  </si>
  <si>
    <t>Sm upper</t>
  </si>
  <si>
    <t>Nd upper</t>
  </si>
  <si>
    <t>Sm lower</t>
  </si>
  <si>
    <t>Nd lower</t>
  </si>
  <si>
    <t>2SD</t>
  </si>
  <si>
    <t>Analytical error</t>
  </si>
  <si>
    <t>Error bounds on Sm/Nd ratios</t>
  </si>
  <si>
    <t>Calculated upper and lower error bounds (5% 2SD)</t>
  </si>
  <si>
    <t>The following table shows the calculations of error propogation for the initial isotope values, taking into account a conservite analytical errors on the Sm and Nd measurements (which were 2.5% RSD, therefore calculations use 5% 2SD)</t>
  </si>
  <si>
    <t>The following table shows the calculations of error propogation for the initial isotope values, taking into account a conservite analytical errors on the Rb and Sr measurements  (which were 2.5% RSD, therefore calculations use 5% 2SD)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</si>
</sst>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0.0000"/>
    <numFmt numFmtId="167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2" fillId="0" borderId="0" xfId="1"/>
    <xf numFmtId="11" fontId="3" fillId="0" borderId="0" xfId="1" applyNumberFormat="1" applyFon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0" fillId="0" borderId="0" xfId="0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Border="1"/>
    <xf numFmtId="11" fontId="0" fillId="0" borderId="0" xfId="0" applyNumberFormat="1"/>
    <xf numFmtId="165" fontId="0" fillId="0" borderId="0" xfId="0" applyNumberFormat="1"/>
    <xf numFmtId="11" fontId="2" fillId="0" borderId="0" xfId="1" applyNumberFormat="1" applyFont="1"/>
    <xf numFmtId="165" fontId="0" fillId="0" borderId="0" xfId="0" applyNumberFormat="1" applyBorder="1"/>
    <xf numFmtId="0" fontId="1" fillId="0" borderId="0" xfId="0" applyFont="1" applyFill="1" applyBorder="1"/>
    <xf numFmtId="0" fontId="5" fillId="0" borderId="2" xfId="0" applyFont="1" applyFill="1" applyBorder="1"/>
    <xf numFmtId="165" fontId="5" fillId="0" borderId="0" xfId="0" applyNumberFormat="1" applyFont="1" applyFill="1" applyBorder="1"/>
    <xf numFmtId="165" fontId="5" fillId="0" borderId="3" xfId="0" applyNumberFormat="1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5" fillId="0" borderId="0" xfId="0" applyFont="1" applyFill="1" applyBorder="1"/>
    <xf numFmtId="0" fontId="2" fillId="0" borderId="0" xfId="0" applyFont="1" applyFill="1" applyBorder="1" applyAlignment="1">
      <alignment vertical="center"/>
    </xf>
    <xf numFmtId="164" fontId="5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Border="1"/>
    <xf numFmtId="11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2" fillId="0" borderId="0" xfId="0" applyFont="1" applyFill="1" applyBorder="1"/>
    <xf numFmtId="0" fontId="6" fillId="0" borderId="9" xfId="0" applyFont="1" applyFill="1" applyBorder="1"/>
    <xf numFmtId="0" fontId="7" fillId="0" borderId="9" xfId="0" applyFont="1" applyFill="1" applyBorder="1"/>
    <xf numFmtId="0" fontId="6" fillId="0" borderId="9" xfId="0" applyFont="1" applyBorder="1"/>
    <xf numFmtId="0" fontId="6" fillId="0" borderId="10" xfId="0" applyFont="1" applyBorder="1"/>
    <xf numFmtId="0" fontId="5" fillId="0" borderId="11" xfId="0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2" fontId="5" fillId="0" borderId="1" xfId="0" applyNumberFormat="1" applyFont="1" applyFill="1" applyBorder="1"/>
    <xf numFmtId="0" fontId="5" fillId="0" borderId="1" xfId="0" applyFont="1" applyBorder="1"/>
    <xf numFmtId="11" fontId="5" fillId="0" borderId="1" xfId="0" applyNumberFormat="1" applyFont="1" applyBorder="1"/>
    <xf numFmtId="165" fontId="5" fillId="0" borderId="1" xfId="0" applyNumberFormat="1" applyFont="1" applyBorder="1"/>
    <xf numFmtId="11" fontId="5" fillId="0" borderId="0" xfId="0" applyNumberFormat="1" applyFont="1" applyBorder="1"/>
    <xf numFmtId="165" fontId="5" fillId="0" borderId="0" xfId="0" applyNumberFormat="1" applyFont="1" applyBorder="1"/>
    <xf numFmtId="11" fontId="5" fillId="0" borderId="12" xfId="0" applyNumberFormat="1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3" xfId="0" applyFont="1" applyFill="1" applyBorder="1"/>
    <xf numFmtId="164" fontId="5" fillId="0" borderId="3" xfId="0" applyNumberFormat="1" applyFont="1" applyFill="1" applyBorder="1"/>
    <xf numFmtId="2" fontId="5" fillId="0" borderId="3" xfId="0" applyNumberFormat="1" applyFont="1" applyFill="1" applyBorder="1"/>
    <xf numFmtId="0" fontId="5" fillId="0" borderId="3" xfId="0" applyFont="1" applyBorder="1"/>
    <xf numFmtId="11" fontId="5" fillId="0" borderId="3" xfId="0" applyNumberFormat="1" applyFont="1" applyBorder="1"/>
    <xf numFmtId="165" fontId="5" fillId="0" borderId="3" xfId="0" applyNumberFormat="1" applyFont="1" applyBorder="1"/>
    <xf numFmtId="0" fontId="5" fillId="0" borderId="14" xfId="0" applyFont="1" applyBorder="1"/>
    <xf numFmtId="0" fontId="2" fillId="0" borderId="1" xfId="0" applyFont="1" applyFill="1" applyBorder="1"/>
    <xf numFmtId="0" fontId="6" fillId="0" borderId="0" xfId="0" applyFont="1" applyBorder="1" applyAlignment="1">
      <alignment horizontal="left"/>
    </xf>
    <xf numFmtId="167" fontId="5" fillId="0" borderId="0" xfId="0" applyNumberFormat="1" applyFont="1" applyFill="1" applyBorder="1"/>
    <xf numFmtId="167" fontId="5" fillId="0" borderId="1" xfId="0" applyNumberFormat="1" applyFont="1" applyFill="1" applyBorder="1"/>
    <xf numFmtId="167" fontId="5" fillId="0" borderId="3" xfId="0" applyNumberFormat="1" applyFont="1" applyFill="1" applyBorder="1"/>
    <xf numFmtId="167" fontId="0" fillId="0" borderId="0" xfId="0" applyNumberFormat="1" applyFill="1" applyBorder="1"/>
    <xf numFmtId="0" fontId="1" fillId="0" borderId="0" xfId="0" applyFont="1" applyBorder="1"/>
    <xf numFmtId="164" fontId="0" fillId="0" borderId="0" xfId="0" applyNumberFormat="1" applyBorder="1"/>
    <xf numFmtId="166" fontId="0" fillId="0" borderId="0" xfId="0" applyNumberFormat="1" applyBorder="1"/>
    <xf numFmtId="2" fontId="0" fillId="0" borderId="0" xfId="0" applyNumberFormat="1" applyBorder="1"/>
    <xf numFmtId="11" fontId="0" fillId="0" borderId="0" xfId="0" applyNumberFormat="1" applyBorder="1"/>
    <xf numFmtId="0" fontId="6" fillId="0" borderId="15" xfId="0" applyFont="1" applyBorder="1" applyAlignment="1">
      <alignment horizontal="left"/>
    </xf>
    <xf numFmtId="165" fontId="0" fillId="0" borderId="12" xfId="0" applyNumberFormat="1" applyBorder="1"/>
    <xf numFmtId="167" fontId="0" fillId="0" borderId="3" xfId="0" applyNumberFormat="1" applyFill="1" applyBorder="1"/>
    <xf numFmtId="2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2" fontId="0" fillId="0" borderId="3" xfId="0" applyNumberFormat="1" applyFill="1" applyBorder="1"/>
    <xf numFmtId="166" fontId="0" fillId="0" borderId="3" xfId="0" applyNumberFormat="1" applyBorder="1"/>
    <xf numFmtId="165" fontId="0" fillId="0" borderId="3" xfId="0" applyNumberFormat="1" applyBorder="1"/>
    <xf numFmtId="165" fontId="0" fillId="0" borderId="14" xfId="0" applyNumberFormat="1" applyBorder="1"/>
    <xf numFmtId="0" fontId="1" fillId="0" borderId="9" xfId="0" applyFont="1" applyFill="1" applyBorder="1"/>
    <xf numFmtId="0" fontId="1" fillId="0" borderId="9" xfId="0" applyFont="1" applyBorder="1"/>
    <xf numFmtId="0" fontId="1" fillId="0" borderId="10" xfId="0" applyFont="1" applyFill="1" applyBorder="1"/>
    <xf numFmtId="0" fontId="0" fillId="0" borderId="19" xfId="0" applyFill="1" applyBorder="1"/>
    <xf numFmtId="0" fontId="6" fillId="0" borderId="18" xfId="0" applyFont="1" applyFill="1" applyBorder="1"/>
    <xf numFmtId="0" fontId="5" fillId="0" borderId="20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164" fontId="5" fillId="0" borderId="0" xfId="0" applyNumberFormat="1" applyFont="1"/>
    <xf numFmtId="0" fontId="6" fillId="0" borderId="23" xfId="0" applyFont="1" applyFill="1" applyBorder="1"/>
    <xf numFmtId="0" fontId="7" fillId="0" borderId="23" xfId="0" applyFont="1" applyFill="1" applyBorder="1"/>
    <xf numFmtId="0" fontId="6" fillId="0" borderId="23" xfId="0" applyFont="1" applyBorder="1"/>
    <xf numFmtId="0" fontId="6" fillId="0" borderId="24" xfId="0" applyFont="1" applyBorder="1"/>
    <xf numFmtId="164" fontId="5" fillId="0" borderId="0" xfId="0" applyNumberFormat="1" applyFont="1" applyBorder="1"/>
    <xf numFmtId="164" fontId="5" fillId="0" borderId="3" xfId="0" applyNumberFormat="1" applyFont="1" applyBorder="1"/>
    <xf numFmtId="165" fontId="5" fillId="0" borderId="0" xfId="0" applyNumberFormat="1" applyFont="1" applyFill="1"/>
    <xf numFmtId="0" fontId="0" fillId="0" borderId="15" xfId="0" applyBorder="1"/>
    <xf numFmtId="2" fontId="5" fillId="0" borderId="0" xfId="0" applyNumberFormat="1" applyFont="1" applyBorder="1"/>
    <xf numFmtId="2" fontId="5" fillId="0" borderId="3" xfId="0" applyNumberFormat="1" applyFont="1" applyBorder="1"/>
    <xf numFmtId="0" fontId="5" fillId="0" borderId="19" xfId="0" applyFont="1" applyBorder="1"/>
    <xf numFmtId="0" fontId="6" fillId="0" borderId="10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1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5" fontId="5" fillId="0" borderId="12" xfId="0" applyNumberFormat="1" applyFont="1" applyBorder="1"/>
    <xf numFmtId="165" fontId="5" fillId="0" borderId="14" xfId="0" applyNumberFormat="1" applyFont="1" applyBorder="1"/>
    <xf numFmtId="0" fontId="5" fillId="0" borderId="1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4C81A2A-51B1-494E-99EB-A57B93D93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AE4C-2D86-4456-AB3B-BC78C80C4D11}">
  <dimension ref="A1:AB81"/>
  <sheetViews>
    <sheetView tabSelected="1" topLeftCell="A31" workbookViewId="0">
      <selection activeCell="A39" sqref="A39"/>
    </sheetView>
  </sheetViews>
  <sheetFormatPr defaultRowHeight="14.5" x14ac:dyDescent="0.35"/>
  <cols>
    <col min="1" max="1" width="17.54296875" bestFit="1" customWidth="1"/>
    <col min="2" max="2" width="17.1796875" customWidth="1"/>
    <col min="3" max="3" width="10.36328125" customWidth="1"/>
    <col min="4" max="4" width="10.6328125" customWidth="1"/>
    <col min="5" max="5" width="9.54296875" customWidth="1"/>
    <col min="6" max="6" width="7.90625" bestFit="1" customWidth="1"/>
    <col min="7" max="7" width="8.1796875" bestFit="1" customWidth="1"/>
    <col min="8" max="8" width="8.81640625" bestFit="1" customWidth="1"/>
    <col min="10" max="10" width="8.81640625" bestFit="1" customWidth="1"/>
    <col min="11" max="11" width="9.453125" bestFit="1" customWidth="1"/>
    <col min="12" max="12" width="8.453125" customWidth="1"/>
    <col min="13" max="13" width="9.90625" customWidth="1"/>
    <col min="14" max="14" width="10.90625" bestFit="1" customWidth="1"/>
    <col min="15" max="15" width="10.6328125" bestFit="1" customWidth="1"/>
    <col min="16" max="17" width="11.36328125" customWidth="1"/>
    <col min="18" max="18" width="10.7265625" customWidth="1"/>
    <col min="19" max="19" width="11.81640625" bestFit="1" customWidth="1"/>
    <col min="20" max="20" width="8.81640625" bestFit="1" customWidth="1"/>
    <col min="21" max="21" width="10.26953125" customWidth="1"/>
    <col min="22" max="22" width="12.36328125" customWidth="1"/>
    <col min="23" max="23" width="11.26953125" customWidth="1"/>
    <col min="24" max="24" width="9.08984375" bestFit="1" customWidth="1"/>
    <col min="25" max="25" width="8.81640625" bestFit="1" customWidth="1"/>
    <col min="26" max="26" width="10.453125" customWidth="1"/>
    <col min="27" max="27" width="11.54296875" customWidth="1"/>
    <col min="28" max="28" width="9.36328125" bestFit="1" customWidth="1"/>
  </cols>
  <sheetData>
    <row r="1" spans="1:27" x14ac:dyDescent="0.35">
      <c r="A1" s="1"/>
      <c r="B1" s="1"/>
      <c r="C1" s="1"/>
      <c r="D1" s="1" t="s">
        <v>0</v>
      </c>
      <c r="E1" s="1"/>
      <c r="F1" s="2"/>
      <c r="G1" s="3"/>
    </row>
    <row r="2" spans="1:27" ht="15.5" x14ac:dyDescent="0.35">
      <c r="B2" s="1" t="s">
        <v>1</v>
      </c>
      <c r="C2" s="4">
        <v>5.6492000000000001E-2</v>
      </c>
      <c r="D2" s="3" t="s">
        <v>2</v>
      </c>
      <c r="E2" s="1"/>
      <c r="F2" s="4"/>
      <c r="G2" s="3"/>
    </row>
    <row r="3" spans="1:27" ht="15.5" x14ac:dyDescent="0.35">
      <c r="B3" s="1" t="s">
        <v>3</v>
      </c>
      <c r="C3" s="4">
        <v>1</v>
      </c>
      <c r="D3" s="3"/>
      <c r="E3" s="1"/>
      <c r="F3" s="4"/>
      <c r="G3" s="3"/>
    </row>
    <row r="4" spans="1:27" ht="15.5" x14ac:dyDescent="0.35">
      <c r="B4" s="1" t="s">
        <v>4</v>
      </c>
      <c r="C4" s="4">
        <v>0.70450000000000002</v>
      </c>
      <c r="D4" s="3" t="s">
        <v>5</v>
      </c>
    </row>
    <row r="5" spans="1:27" ht="15.5" x14ac:dyDescent="0.35">
      <c r="B5" s="1" t="s">
        <v>6</v>
      </c>
      <c r="C5" s="4">
        <f>1/0.1194</f>
        <v>8.3752093802345051</v>
      </c>
      <c r="D5" s="3" t="s">
        <v>7</v>
      </c>
    </row>
    <row r="6" spans="1:27" ht="15.5" x14ac:dyDescent="0.35">
      <c r="B6" s="1" t="s">
        <v>8</v>
      </c>
      <c r="C6" s="4">
        <v>8.2699999999999996E-2</v>
      </c>
      <c r="D6" s="3" t="s">
        <v>5</v>
      </c>
    </row>
    <row r="7" spans="1:27" ht="15.5" x14ac:dyDescent="0.35">
      <c r="B7" s="5" t="s">
        <v>9</v>
      </c>
      <c r="C7" s="4">
        <v>83.913426000000001</v>
      </c>
      <c r="D7" s="3" t="s">
        <v>10</v>
      </c>
    </row>
    <row r="8" spans="1:27" ht="15.5" x14ac:dyDescent="0.35">
      <c r="B8" s="5" t="s">
        <v>11</v>
      </c>
      <c r="C8" s="4">
        <v>85.909264699999994</v>
      </c>
      <c r="D8" s="3" t="s">
        <v>10</v>
      </c>
    </row>
    <row r="9" spans="1:27" ht="15.5" x14ac:dyDescent="0.35">
      <c r="B9" s="5" t="s">
        <v>12</v>
      </c>
      <c r="C9" s="4">
        <v>86.908881600000001</v>
      </c>
      <c r="D9" s="3" t="s">
        <v>10</v>
      </c>
    </row>
    <row r="10" spans="1:27" ht="15.5" x14ac:dyDescent="0.35">
      <c r="B10" s="5" t="s">
        <v>13</v>
      </c>
      <c r="C10" s="4">
        <v>87.905616699999996</v>
      </c>
      <c r="D10" s="3" t="s">
        <v>10</v>
      </c>
    </row>
    <row r="11" spans="1:27" x14ac:dyDescent="0.35">
      <c r="B11" s="1" t="s">
        <v>14</v>
      </c>
      <c r="C11" s="4">
        <v>85.467799999999997</v>
      </c>
      <c r="D11" s="3" t="s">
        <v>15</v>
      </c>
    </row>
    <row r="12" spans="1:27" ht="15.5" x14ac:dyDescent="0.35">
      <c r="B12" s="5" t="s">
        <v>16</v>
      </c>
      <c r="C12" s="4">
        <v>27.83</v>
      </c>
      <c r="D12" s="3" t="s">
        <v>17</v>
      </c>
    </row>
    <row r="13" spans="1:27" ht="15.5" x14ac:dyDescent="0.35">
      <c r="B13" s="1" t="s">
        <v>18</v>
      </c>
      <c r="C13" s="2">
        <f>0.0000000000142</f>
        <v>1.42E-11</v>
      </c>
      <c r="D13" s="3" t="s">
        <v>7</v>
      </c>
    </row>
    <row r="14" spans="1:27" x14ac:dyDescent="0.35">
      <c r="B14" s="1"/>
      <c r="C14" s="2"/>
      <c r="D14" s="3"/>
    </row>
    <row r="15" spans="1:27" ht="15" thickBot="1" x14ac:dyDescent="0.4">
      <c r="A15" s="56" t="s">
        <v>136</v>
      </c>
    </row>
    <row r="16" spans="1:27" ht="15" thickBot="1" x14ac:dyDescent="0.4">
      <c r="A16" s="18" t="s">
        <v>128</v>
      </c>
      <c r="B16" s="32" t="s">
        <v>19</v>
      </c>
      <c r="C16" s="32" t="s">
        <v>20</v>
      </c>
      <c r="D16" s="32" t="s">
        <v>21</v>
      </c>
      <c r="E16" s="32" t="s">
        <v>22</v>
      </c>
      <c r="F16" s="33" t="s">
        <v>23</v>
      </c>
      <c r="G16" s="33" t="s">
        <v>24</v>
      </c>
      <c r="H16" s="80" t="s">
        <v>25</v>
      </c>
      <c r="I16" s="32" t="s">
        <v>26</v>
      </c>
      <c r="J16" s="32" t="s">
        <v>27</v>
      </c>
      <c r="K16" s="32" t="s">
        <v>28</v>
      </c>
      <c r="L16" s="32" t="s">
        <v>29</v>
      </c>
      <c r="M16" s="32" t="s">
        <v>119</v>
      </c>
      <c r="N16" s="32" t="s">
        <v>30</v>
      </c>
      <c r="O16" s="34" t="s">
        <v>135</v>
      </c>
      <c r="P16" s="34" t="s">
        <v>31</v>
      </c>
      <c r="Q16" s="34" t="s">
        <v>32</v>
      </c>
      <c r="R16" s="34" t="s">
        <v>33</v>
      </c>
      <c r="S16" s="34" t="s">
        <v>34</v>
      </c>
      <c r="T16" s="34" t="s">
        <v>35</v>
      </c>
      <c r="U16" s="34" t="s">
        <v>36</v>
      </c>
      <c r="V16" s="34" t="s">
        <v>37</v>
      </c>
      <c r="W16" s="34" t="s">
        <v>38</v>
      </c>
      <c r="X16" s="34" t="s">
        <v>39</v>
      </c>
      <c r="Y16" s="34" t="s">
        <v>40</v>
      </c>
      <c r="Z16" s="34" t="s">
        <v>41</v>
      </c>
      <c r="AA16" s="35" t="s">
        <v>42</v>
      </c>
    </row>
    <row r="17" spans="1:27" x14ac:dyDescent="0.35">
      <c r="A17" s="19" t="s">
        <v>129</v>
      </c>
      <c r="B17" s="23" t="s">
        <v>43</v>
      </c>
      <c r="C17" s="23">
        <v>25</v>
      </c>
      <c r="D17" s="23">
        <v>0.9</v>
      </c>
      <c r="E17" s="24" t="s">
        <v>44</v>
      </c>
      <c r="F17" s="25">
        <v>-26.920166666666667</v>
      </c>
      <c r="G17" s="25">
        <v>-68.832666666666668</v>
      </c>
      <c r="H17" s="81" t="s">
        <v>45</v>
      </c>
      <c r="I17" s="26">
        <v>55.334224043639409</v>
      </c>
      <c r="J17" s="26">
        <v>0.65824117956821859</v>
      </c>
      <c r="K17" s="57">
        <v>63.61</v>
      </c>
      <c r="L17" s="57">
        <v>584.29999999999995</v>
      </c>
      <c r="M17" s="26">
        <v>5</v>
      </c>
      <c r="N17" s="26">
        <f>K17/L17</f>
        <v>0.10886530891665241</v>
      </c>
      <c r="O17" s="27">
        <v>0.70532700000000004</v>
      </c>
      <c r="P17" s="27">
        <v>7.9999999999999996E-6</v>
      </c>
      <c r="Q17" s="43">
        <f>EXP(C$13*C17*1000000)-1</f>
        <v>3.5506301995713585E-4</v>
      </c>
      <c r="R17" s="43">
        <f>C$4-(Q17*C$6)</f>
        <v>0.70447063628824957</v>
      </c>
      <c r="S17" s="27">
        <f>C$2+C$3+O17+C$5</f>
        <v>10.137028380234504</v>
      </c>
      <c r="T17" s="27">
        <f>((100/S17)*C$2)</f>
        <v>0.55728363264869485</v>
      </c>
      <c r="U17" s="27">
        <f>((100/S17)*C$3)</f>
        <v>9.8648239157525826</v>
      </c>
      <c r="V17" s="27">
        <f>((100/S17)*O17)</f>
        <v>6.9579266580260217</v>
      </c>
      <c r="W17" s="27">
        <f>((100/S17)*C$5)</f>
        <v>82.619965793572717</v>
      </c>
      <c r="X17" s="27">
        <f>((T17/100)*C$7)+((U17/100)*C$8)+((V17/100)*C$9)+((W17/100)*C$10)</f>
        <v>87.617080167873382</v>
      </c>
      <c r="Y17" s="27">
        <f>N17*(X17/C$11)*(C$12/U17)</f>
        <v>0.31484705049667233</v>
      </c>
      <c r="Z17" s="44">
        <f>O17-(Y17*Q17)</f>
        <v>0.70521520945542604</v>
      </c>
      <c r="AA17" s="45">
        <f>((Z17/R17)-1)*10000</f>
        <v>10.569257664159171</v>
      </c>
    </row>
    <row r="18" spans="1:27" x14ac:dyDescent="0.35">
      <c r="A18" s="19"/>
      <c r="B18" s="23" t="s">
        <v>46</v>
      </c>
      <c r="C18" s="23">
        <v>25</v>
      </c>
      <c r="D18" s="23">
        <v>0.9</v>
      </c>
      <c r="E18" s="23" t="s">
        <v>44</v>
      </c>
      <c r="F18" s="25">
        <v>-26.914972222222222</v>
      </c>
      <c r="G18" s="25">
        <v>-68.839833333333331</v>
      </c>
      <c r="H18" s="81" t="s">
        <v>47</v>
      </c>
      <c r="I18" s="26">
        <v>52.123955283302038</v>
      </c>
      <c r="J18" s="26">
        <v>0.89926893963897181</v>
      </c>
      <c r="K18" s="57">
        <v>49.98</v>
      </c>
      <c r="L18" s="57">
        <v>555.70000000000005</v>
      </c>
      <c r="M18" s="26">
        <v>5</v>
      </c>
      <c r="N18" s="26">
        <f>K18/L18</f>
        <v>8.9940615439985591E-2</v>
      </c>
      <c r="O18" s="27">
        <v>0.70453300000000008</v>
      </c>
      <c r="P18" s="27">
        <v>1.0000000000000001E-5</v>
      </c>
      <c r="Q18" s="43">
        <f>EXP(C$13*C18*1000000)-1</f>
        <v>3.5506301995713585E-4</v>
      </c>
      <c r="R18" s="43">
        <f>C$4-(Q18*C$6)</f>
        <v>0.70447063628824957</v>
      </c>
      <c r="S18" s="27">
        <f>C$2+C$3+O18+C$5</f>
        <v>10.136234380234505</v>
      </c>
      <c r="T18" s="27">
        <f>((100/S18)*C$2)</f>
        <v>0.5573272862569012</v>
      </c>
      <c r="U18" s="27">
        <f>((100/S18)*C$3)</f>
        <v>9.8655966554007861</v>
      </c>
      <c r="V18" s="27">
        <f t="shared" ref="V18:V35" si="0">((100/S18)*O18)</f>
        <v>6.9506384084194828</v>
      </c>
      <c r="W18" s="27">
        <f>((100/S18)*C$5)</f>
        <v>82.626437649922821</v>
      </c>
      <c r="X18" s="27">
        <f>((T18/100)*C$7)+((U18/100)*C$8)+((V18/100)*C$9)+((W18/100)*C$10)</f>
        <v>87.617135643076665</v>
      </c>
      <c r="Y18" s="27">
        <f>N18*(X18/C$11)*(C$12/U18)</f>
        <v>0.26009513665630157</v>
      </c>
      <c r="Z18" s="44">
        <f t="shared" ref="Z18:Z35" si="1">O18-(Y18*Q18)</f>
        <v>0.70444064983530275</v>
      </c>
      <c r="AA18" s="46">
        <f t="shared" ref="AA18:AA35" si="2">((Z18/R18)-1)*10000</f>
        <v>-0.42565937318328473</v>
      </c>
    </row>
    <row r="19" spans="1:27" x14ac:dyDescent="0.35">
      <c r="A19" s="19"/>
      <c r="B19" s="23" t="s">
        <v>48</v>
      </c>
      <c r="C19" s="23">
        <v>25</v>
      </c>
      <c r="D19" s="23">
        <v>0.9</v>
      </c>
      <c r="E19" s="23" t="s">
        <v>44</v>
      </c>
      <c r="F19" s="25">
        <v>-26.914972222222222</v>
      </c>
      <c r="G19" s="25">
        <v>-68.839833333333331</v>
      </c>
      <c r="H19" s="81" t="s">
        <v>47</v>
      </c>
      <c r="I19" s="26">
        <v>51.601964688965936</v>
      </c>
      <c r="J19" s="26">
        <v>1.58010954661465</v>
      </c>
      <c r="K19" s="57">
        <v>51.4</v>
      </c>
      <c r="L19" s="57">
        <v>607.9</v>
      </c>
      <c r="M19" s="26">
        <v>5</v>
      </c>
      <c r="N19" s="26">
        <f>K19/L19</f>
        <v>8.4553380490212202E-2</v>
      </c>
      <c r="O19" s="27">
        <v>0.70456099999999999</v>
      </c>
      <c r="P19" s="27">
        <v>7.9999999999999996E-6</v>
      </c>
      <c r="Q19" s="43">
        <f>EXP(C$13*C19*1000000)-1</f>
        <v>3.5506301995713585E-4</v>
      </c>
      <c r="R19" s="43">
        <f>C$4-(Q19*C$6)</f>
        <v>0.70447063628824957</v>
      </c>
      <c r="S19" s="27">
        <f>C$2+C$3+O19+C$5</f>
        <v>10.136262380234506</v>
      </c>
      <c r="T19" s="27">
        <f>((100/S19)*C$2)</f>
        <v>0.5573257467186149</v>
      </c>
      <c r="U19" s="27">
        <f>((100/S19)*C$3)</f>
        <v>9.8655694030768046</v>
      </c>
      <c r="V19" s="27">
        <f t="shared" si="0"/>
        <v>6.9508954442011968</v>
      </c>
      <c r="W19" s="27">
        <f>((100/S19)*C$5)</f>
        <v>82.626209406003383</v>
      </c>
      <c r="X19" s="27">
        <f>((T19/100)*C$7)+((U19/100)*C$8)+((V19/100)*C$9)+((W19/100)*C$10)</f>
        <v>87.617133686624413</v>
      </c>
      <c r="Y19" s="27">
        <f>N19*(X19/C$11)*(C$12/U19)</f>
        <v>0.24451670921377089</v>
      </c>
      <c r="Z19" s="44">
        <f t="shared" si="1"/>
        <v>0.70447418115879656</v>
      </c>
      <c r="AA19" s="46">
        <f t="shared" si="2"/>
        <v>5.0319635260809292E-2</v>
      </c>
    </row>
    <row r="20" spans="1:27" x14ac:dyDescent="0.35">
      <c r="A20" s="19"/>
      <c r="B20" s="23" t="s">
        <v>49</v>
      </c>
      <c r="C20" s="23">
        <v>25</v>
      </c>
      <c r="D20" s="23">
        <v>0.9</v>
      </c>
      <c r="E20" s="23" t="s">
        <v>44</v>
      </c>
      <c r="F20" s="25">
        <v>-26.914972222222222</v>
      </c>
      <c r="G20" s="25">
        <v>-68.839833333333331</v>
      </c>
      <c r="H20" s="81" t="s">
        <v>47</v>
      </c>
      <c r="I20" s="26">
        <v>49.732937821989474</v>
      </c>
      <c r="J20" s="26">
        <v>1.1597429176690004</v>
      </c>
      <c r="K20" s="57">
        <v>34.49</v>
      </c>
      <c r="L20" s="57">
        <v>492.2</v>
      </c>
      <c r="M20" s="26">
        <v>5</v>
      </c>
      <c r="N20" s="26">
        <f>K20/L20</f>
        <v>7.0073140999593664E-2</v>
      </c>
      <c r="O20" s="27">
        <v>0.70444700000000005</v>
      </c>
      <c r="P20" s="27">
        <v>9.0000000000000002E-6</v>
      </c>
      <c r="Q20" s="43">
        <f>EXP(C$13*C20*1000000)-1</f>
        <v>3.5506301995713585E-4</v>
      </c>
      <c r="R20" s="43">
        <f>C$4-(Q20*C$6)</f>
        <v>0.70447063628824957</v>
      </c>
      <c r="S20" s="27">
        <f>C$2+C$3+O20+C$5</f>
        <v>10.136148380234506</v>
      </c>
      <c r="T20" s="27">
        <f>((100/S20)*C$2)</f>
        <v>0.5573320148919626</v>
      </c>
      <c r="U20" s="27">
        <f>((100/S20)*C$3)</f>
        <v>9.8656803599087048</v>
      </c>
      <c r="V20" s="27">
        <f t="shared" si="0"/>
        <v>6.9498489324966082</v>
      </c>
      <c r="W20" s="27">
        <f>((100/S20)*C$5)</f>
        <v>82.627138692702715</v>
      </c>
      <c r="X20" s="27">
        <f>((T20/100)*C$7)+((U20/100)*C$8)+((V20/100)*C$9)+((W20/100)*C$10)</f>
        <v>87.61714165224754</v>
      </c>
      <c r="Y20" s="27">
        <f>N20*(X20/C$11)*(C$12/U20)</f>
        <v>0.20263959403467391</v>
      </c>
      <c r="Z20" s="44">
        <f t="shared" si="1"/>
        <v>0.70437505017377922</v>
      </c>
      <c r="AA20" s="46">
        <f t="shared" si="2"/>
        <v>-1.356850229755624</v>
      </c>
    </row>
    <row r="21" spans="1:27" x14ac:dyDescent="0.35">
      <c r="A21" s="20"/>
      <c r="B21" s="36" t="s">
        <v>50</v>
      </c>
      <c r="C21" s="37">
        <v>25</v>
      </c>
      <c r="D21" s="37">
        <v>0.9</v>
      </c>
      <c r="E21" s="37" t="s">
        <v>44</v>
      </c>
      <c r="F21" s="38">
        <v>-26.914972222222222</v>
      </c>
      <c r="G21" s="38">
        <v>-68.839833333333331</v>
      </c>
      <c r="H21" s="83" t="s">
        <v>47</v>
      </c>
      <c r="I21" s="39">
        <v>53.208467592892923</v>
      </c>
      <c r="J21" s="39">
        <v>0.67682873918950492</v>
      </c>
      <c r="K21" s="58">
        <v>54.65</v>
      </c>
      <c r="L21" s="58">
        <v>577.9</v>
      </c>
      <c r="M21" s="39">
        <v>5</v>
      </c>
      <c r="N21" s="39">
        <f>K21/L21</f>
        <v>9.456653400242257E-2</v>
      </c>
      <c r="O21" s="40">
        <v>0.70437100000000008</v>
      </c>
      <c r="P21" s="40">
        <v>7.9999999999999996E-6</v>
      </c>
      <c r="Q21" s="41">
        <f>EXP(C$13*C21*1000000)-1</f>
        <v>3.5506301995713585E-4</v>
      </c>
      <c r="R21" s="41">
        <f>C$4-(Q21*C$6)</f>
        <v>0.70447063628824957</v>
      </c>
      <c r="S21" s="40">
        <f>C$2+C$3+O21+C$5</f>
        <v>10.136072380234506</v>
      </c>
      <c r="T21" s="40">
        <f>((100/S21)*C$2)</f>
        <v>0.55733619375252541</v>
      </c>
      <c r="U21" s="40">
        <f>((100/S21)*C$3)</f>
        <v>9.8657543325165591</v>
      </c>
      <c r="V21" s="40">
        <f t="shared" si="0"/>
        <v>6.9491512449490225</v>
      </c>
      <c r="W21" s="40">
        <f>((100/S21)*C$5)</f>
        <v>82.6277582287819</v>
      </c>
      <c r="X21" s="40">
        <f>((T21/100)*C$7)+((U21/100)*C$8)+((V21/100)*C$9)+((W21/100)*C$10)</f>
        <v>87.617146962762504</v>
      </c>
      <c r="Y21" s="40">
        <f>N21*(X21/C$11)*(C$12/U21)</f>
        <v>0.27346828279151347</v>
      </c>
      <c r="Z21" s="42">
        <f t="shared" si="1"/>
        <v>0.70427390152564961</v>
      </c>
      <c r="AA21" s="47">
        <f t="shared" si="2"/>
        <v>-2.7926609352590948</v>
      </c>
    </row>
    <row r="22" spans="1:27" x14ac:dyDescent="0.35">
      <c r="A22" s="21" t="s">
        <v>130</v>
      </c>
      <c r="B22" s="23" t="s">
        <v>51</v>
      </c>
      <c r="C22" s="23">
        <v>59.6</v>
      </c>
      <c r="D22" s="23">
        <v>2.8</v>
      </c>
      <c r="E22" s="23" t="s">
        <v>52</v>
      </c>
      <c r="F22" s="25">
        <v>-27.133777777777777</v>
      </c>
      <c r="G22" s="25">
        <v>-70.114833333333337</v>
      </c>
      <c r="H22" s="81" t="s">
        <v>53</v>
      </c>
      <c r="I22" s="26">
        <v>65.046232224358292</v>
      </c>
      <c r="J22" s="26">
        <v>0.64602708944514997</v>
      </c>
      <c r="K22" s="57">
        <v>60.29</v>
      </c>
      <c r="L22" s="57">
        <v>464.9</v>
      </c>
      <c r="M22" s="26">
        <v>5</v>
      </c>
      <c r="N22" s="26">
        <f>K22/L22</f>
        <v>0.12968380296838031</v>
      </c>
      <c r="O22" s="27">
        <v>0.70408800000000005</v>
      </c>
      <c r="P22" s="27">
        <v>6.0000000000000002E-6</v>
      </c>
      <c r="Q22" s="43">
        <f>EXP(C$13*C22*1000000)-1</f>
        <v>8.466782298230946E-4</v>
      </c>
      <c r="R22" s="43">
        <f>C$4-(Q22*C$6)</f>
        <v>0.70442997971039367</v>
      </c>
      <c r="S22" s="27">
        <f>C$2+C$3+O22+C$5</f>
        <v>10.135789380234506</v>
      </c>
      <c r="T22" s="27">
        <f>((100/S22)*C$2)</f>
        <v>0.55735175506076839</v>
      </c>
      <c r="U22" s="27">
        <f>((100/S22)*C$3)</f>
        <v>9.8660297929046301</v>
      </c>
      <c r="V22" s="27">
        <f t="shared" si="0"/>
        <v>6.9465531848266355</v>
      </c>
      <c r="W22" s="27">
        <f>((100/S22)*C$5)</f>
        <v>82.630065267207954</v>
      </c>
      <c r="X22" s="27">
        <f>((T22/100)*C$7)+((U22/100)*C$8)+((V22/100)*C$9)+((W22/100)*C$10)</f>
        <v>87.617166738143595</v>
      </c>
      <c r="Y22" s="27">
        <f>N22*(X22/C$11)*(C$12/U22)</f>
        <v>0.37501030478341518</v>
      </c>
      <c r="Z22" s="44">
        <f t="shared" si="1"/>
        <v>0.70377048693898059</v>
      </c>
      <c r="AA22" s="46">
        <f t="shared" si="2"/>
        <v>-9.3620770042213142</v>
      </c>
    </row>
    <row r="23" spans="1:27" x14ac:dyDescent="0.35">
      <c r="A23" s="19"/>
      <c r="B23" s="23" t="s">
        <v>54</v>
      </c>
      <c r="C23" s="23">
        <v>59.6</v>
      </c>
      <c r="D23" s="23">
        <v>2.8</v>
      </c>
      <c r="E23" s="23" t="s">
        <v>52</v>
      </c>
      <c r="F23" s="25">
        <v>-27.133777777777777</v>
      </c>
      <c r="G23" s="25">
        <v>-70.114833333333337</v>
      </c>
      <c r="H23" s="81" t="s">
        <v>53</v>
      </c>
      <c r="I23" s="26">
        <v>60.700399233469525</v>
      </c>
      <c r="J23" s="26">
        <v>0.72728526127109572</v>
      </c>
      <c r="K23" s="57">
        <v>26.32</v>
      </c>
      <c r="L23" s="57">
        <v>588</v>
      </c>
      <c r="M23" s="26">
        <v>5</v>
      </c>
      <c r="N23" s="26">
        <f>K23/L23</f>
        <v>4.476190476190476E-2</v>
      </c>
      <c r="O23" s="27">
        <v>0.70380500000000001</v>
      </c>
      <c r="P23" s="27">
        <v>1.0000000000000001E-5</v>
      </c>
      <c r="Q23" s="43">
        <f>EXP(C$13*C23*1000000)-1</f>
        <v>8.466782298230946E-4</v>
      </c>
      <c r="R23" s="43">
        <f>C$4-(Q23*C$6)</f>
        <v>0.70442997971039367</v>
      </c>
      <c r="S23" s="27">
        <f>C$2+C$3+O23+C$5</f>
        <v>10.135506380234505</v>
      </c>
      <c r="T23" s="27">
        <f>((100/S23)*C$2)</f>
        <v>0.55736731723800614</v>
      </c>
      <c r="U23" s="27">
        <f>((100/S23)*C$3)</f>
        <v>9.866305268675319</v>
      </c>
      <c r="V23" s="27">
        <f t="shared" si="0"/>
        <v>6.9439549796200328</v>
      </c>
      <c r="W23" s="27">
        <f>((100/S23)*C$5)</f>
        <v>82.632372434466646</v>
      </c>
      <c r="X23" s="27">
        <f>((T23/100)*C$7)+((U23/100)*C$8)+((V23/100)*C$9)+((W23/100)*C$10)</f>
        <v>87.617186514629012</v>
      </c>
      <c r="Y23" s="27">
        <f>N23*(X23/C$11)*(C$12/U23)</f>
        <v>0.12943567560084859</v>
      </c>
      <c r="Z23" s="44">
        <f t="shared" si="1"/>
        <v>0.70369540963130628</v>
      </c>
      <c r="AA23" s="46">
        <f t="shared" si="2"/>
        <v>-10.427865085886889</v>
      </c>
    </row>
    <row r="24" spans="1:27" x14ac:dyDescent="0.35">
      <c r="A24" s="19"/>
      <c r="B24" s="23" t="s">
        <v>55</v>
      </c>
      <c r="C24" s="23">
        <v>59.6</v>
      </c>
      <c r="D24" s="23">
        <v>2.8</v>
      </c>
      <c r="E24" s="23" t="s">
        <v>52</v>
      </c>
      <c r="F24" s="25">
        <v>-27.133777777777777</v>
      </c>
      <c r="G24" s="25">
        <v>-70.114833333333337</v>
      </c>
      <c r="H24" s="81" t="s">
        <v>53</v>
      </c>
      <c r="I24" s="26">
        <v>62.659689589083641</v>
      </c>
      <c r="J24" s="26">
        <v>2.0794926627829815</v>
      </c>
      <c r="K24" s="57">
        <v>36.35</v>
      </c>
      <c r="L24" s="57">
        <v>484.6</v>
      </c>
      <c r="M24" s="26">
        <v>5</v>
      </c>
      <c r="N24" s="26">
        <f>K24/L24</f>
        <v>7.5010317787866279E-2</v>
      </c>
      <c r="O24" s="27">
        <v>0.70394900000000005</v>
      </c>
      <c r="P24" s="27">
        <v>1.1E-5</v>
      </c>
      <c r="Q24" s="43">
        <f>EXP(C$13*C24*1000000)-1</f>
        <v>8.466782298230946E-4</v>
      </c>
      <c r="R24" s="43">
        <f>C$4-(Q24*C$6)</f>
        <v>0.70442997971039367</v>
      </c>
      <c r="S24" s="27">
        <f>C$2+C$3+O24+C$5</f>
        <v>10.135650380234505</v>
      </c>
      <c r="T24" s="27">
        <f>((100/S24)*C$2)</f>
        <v>0.55735939856572836</v>
      </c>
      <c r="U24" s="27">
        <f>((100/S24)*C$3)</f>
        <v>9.8661650953361253</v>
      </c>
      <c r="V24" s="27">
        <f t="shared" si="0"/>
        <v>6.9452770526967704</v>
      </c>
      <c r="W24" s="27">
        <f>((100/S24)*C$5)</f>
        <v>82.631198453401382</v>
      </c>
      <c r="X24" s="27">
        <f>((T24/100)*C$7)+((U24/100)*C$8)+((V24/100)*C$9)+((W24/100)*C$10)</f>
        <v>87.617176451544353</v>
      </c>
      <c r="Y24" s="27">
        <f>N24*(X24/C$11)*(C$12/U24)</f>
        <v>0.21690649754530164</v>
      </c>
      <c r="Z24" s="44">
        <f t="shared" si="1"/>
        <v>0.70376534999062124</v>
      </c>
      <c r="AA24" s="46">
        <f t="shared" si="2"/>
        <v>-9.4350004814625077</v>
      </c>
    </row>
    <row r="25" spans="1:27" x14ac:dyDescent="0.35">
      <c r="A25" s="19"/>
      <c r="B25" s="23" t="s">
        <v>56</v>
      </c>
      <c r="C25" s="23">
        <v>59.6</v>
      </c>
      <c r="D25" s="23">
        <v>2.8</v>
      </c>
      <c r="E25" s="23" t="s">
        <v>52</v>
      </c>
      <c r="F25" s="25">
        <v>-27.133722222222222</v>
      </c>
      <c r="G25" s="25">
        <v>-70.110500000000002</v>
      </c>
      <c r="H25" s="81" t="s">
        <v>53</v>
      </c>
      <c r="I25" s="26">
        <v>51.861804170569542</v>
      </c>
      <c r="J25" s="26">
        <v>1.2522610268539658</v>
      </c>
      <c r="K25" s="57">
        <v>16.91</v>
      </c>
      <c r="L25" s="57">
        <v>584.79999999999995</v>
      </c>
      <c r="M25" s="26">
        <v>5</v>
      </c>
      <c r="N25" s="26">
        <f>K25/L25</f>
        <v>2.891586867305062E-2</v>
      </c>
      <c r="O25" s="27">
        <v>0.70390600000000003</v>
      </c>
      <c r="P25" s="27">
        <v>1.0000000000000001E-5</v>
      </c>
      <c r="Q25" s="43">
        <f>EXP(C$13*C25*1000000)-1</f>
        <v>8.466782298230946E-4</v>
      </c>
      <c r="R25" s="43">
        <f>C$4-(Q25*C$6)</f>
        <v>0.70442997971039367</v>
      </c>
      <c r="S25" s="27">
        <f>C$2+C$3+O25+C$5</f>
        <v>10.135607380234505</v>
      </c>
      <c r="T25" s="27">
        <f>((100/S25)*C$2)</f>
        <v>0.55736176314569275</v>
      </c>
      <c r="U25" s="27">
        <f>((100/S25)*C$3)</f>
        <v>9.8662069522355864</v>
      </c>
      <c r="V25" s="27">
        <f t="shared" si="0"/>
        <v>6.9448822709203428</v>
      </c>
      <c r="W25" s="27">
        <f>((100/S25)*C$5)</f>
        <v>82.631549013698375</v>
      </c>
      <c r="X25" s="27">
        <f>((T25/100)*C$7)+((U25/100)*C$8)+((V25/100)*C$9)+((W25/100)*C$10)</f>
        <v>87.617179456463305</v>
      </c>
      <c r="Y25" s="27">
        <f>N25*(X25/C$11)*(C$12/U25)</f>
        <v>8.3615342376931162E-2</v>
      </c>
      <c r="Z25" s="44">
        <f t="shared" si="1"/>
        <v>0.70383520470993033</v>
      </c>
      <c r="AA25" s="46">
        <f t="shared" si="2"/>
        <v>-8.4433516118642693</v>
      </c>
    </row>
    <row r="26" spans="1:27" x14ac:dyDescent="0.35">
      <c r="A26" s="20"/>
      <c r="B26" s="36" t="s">
        <v>57</v>
      </c>
      <c r="C26" s="37">
        <v>59.6</v>
      </c>
      <c r="D26" s="37">
        <v>2.8</v>
      </c>
      <c r="E26" s="37" t="s">
        <v>52</v>
      </c>
      <c r="F26" s="38">
        <v>-27.137055555555555</v>
      </c>
      <c r="G26" s="38">
        <v>-70.086666666666673</v>
      </c>
      <c r="H26" s="83" t="s">
        <v>53</v>
      </c>
      <c r="I26" s="39">
        <v>56.749704737205676</v>
      </c>
      <c r="J26" s="39">
        <v>0.39538595473010246</v>
      </c>
      <c r="K26" s="58">
        <v>41.93</v>
      </c>
      <c r="L26" s="58">
        <v>899.8</v>
      </c>
      <c r="M26" s="39">
        <v>5</v>
      </c>
      <c r="N26" s="39">
        <f>K26/L26</f>
        <v>4.6599244276505893E-2</v>
      </c>
      <c r="O26" s="40">
        <v>0.70396599999999998</v>
      </c>
      <c r="P26" s="40">
        <v>9.0000000000000002E-6</v>
      </c>
      <c r="Q26" s="41">
        <f>EXP(C$13*C26*1000000)-1</f>
        <v>8.466782298230946E-4</v>
      </c>
      <c r="R26" s="41">
        <f>C$4-(Q26*C$6)</f>
        <v>0.70442997971039367</v>
      </c>
      <c r="S26" s="40">
        <f>C$2+C$3+O26+C$5</f>
        <v>10.135667380234505</v>
      </c>
      <c r="T26" s="40">
        <f>((100/S26)*C$2)</f>
        <v>0.5573584637373229</v>
      </c>
      <c r="U26" s="40">
        <f>((100/S26)*C$3)</f>
        <v>9.8661485473575539</v>
      </c>
      <c r="V26" s="40">
        <f t="shared" si="0"/>
        <v>6.9454331282891077</v>
      </c>
      <c r="W26" s="40">
        <f>((100/S26)*C$5)</f>
        <v>82.63105986061602</v>
      </c>
      <c r="X26" s="40">
        <f>((T26/100)*C$7)+((U26/100)*C$8)+((V26/100)*C$9)+((W26/100)*C$10)</f>
        <v>87.617175263560171</v>
      </c>
      <c r="Y26" s="40">
        <f>N26*(X26/C$11)*(C$12/U26)</f>
        <v>0.13475073801042367</v>
      </c>
      <c r="Z26" s="42">
        <f t="shared" si="1"/>
        <v>0.70385190948367393</v>
      </c>
      <c r="AA26" s="47">
        <f t="shared" si="2"/>
        <v>-8.2062127304316501</v>
      </c>
    </row>
    <row r="27" spans="1:27" x14ac:dyDescent="0.35">
      <c r="A27" s="21" t="s">
        <v>131</v>
      </c>
      <c r="B27" s="23" t="s">
        <v>58</v>
      </c>
      <c r="C27" s="23">
        <v>54</v>
      </c>
      <c r="D27" s="23">
        <v>2</v>
      </c>
      <c r="E27" s="31" t="s">
        <v>59</v>
      </c>
      <c r="F27" s="25">
        <v>-25.631555555555558</v>
      </c>
      <c r="G27" s="25">
        <v>-69.673666666666662</v>
      </c>
      <c r="H27" s="81" t="s">
        <v>60</v>
      </c>
      <c r="I27" s="26">
        <v>61.250083979892601</v>
      </c>
      <c r="J27" s="26">
        <v>1.4244637604522119</v>
      </c>
      <c r="K27" s="57">
        <v>75.38</v>
      </c>
      <c r="L27" s="57">
        <v>508.5</v>
      </c>
      <c r="M27" s="26">
        <v>5</v>
      </c>
      <c r="N27" s="26">
        <f>K27/L27</f>
        <v>0.14823992133726646</v>
      </c>
      <c r="O27" s="27">
        <v>0.70463900000000002</v>
      </c>
      <c r="P27" s="27">
        <v>7.9999999999999996E-6</v>
      </c>
      <c r="Q27" s="43">
        <f>EXP(C$13*C27*1000000)-1</f>
        <v>7.670940662785064E-4</v>
      </c>
      <c r="R27" s="43">
        <f>C$4-(Q27*C$6)</f>
        <v>0.70443656132071875</v>
      </c>
      <c r="S27" s="27">
        <f>C$2+C$3+O27+C$5</f>
        <v>10.136340380234506</v>
      </c>
      <c r="T27" s="27">
        <f>((100/S27)*C$2)</f>
        <v>0.55732145804966593</v>
      </c>
      <c r="U27" s="27">
        <f>((100/S27)*C$3)</f>
        <v>9.8654934866824675</v>
      </c>
      <c r="V27" s="27">
        <f t="shared" si="0"/>
        <v>6.951611464962447</v>
      </c>
      <c r="W27" s="27">
        <f>((100/S27)*C$5)</f>
        <v>82.625573590305422</v>
      </c>
      <c r="X27" s="27">
        <f>((T27/100)*C$7)+((U27/100)*C$8)+((V27/100)*C$9)+((W27/100)*C$10)</f>
        <v>87.617128236564469</v>
      </c>
      <c r="Y27" s="27">
        <f>N27*(X27/C$11)*(C$12/U27)</f>
        <v>0.42869266966729042</v>
      </c>
      <c r="Z27" s="44">
        <f t="shared" si="1"/>
        <v>0.70431015239684114</v>
      </c>
      <c r="AA27" s="46">
        <f t="shared" si="2"/>
        <v>-1.7944685273096894</v>
      </c>
    </row>
    <row r="28" spans="1:27" x14ac:dyDescent="0.35">
      <c r="A28" s="20"/>
      <c r="B28" s="36" t="s">
        <v>61</v>
      </c>
      <c r="C28" s="37">
        <v>54</v>
      </c>
      <c r="D28" s="37">
        <v>2</v>
      </c>
      <c r="E28" s="55" t="s">
        <v>59</v>
      </c>
      <c r="F28" s="38">
        <v>-25.631555555555558</v>
      </c>
      <c r="G28" s="38">
        <v>-69.673666666666662</v>
      </c>
      <c r="H28" s="83" t="s">
        <v>60</v>
      </c>
      <c r="I28" s="39">
        <v>63.85768567539121</v>
      </c>
      <c r="J28" s="39">
        <v>0.96078615466464834</v>
      </c>
      <c r="K28" s="58">
        <v>91.61</v>
      </c>
      <c r="L28" s="58">
        <v>459</v>
      </c>
      <c r="M28" s="39">
        <v>5</v>
      </c>
      <c r="N28" s="39">
        <f>K28/L28</f>
        <v>0.19958605664488016</v>
      </c>
      <c r="O28" s="40">
        <v>0.704735</v>
      </c>
      <c r="P28" s="40">
        <v>7.9999999999999996E-6</v>
      </c>
      <c r="Q28" s="41">
        <f>EXP(C$13*C28*1000000)-1</f>
        <v>7.670940662785064E-4</v>
      </c>
      <c r="R28" s="41">
        <f>C$4-(Q28*C$6)</f>
        <v>0.70443656132071875</v>
      </c>
      <c r="S28" s="40">
        <f>C$2+C$3+O28+C$5</f>
        <v>10.136436380234505</v>
      </c>
      <c r="T28" s="40">
        <f>((100/S28)*C$2)</f>
        <v>0.55731617977849002</v>
      </c>
      <c r="U28" s="40">
        <f>((100/S28)*C$3)</f>
        <v>9.8654000527241035</v>
      </c>
      <c r="V28" s="40">
        <f t="shared" si="0"/>
        <v>6.9524927061565212</v>
      </c>
      <c r="W28" s="40">
        <f>((100/S28)*C$5)</f>
        <v>82.624791061340886</v>
      </c>
      <c r="X28" s="40">
        <f>((T28/100)*C$7)+((U28/100)*C$8)+((V28/100)*C$9)+((W28/100)*C$10)</f>
        <v>87.617121528913529</v>
      </c>
      <c r="Y28" s="40">
        <f>N28*(X28/C$11)*(C$12/U28)</f>
        <v>0.5771851635341021</v>
      </c>
      <c r="Z28" s="42">
        <f t="shared" si="1"/>
        <v>0.70429224468590901</v>
      </c>
      <c r="AA28" s="47">
        <f t="shared" si="2"/>
        <v>-2.048681779650563</v>
      </c>
    </row>
    <row r="29" spans="1:27" x14ac:dyDescent="0.35">
      <c r="A29" s="21" t="s">
        <v>132</v>
      </c>
      <c r="B29" s="23" t="s">
        <v>62</v>
      </c>
      <c r="C29" s="23">
        <v>66</v>
      </c>
      <c r="D29" s="23">
        <v>2</v>
      </c>
      <c r="E29" s="23" t="s">
        <v>63</v>
      </c>
      <c r="F29" s="25">
        <v>-23.026</v>
      </c>
      <c r="G29" s="25">
        <v>-69.529833333333343</v>
      </c>
      <c r="H29" s="81" t="s">
        <v>64</v>
      </c>
      <c r="I29" s="26">
        <v>65.492269012265908</v>
      </c>
      <c r="J29" s="26">
        <v>1.8118015028416468</v>
      </c>
      <c r="K29" s="57">
        <v>249.3</v>
      </c>
      <c r="L29" s="57">
        <v>200.5</v>
      </c>
      <c r="M29" s="26">
        <v>5</v>
      </c>
      <c r="N29" s="26">
        <f>K29/L29</f>
        <v>1.2433915211970075</v>
      </c>
      <c r="O29" s="27">
        <v>0.70818500000000006</v>
      </c>
      <c r="P29" s="27">
        <v>9.0000000000000002E-6</v>
      </c>
      <c r="Q29" s="43">
        <f>EXP(C$13*C29*1000000)-1</f>
        <v>9.3763930914936289E-4</v>
      </c>
      <c r="R29" s="43">
        <f>C$4-(Q29*C$6)</f>
        <v>0.70442245722913333</v>
      </c>
      <c r="S29" s="27">
        <f>C$2+C$3+O29+C$5</f>
        <v>10.139886380234506</v>
      </c>
      <c r="T29" s="27">
        <f>((100/S29)*C$2)</f>
        <v>0.55712655824348112</v>
      </c>
      <c r="U29" s="27">
        <f>((100/S29)*C$3)</f>
        <v>9.8620434440890943</v>
      </c>
      <c r="V29" s="27">
        <f t="shared" si="0"/>
        <v>6.9841512364522362</v>
      </c>
      <c r="W29" s="27">
        <f>((100/S29)*C$5)</f>
        <v>82.596678761215188</v>
      </c>
      <c r="X29" s="27">
        <f>((T29/100)*C$7)+((U29/100)*C$8)+((V29/100)*C$9)+((W29/100)*C$10)</f>
        <v>87.616880557006837</v>
      </c>
      <c r="Y29" s="27">
        <f>N29*(X29/C$11)*(C$12/U29)</f>
        <v>3.5969918873131941</v>
      </c>
      <c r="Z29" s="44">
        <f t="shared" si="1"/>
        <v>0.70481231901176389</v>
      </c>
      <c r="AA29" s="46">
        <f t="shared" si="2"/>
        <v>5.5344882694985387</v>
      </c>
    </row>
    <row r="30" spans="1:27" x14ac:dyDescent="0.35">
      <c r="A30" s="19"/>
      <c r="B30" s="23" t="s">
        <v>65</v>
      </c>
      <c r="C30" s="23">
        <v>66</v>
      </c>
      <c r="D30" s="23">
        <v>2</v>
      </c>
      <c r="E30" s="23" t="s">
        <v>63</v>
      </c>
      <c r="F30" s="25">
        <v>-23.007527777777778</v>
      </c>
      <c r="G30" s="25">
        <v>-69.534333333333336</v>
      </c>
      <c r="H30" s="81" t="s">
        <v>66</v>
      </c>
      <c r="I30" s="26">
        <v>62.486057434184652</v>
      </c>
      <c r="J30" s="26">
        <v>1.7701651915289558</v>
      </c>
      <c r="K30" s="57">
        <v>267.39999999999998</v>
      </c>
      <c r="L30" s="57">
        <v>190.7</v>
      </c>
      <c r="M30" s="26">
        <v>5</v>
      </c>
      <c r="N30" s="26">
        <f>K30/L30</f>
        <v>1.4022024121657053</v>
      </c>
      <c r="O30" s="27">
        <v>0.70877299999999999</v>
      </c>
      <c r="P30" s="27">
        <v>1.1E-5</v>
      </c>
      <c r="Q30" s="43">
        <f>EXP(C$13*C30*1000000)-1</f>
        <v>9.3763930914936289E-4</v>
      </c>
      <c r="R30" s="43">
        <f>C$4-(Q30*C$6)</f>
        <v>0.70442245722913333</v>
      </c>
      <c r="S30" s="27">
        <f>C$2+C$3+O30+C$5</f>
        <v>10.140474380234505</v>
      </c>
      <c r="T30" s="27">
        <f>((100/S30)*C$2)</f>
        <v>0.55709425300765458</v>
      </c>
      <c r="U30" s="27">
        <f>((100/S30)*C$3)</f>
        <v>9.8614715890330409</v>
      </c>
      <c r="V30" s="27">
        <f t="shared" si="0"/>
        <v>6.9895448025737155</v>
      </c>
      <c r="W30" s="27">
        <f>((100/S30)*C$5)</f>
        <v>82.59188935538559</v>
      </c>
      <c r="X30" s="27">
        <f>((T30/100)*C$7)+((U30/100)*C$8)+((V30/100)*C$9)+((W30/100)*C$10)</f>
        <v>87.61683950336662</v>
      </c>
      <c r="Y30" s="27">
        <f>N30*(X30/C$11)*(C$12/U30)</f>
        <v>4.0566472670436964</v>
      </c>
      <c r="Z30" s="44">
        <f t="shared" si="1"/>
        <v>0.70496932805906654</v>
      </c>
      <c r="AA30" s="46">
        <f t="shared" si="2"/>
        <v>7.7633928947173914</v>
      </c>
    </row>
    <row r="31" spans="1:27" x14ac:dyDescent="0.35">
      <c r="A31" s="19"/>
      <c r="B31" s="23" t="s">
        <v>67</v>
      </c>
      <c r="C31" s="23">
        <v>66</v>
      </c>
      <c r="D31" s="23">
        <v>2</v>
      </c>
      <c r="E31" s="23" t="s">
        <v>63</v>
      </c>
      <c r="F31" s="25">
        <v>-23.007527777777778</v>
      </c>
      <c r="G31" s="25">
        <v>-69.534333333333336</v>
      </c>
      <c r="H31" s="81" t="s">
        <v>68</v>
      </c>
      <c r="I31" s="26">
        <v>52.006967119459318</v>
      </c>
      <c r="J31" s="26">
        <v>1.2742654544177037</v>
      </c>
      <c r="K31" s="57">
        <v>34.39</v>
      </c>
      <c r="L31" s="57">
        <v>361.1</v>
      </c>
      <c r="M31" s="26">
        <v>5</v>
      </c>
      <c r="N31" s="26">
        <f>K31/L31</f>
        <v>9.5236776516200494E-2</v>
      </c>
      <c r="O31" s="27">
        <v>0.70467000000000002</v>
      </c>
      <c r="P31" s="27">
        <v>1.1E-5</v>
      </c>
      <c r="Q31" s="43">
        <f>EXP(C$13*C31*1000000)-1</f>
        <v>9.3763930914936289E-4</v>
      </c>
      <c r="R31" s="43">
        <f>C$4-(Q31*C$6)</f>
        <v>0.70442245722913333</v>
      </c>
      <c r="S31" s="27">
        <f>C$2+C$3+O31+C$5</f>
        <v>10.136371380234506</v>
      </c>
      <c r="T31" s="27">
        <f>((100/S31)*C$2)</f>
        <v>0.55731975359700214</v>
      </c>
      <c r="U31" s="27">
        <f>((100/S31)*C$3)</f>
        <v>9.8654633151066022</v>
      </c>
      <c r="V31" s="27">
        <f t="shared" si="0"/>
        <v>6.95189603425617</v>
      </c>
      <c r="W31" s="27">
        <f>((100/S31)*C$5)</f>
        <v>82.625320897040211</v>
      </c>
      <c r="X31" s="27">
        <f>((T31/100)*C$7)+((U31/100)*C$8)+((V31/100)*C$9)+((W31/100)*C$10)</f>
        <v>87.617126070538291</v>
      </c>
      <c r="Y31" s="27">
        <f>N31*(X31/C$11)*(C$12/U31)</f>
        <v>0.27541455405465043</v>
      </c>
      <c r="Z31" s="44">
        <f t="shared" si="1"/>
        <v>0.70441176048780652</v>
      </c>
      <c r="AA31" s="46">
        <f t="shared" si="2"/>
        <v>-0.15185122531291562</v>
      </c>
    </row>
    <row r="32" spans="1:27" x14ac:dyDescent="0.35">
      <c r="A32" s="20"/>
      <c r="B32" s="36" t="s">
        <v>69</v>
      </c>
      <c r="C32" s="37">
        <v>66</v>
      </c>
      <c r="D32" s="37">
        <v>2</v>
      </c>
      <c r="E32" s="37" t="s">
        <v>63</v>
      </c>
      <c r="F32" s="38">
        <v>-23.014166666666668</v>
      </c>
      <c r="G32" s="38">
        <v>-69.488666666666674</v>
      </c>
      <c r="H32" s="83" t="s">
        <v>70</v>
      </c>
      <c r="I32" s="39">
        <v>53.888888887022595</v>
      </c>
      <c r="J32" s="39">
        <v>1.0489510489511162</v>
      </c>
      <c r="K32" s="58">
        <v>51.55</v>
      </c>
      <c r="L32" s="58">
        <v>299.39999999999998</v>
      </c>
      <c r="M32" s="39">
        <v>5</v>
      </c>
      <c r="N32" s="39">
        <f>K32/L32</f>
        <v>0.17217768871075484</v>
      </c>
      <c r="O32" s="40">
        <v>0.70515800000000006</v>
      </c>
      <c r="P32" s="40">
        <v>9.0000000000000002E-6</v>
      </c>
      <c r="Q32" s="41">
        <f>EXP(C$13*C32*1000000)-1</f>
        <v>9.3763930914936289E-4</v>
      </c>
      <c r="R32" s="41">
        <f>C$4-(Q32*C$6)</f>
        <v>0.70442245722913333</v>
      </c>
      <c r="S32" s="40">
        <f>C$2+C$3+O32+C$5</f>
        <v>10.136859380234505</v>
      </c>
      <c r="T32" s="40">
        <f>((100/S32)*C$2)</f>
        <v>0.55729292358688243</v>
      </c>
      <c r="U32" s="40">
        <f>((100/S32)*C$3)</f>
        <v>9.8649883804234655</v>
      </c>
      <c r="V32" s="40">
        <f t="shared" si="0"/>
        <v>6.9563754763626511</v>
      </c>
      <c r="W32" s="40">
        <f>((100/S32)*C$5)</f>
        <v>82.621343219627008</v>
      </c>
      <c r="X32" s="40">
        <f>((T32/100)*C$7)+((U32/100)*C$8)+((V32/100)*C$9)+((W32/100)*C$10)</f>
        <v>87.617091974839752</v>
      </c>
      <c r="Y32" s="40">
        <f>N32*(X32/C$11)*(C$12/U32)</f>
        <v>0.49794320649548457</v>
      </c>
      <c r="Z32" s="42">
        <f t="shared" si="1"/>
        <v>0.70469110887586606</v>
      </c>
      <c r="AA32" s="47">
        <f t="shared" si="2"/>
        <v>3.8137859458586831</v>
      </c>
    </row>
    <row r="33" spans="1:27" x14ac:dyDescent="0.35">
      <c r="A33" s="21" t="s">
        <v>133</v>
      </c>
      <c r="B33" s="23" t="s">
        <v>71</v>
      </c>
      <c r="C33" s="23">
        <v>45</v>
      </c>
      <c r="D33" s="23">
        <v>1.5</v>
      </c>
      <c r="E33" s="23" t="s">
        <v>72</v>
      </c>
      <c r="F33" s="25">
        <v>-23.181083333333333</v>
      </c>
      <c r="G33" s="25">
        <v>-69.224666666666678</v>
      </c>
      <c r="H33" s="81" t="s">
        <v>73</v>
      </c>
      <c r="I33" s="26">
        <v>56.734686943084441</v>
      </c>
      <c r="J33" s="26">
        <v>1.7571743929359658</v>
      </c>
      <c r="K33" s="57">
        <v>94.57</v>
      </c>
      <c r="L33" s="57">
        <v>578.4</v>
      </c>
      <c r="M33" s="26">
        <v>5</v>
      </c>
      <c r="N33" s="26">
        <f>K33/L33</f>
        <v>0.16350276625172891</v>
      </c>
      <c r="O33" s="27">
        <v>0.70488899999999999</v>
      </c>
      <c r="P33" s="27">
        <v>7.9999999999999996E-6</v>
      </c>
      <c r="Q33" s="43">
        <f>EXP(C$13*C33*1000000)-1</f>
        <v>6.3920420399310451E-4</v>
      </c>
      <c r="R33" s="43">
        <f>C$4-(Q33*C$6)</f>
        <v>0.70444713781232982</v>
      </c>
      <c r="S33" s="27">
        <f>C$2+C$3+O33+C$5</f>
        <v>10.136590380234505</v>
      </c>
      <c r="T33" s="27">
        <f>((100/S33)*C$2)</f>
        <v>0.55730771276064017</v>
      </c>
      <c r="U33" s="27">
        <f>((100/S33)*C$3)</f>
        <v>9.8652501727791577</v>
      </c>
      <c r="V33" s="27">
        <f t="shared" si="0"/>
        <v>6.9539063290401275</v>
      </c>
      <c r="W33" s="27">
        <f>((100/S33)*C$5)</f>
        <v>82.623535785420074</v>
      </c>
      <c r="X33" s="27">
        <f>((T33/100)*C$7)+((U33/100)*C$8)+((V33/100)*C$9)+((W33/100)*C$10)</f>
        <v>87.617110768988852</v>
      </c>
      <c r="Y33" s="27">
        <f>N33*(X33/C$11)*(C$12/U33)</f>
        <v>0.47284261551936763</v>
      </c>
      <c r="Z33" s="44">
        <f t="shared" si="1"/>
        <v>0.70458675701233286</v>
      </c>
      <c r="AA33" s="46">
        <f t="shared" si="2"/>
        <v>1.9819684474353672</v>
      </c>
    </row>
    <row r="34" spans="1:27" x14ac:dyDescent="0.35">
      <c r="A34" s="20"/>
      <c r="B34" s="36" t="s">
        <v>74</v>
      </c>
      <c r="C34" s="37">
        <v>45</v>
      </c>
      <c r="D34" s="37">
        <v>1.5</v>
      </c>
      <c r="E34" s="37" t="s">
        <v>72</v>
      </c>
      <c r="F34" s="38">
        <v>-23.181083333333333</v>
      </c>
      <c r="G34" s="38">
        <v>-69.224666666666678</v>
      </c>
      <c r="H34" s="83" t="s">
        <v>60</v>
      </c>
      <c r="I34" s="39">
        <v>57.403575609405209</v>
      </c>
      <c r="J34" s="39">
        <v>1.3497109826588947</v>
      </c>
      <c r="K34" s="58">
        <v>105.1</v>
      </c>
      <c r="L34" s="58">
        <v>1969</v>
      </c>
      <c r="M34" s="39">
        <v>5</v>
      </c>
      <c r="N34" s="39">
        <f>K34/L34</f>
        <v>5.3377348908075162E-2</v>
      </c>
      <c r="O34" s="40">
        <v>0.70422800000000008</v>
      </c>
      <c r="P34" s="40">
        <v>9.0000000000000002E-6</v>
      </c>
      <c r="Q34" s="41">
        <f>EXP(C$13*C34*1000000)-1</f>
        <v>6.3920420399310451E-4</v>
      </c>
      <c r="R34" s="41">
        <f>C$4-(Q34*C$6)</f>
        <v>0.70444713781232982</v>
      </c>
      <c r="S34" s="40">
        <f>C$2+C$3+O34+C$5</f>
        <v>10.135929380234504</v>
      </c>
      <c r="T34" s="40">
        <f>((100/S34)*C$2)</f>
        <v>0.55734405677847187</v>
      </c>
      <c r="U34" s="40">
        <f>((100/S34)*C$3)</f>
        <v>9.865893520825459</v>
      </c>
      <c r="V34" s="40">
        <f t="shared" si="0"/>
        <v>6.9478384623838725</v>
      </c>
      <c r="W34" s="40">
        <f>((100/S34)*C$5)</f>
        <v>82.628923960012216</v>
      </c>
      <c r="X34" s="40">
        <f>((T34/100)*C$7)+((U34/100)*C$8)+((V34/100)*C$9)+((W34/100)*C$10)</f>
        <v>87.617156955131549</v>
      </c>
      <c r="Y34" s="40">
        <f>N34*(X34/C$11)*(C$12/U34)</f>
        <v>0.15435489763347043</v>
      </c>
      <c r="Z34" s="42">
        <f t="shared" si="1"/>
        <v>0.70412933570052583</v>
      </c>
      <c r="AA34" s="47">
        <f t="shared" si="2"/>
        <v>-4.5113691964304703</v>
      </c>
    </row>
    <row r="35" spans="1:27" ht="15" thickBot="1" x14ac:dyDescent="0.4">
      <c r="A35" s="22" t="s">
        <v>134</v>
      </c>
      <c r="B35" s="48" t="s">
        <v>75</v>
      </c>
      <c r="C35" s="48">
        <v>60</v>
      </c>
      <c r="D35" s="48">
        <v>2.2000000000000002</v>
      </c>
      <c r="E35" s="48" t="s">
        <v>76</v>
      </c>
      <c r="F35" s="49">
        <v>-24.684888888888889</v>
      </c>
      <c r="G35" s="49">
        <v>-69.819500000000005</v>
      </c>
      <c r="H35" s="82" t="s">
        <v>77</v>
      </c>
      <c r="I35" s="50">
        <v>60.283752123613539</v>
      </c>
      <c r="J35" s="50">
        <v>2.2938579172200986</v>
      </c>
      <c r="K35" s="59">
        <v>111.7</v>
      </c>
      <c r="L35" s="59">
        <v>570.6</v>
      </c>
      <c r="M35" s="50">
        <v>5</v>
      </c>
      <c r="N35" s="50">
        <f>K35/L35</f>
        <v>0.19575885033298282</v>
      </c>
      <c r="O35" s="51">
        <v>0.70485500000000001</v>
      </c>
      <c r="P35" s="51">
        <v>9.0000000000000002E-6</v>
      </c>
      <c r="Q35" s="52">
        <f>EXP(C$13*C35*1000000)-1</f>
        <v>8.5236305510028032E-4</v>
      </c>
      <c r="R35" s="52">
        <f>C$4-(Q35*C$6)</f>
        <v>0.70442950957534323</v>
      </c>
      <c r="S35" s="51">
        <f>C$2+C$3+O35+C$5</f>
        <v>10.136556380234506</v>
      </c>
      <c r="T35" s="51">
        <f>((100/S35)*C$2)</f>
        <v>0.5573095820801135</v>
      </c>
      <c r="U35" s="51">
        <f>((100/S35)*C$3)</f>
        <v>9.8652832627648781</v>
      </c>
      <c r="V35" s="51">
        <f t="shared" si="0"/>
        <v>6.9535942341761379</v>
      </c>
      <c r="W35" s="51">
        <f>((100/S35)*C$5)</f>
        <v>82.623812920978878</v>
      </c>
      <c r="X35" s="51">
        <f>((T35/100)*C$7)+((U35/100)*C$8)+((V35/100)*C$9)+((W35/100)*C$10)</f>
        <v>87.617113144528503</v>
      </c>
      <c r="Y35" s="51">
        <f>N35*(X35/C$11)*(C$12/U35)</f>
        <v>0.56612387031896827</v>
      </c>
      <c r="Z35" s="53">
        <f t="shared" si="1"/>
        <v>0.70437245692832973</v>
      </c>
      <c r="AA35" s="54">
        <f t="shared" si="2"/>
        <v>-0.80991279095998792</v>
      </c>
    </row>
    <row r="36" spans="1:27" x14ac:dyDescent="0.35">
      <c r="A36" s="56"/>
      <c r="B36" s="23"/>
      <c r="C36" s="23"/>
      <c r="D36" s="23"/>
      <c r="E36" s="23"/>
      <c r="F36" s="25"/>
      <c r="G36" s="25"/>
      <c r="H36" s="23"/>
      <c r="I36" s="26"/>
      <c r="J36" s="26"/>
      <c r="K36" s="26"/>
      <c r="L36" s="26"/>
      <c r="M36" s="26"/>
      <c r="N36" s="26"/>
      <c r="O36" s="27"/>
      <c r="P36" s="27"/>
      <c r="Q36" s="43"/>
      <c r="R36" s="43"/>
      <c r="S36" s="27"/>
      <c r="T36" s="27"/>
      <c r="U36" s="27"/>
      <c r="V36" s="27"/>
      <c r="W36" s="27"/>
      <c r="X36" s="27"/>
      <c r="Y36" s="27"/>
      <c r="Z36" s="44"/>
      <c r="AA36" s="27"/>
    </row>
    <row r="37" spans="1:27" x14ac:dyDescent="0.35">
      <c r="B37" s="23"/>
      <c r="C37" s="23"/>
      <c r="D37" s="23"/>
      <c r="E37" s="23"/>
      <c r="F37" s="25"/>
      <c r="G37" s="25"/>
      <c r="H37" s="23"/>
      <c r="I37" s="26"/>
      <c r="J37" s="26"/>
      <c r="K37" s="26"/>
      <c r="L37" s="26"/>
      <c r="M37" s="26"/>
      <c r="N37" s="26"/>
      <c r="O37" s="27"/>
      <c r="P37" s="27"/>
      <c r="Q37" s="43"/>
      <c r="R37" s="43"/>
      <c r="S37" s="27"/>
      <c r="T37" s="27"/>
      <c r="U37" s="27"/>
      <c r="V37" s="27"/>
      <c r="W37" s="27"/>
      <c r="X37" s="27"/>
      <c r="Y37" s="27"/>
      <c r="Z37" s="44"/>
      <c r="AA37" s="27"/>
    </row>
    <row r="38" spans="1:27" ht="15" thickBot="1" x14ac:dyDescent="0.4">
      <c r="A38" s="56" t="s">
        <v>150</v>
      </c>
      <c r="B38" s="6"/>
      <c r="C38" s="6"/>
      <c r="D38" s="6"/>
      <c r="E38" s="6"/>
      <c r="F38" s="7"/>
      <c r="G38" s="7"/>
      <c r="H38" s="6"/>
      <c r="I38" s="8"/>
      <c r="J38" s="8"/>
      <c r="K38" s="8"/>
      <c r="L38" s="8"/>
      <c r="M38" s="8"/>
      <c r="N38" s="8"/>
      <c r="O38" s="9"/>
      <c r="P38" s="9"/>
      <c r="Q38" s="10"/>
      <c r="R38" s="10"/>
      <c r="Z38" s="11"/>
    </row>
    <row r="39" spans="1:27" ht="29" customHeight="1" thickBot="1" x14ac:dyDescent="0.4">
      <c r="A39" s="66"/>
      <c r="B39" s="79"/>
      <c r="C39" s="97" t="s">
        <v>137</v>
      </c>
      <c r="D39" s="97"/>
      <c r="E39" s="98" t="s">
        <v>138</v>
      </c>
      <c r="F39" s="98"/>
      <c r="G39" s="98"/>
      <c r="H39" s="98"/>
      <c r="I39" s="99" t="s">
        <v>139</v>
      </c>
      <c r="J39" s="99"/>
      <c r="K39" s="100" t="s">
        <v>117</v>
      </c>
      <c r="L39" s="101"/>
      <c r="M39" s="102" t="s">
        <v>117</v>
      </c>
      <c r="N39" s="103" t="s">
        <v>115</v>
      </c>
      <c r="O39" s="103" t="s">
        <v>116</v>
      </c>
      <c r="P39" s="102" t="s">
        <v>117</v>
      </c>
      <c r="Q39" s="102" t="s">
        <v>116</v>
      </c>
      <c r="R39" s="102" t="s">
        <v>115</v>
      </c>
      <c r="S39" s="104" t="s">
        <v>140</v>
      </c>
      <c r="X39" s="11"/>
    </row>
    <row r="40" spans="1:27" ht="15" thickBot="1" x14ac:dyDescent="0.4">
      <c r="A40" s="18" t="s">
        <v>128</v>
      </c>
      <c r="B40" s="80" t="s">
        <v>19</v>
      </c>
      <c r="C40" s="76" t="s">
        <v>28</v>
      </c>
      <c r="D40" s="76" t="s">
        <v>29</v>
      </c>
      <c r="E40" s="76" t="s">
        <v>120</v>
      </c>
      <c r="F40" s="76" t="s">
        <v>121</v>
      </c>
      <c r="G40" s="76" t="s">
        <v>123</v>
      </c>
      <c r="H40" s="76" t="s">
        <v>124</v>
      </c>
      <c r="I40" s="76" t="s">
        <v>122</v>
      </c>
      <c r="J40" s="76" t="s">
        <v>125</v>
      </c>
      <c r="K40" s="76" t="s">
        <v>30</v>
      </c>
      <c r="L40" s="76" t="s">
        <v>118</v>
      </c>
      <c r="M40" s="77" t="s">
        <v>40</v>
      </c>
      <c r="N40" s="77" t="s">
        <v>40</v>
      </c>
      <c r="O40" s="77" t="s">
        <v>40</v>
      </c>
      <c r="P40" s="77" t="s">
        <v>41</v>
      </c>
      <c r="Q40" s="77" t="s">
        <v>41</v>
      </c>
      <c r="R40" s="77" t="s">
        <v>41</v>
      </c>
      <c r="S40" s="78" t="s">
        <v>126</v>
      </c>
      <c r="T40" s="61"/>
      <c r="U40" s="61"/>
      <c r="V40" s="14"/>
      <c r="W40" s="14"/>
    </row>
    <row r="41" spans="1:27" x14ac:dyDescent="0.35">
      <c r="A41" s="19" t="s">
        <v>129</v>
      </c>
      <c r="B41" s="81" t="s">
        <v>43</v>
      </c>
      <c r="C41" s="60">
        <v>63.61</v>
      </c>
      <c r="D41" s="60">
        <v>584.29999999999995</v>
      </c>
      <c r="E41" s="64">
        <f>C41+(C41*0.05)</f>
        <v>66.790499999999994</v>
      </c>
      <c r="F41" s="9">
        <f>D41+(D41*0.05)</f>
        <v>613.51499999999999</v>
      </c>
      <c r="G41" s="64">
        <f>C41-(C41*0.05)</f>
        <v>60.429499999999997</v>
      </c>
      <c r="H41" s="9">
        <f>D41-(D41*0.05)</f>
        <v>555.08499999999992</v>
      </c>
      <c r="I41" s="62">
        <f>E41/H41</f>
        <v>0.1203248151184053</v>
      </c>
      <c r="J41" s="62">
        <f>G41/F41</f>
        <v>9.8497184257923601E-2</v>
      </c>
      <c r="K41" s="64">
        <v>0.10886530891665241</v>
      </c>
      <c r="L41" s="8">
        <f>((K41-J41)/K41)*100</f>
        <v>9.5238095238095362</v>
      </c>
      <c r="M41" s="63">
        <v>0.31484705049667233</v>
      </c>
      <c r="N41" s="63">
        <f>I41*(X17/C$11)*(C$12/U17)</f>
        <v>0.34798884528579571</v>
      </c>
      <c r="O41" s="63">
        <f>J41*(X17/C$11)*(C$12/U17)</f>
        <v>0.28486161711603686</v>
      </c>
      <c r="P41" s="13">
        <v>0.70521520945542604</v>
      </c>
      <c r="Q41" s="13">
        <f>O17-(N41*Q17)</f>
        <v>0.70520344202968144</v>
      </c>
      <c r="R41" s="13">
        <f>O17-(O41*Q17)</f>
        <v>0.70522585617395694</v>
      </c>
      <c r="S41" s="67">
        <f>P41-Q41</f>
        <v>1.17674257446021E-5</v>
      </c>
      <c r="T41" s="13"/>
      <c r="U41" s="13"/>
      <c r="V41" s="9"/>
      <c r="W41" s="13"/>
      <c r="X41" s="11"/>
    </row>
    <row r="42" spans="1:27" x14ac:dyDescent="0.35">
      <c r="A42" s="19"/>
      <c r="B42" s="81" t="s">
        <v>46</v>
      </c>
      <c r="C42" s="60">
        <v>49.98</v>
      </c>
      <c r="D42" s="60">
        <v>555.70000000000005</v>
      </c>
      <c r="E42" s="64">
        <f>C42+(C42*0.05)</f>
        <v>52.478999999999999</v>
      </c>
      <c r="F42" s="9">
        <f>D42+(D42*0.05)</f>
        <v>583.48500000000001</v>
      </c>
      <c r="G42" s="64">
        <f>C42-(C42*0.05)</f>
        <v>47.480999999999995</v>
      </c>
      <c r="H42" s="9">
        <f>D42-(D42*0.05)</f>
        <v>527.91500000000008</v>
      </c>
      <c r="I42" s="62">
        <f>E42/H42</f>
        <v>9.9408048644194599E-2</v>
      </c>
      <c r="J42" s="62">
        <f>G42/F42</f>
        <v>8.1374842540939338E-2</v>
      </c>
      <c r="K42" s="64">
        <v>8.9940615439985591E-2</v>
      </c>
      <c r="L42" s="8">
        <f t="shared" ref="L42:L59" si="3">((K42-J42)/K42)*100</f>
        <v>9.5238095238095308</v>
      </c>
      <c r="M42" s="63">
        <v>0.26009513665630157</v>
      </c>
      <c r="N42" s="63">
        <f t="shared" ref="N42:N59" si="4">I42*(X18/C$11)*(C$12/U18)</f>
        <v>0.28747357209380697</v>
      </c>
      <c r="O42" s="63">
        <f t="shared" ref="O42:O59" si="5">J42*(X18/C$11)*(C$12/U18)</f>
        <v>0.23532417126046329</v>
      </c>
      <c r="P42" s="13">
        <v>0.70444064983530275</v>
      </c>
      <c r="Q42" s="13">
        <f t="shared" ref="Q42:Q59" si="6">O18-(N42*Q18)</f>
        <v>0.70443092876533453</v>
      </c>
      <c r="R42" s="13">
        <f t="shared" ref="R42:R59" si="7">O18-(O42*Q18)</f>
        <v>0.70444944508908347</v>
      </c>
      <c r="S42" s="67">
        <f t="shared" ref="S42:S59" si="8">P42-Q42</f>
        <v>9.7210699682159785E-6</v>
      </c>
      <c r="T42" s="13"/>
      <c r="U42" s="13"/>
      <c r="V42" s="9"/>
      <c r="W42" s="13"/>
      <c r="X42" s="11"/>
    </row>
    <row r="43" spans="1:27" x14ac:dyDescent="0.35">
      <c r="A43" s="19"/>
      <c r="B43" s="81" t="s">
        <v>48</v>
      </c>
      <c r="C43" s="60">
        <v>51.4</v>
      </c>
      <c r="D43" s="60">
        <v>607.9</v>
      </c>
      <c r="E43" s="64">
        <f>C43+(C43*0.05)</f>
        <v>53.97</v>
      </c>
      <c r="F43" s="9">
        <f>D43+(D43*0.05)</f>
        <v>638.29499999999996</v>
      </c>
      <c r="G43" s="64">
        <f>C43-(C43*0.05)</f>
        <v>48.83</v>
      </c>
      <c r="H43" s="9">
        <f>D43-(D43*0.05)</f>
        <v>577.505</v>
      </c>
      <c r="I43" s="62">
        <f>E43/H43</f>
        <v>9.3453736331287174E-2</v>
      </c>
      <c r="J43" s="62">
        <f>G43/F43</f>
        <v>7.6500677586382473E-2</v>
      </c>
      <c r="K43" s="64">
        <v>8.4553380490212202E-2</v>
      </c>
      <c r="L43" s="8">
        <f t="shared" si="3"/>
        <v>9.5238095238095184</v>
      </c>
      <c r="M43" s="63">
        <v>0.24451670921377089</v>
      </c>
      <c r="N43" s="63">
        <f t="shared" si="4"/>
        <v>0.27025531018364152</v>
      </c>
      <c r="O43" s="63">
        <f t="shared" si="5"/>
        <v>0.22122940357436413</v>
      </c>
      <c r="P43" s="13">
        <v>0.70447418115879656</v>
      </c>
      <c r="Q43" s="13">
        <f t="shared" si="6"/>
        <v>0.70446504233340679</v>
      </c>
      <c r="R43" s="13">
        <f t="shared" si="7"/>
        <v>0.70448244961986362</v>
      </c>
      <c r="S43" s="67">
        <f t="shared" si="8"/>
        <v>9.1388253897761729E-6</v>
      </c>
      <c r="T43" s="13"/>
      <c r="U43" s="13"/>
      <c r="V43" s="9"/>
      <c r="W43" s="13"/>
      <c r="X43" s="11"/>
    </row>
    <row r="44" spans="1:27" x14ac:dyDescent="0.35">
      <c r="A44" s="19"/>
      <c r="B44" s="81" t="s">
        <v>49</v>
      </c>
      <c r="C44" s="60">
        <v>34.49</v>
      </c>
      <c r="D44" s="60">
        <v>492.2</v>
      </c>
      <c r="E44" s="64">
        <f>C44+(C44*0.05)</f>
        <v>36.214500000000001</v>
      </c>
      <c r="F44" s="9">
        <f>D44+(D44*0.05)</f>
        <v>516.80999999999995</v>
      </c>
      <c r="G44" s="64">
        <f>C44-(C44*0.05)</f>
        <v>32.765500000000003</v>
      </c>
      <c r="H44" s="9">
        <f>D44-(D44*0.05)</f>
        <v>467.59</v>
      </c>
      <c r="I44" s="62">
        <f>E44/H44</f>
        <v>7.7449261104814052E-2</v>
      </c>
      <c r="J44" s="62">
        <f>G44/F44</f>
        <v>6.3399508523441894E-2</v>
      </c>
      <c r="K44" s="64">
        <v>7.0073140999593664E-2</v>
      </c>
      <c r="L44" s="8">
        <f t="shared" si="3"/>
        <v>9.5238095238095113</v>
      </c>
      <c r="M44" s="63">
        <v>0.20263959403467391</v>
      </c>
      <c r="N44" s="63">
        <f t="shared" si="4"/>
        <v>0.2239700776172712</v>
      </c>
      <c r="O44" s="63">
        <f t="shared" si="5"/>
        <v>0.18334058507899073</v>
      </c>
      <c r="P44" s="13">
        <v>0.70437505017377922</v>
      </c>
      <c r="Q44" s="13">
        <f t="shared" si="6"/>
        <v>0.70436747650786125</v>
      </c>
      <c r="R44" s="13">
        <f t="shared" si="7"/>
        <v>0.70438190253818123</v>
      </c>
      <c r="S44" s="67">
        <f t="shared" si="8"/>
        <v>7.5736659179703736E-6</v>
      </c>
      <c r="T44" s="13"/>
      <c r="U44" s="13"/>
      <c r="V44" s="9"/>
      <c r="W44" s="13"/>
      <c r="X44" s="11"/>
    </row>
    <row r="45" spans="1:27" x14ac:dyDescent="0.35">
      <c r="A45" s="20"/>
      <c r="B45" s="15" t="s">
        <v>50</v>
      </c>
      <c r="C45" s="60">
        <v>54.65</v>
      </c>
      <c r="D45" s="60">
        <v>577.9</v>
      </c>
      <c r="E45" s="64">
        <f>C45+(C45*0.05)</f>
        <v>57.3825</v>
      </c>
      <c r="F45" s="9">
        <f>D45+(D45*0.05)</f>
        <v>606.79499999999996</v>
      </c>
      <c r="G45" s="64">
        <f>C45-(C45*0.05)</f>
        <v>51.917499999999997</v>
      </c>
      <c r="H45" s="9">
        <f>D45-(D45*0.05)</f>
        <v>549.005</v>
      </c>
      <c r="I45" s="62">
        <f>E45/H45</f>
        <v>0.10452090600267758</v>
      </c>
      <c r="J45" s="62">
        <f>G45/F45</f>
        <v>8.5560197430763277E-2</v>
      </c>
      <c r="K45" s="64">
        <v>9.456653400242257E-2</v>
      </c>
      <c r="L45" s="8">
        <f t="shared" si="3"/>
        <v>9.5238095238095255</v>
      </c>
      <c r="M45" s="63">
        <v>0.27346828279151347</v>
      </c>
      <c r="N45" s="63">
        <f t="shared" si="4"/>
        <v>0.30225441782219914</v>
      </c>
      <c r="O45" s="63">
        <f t="shared" si="5"/>
        <v>0.24742368443041701</v>
      </c>
      <c r="P45" s="13">
        <v>0.70427390152564961</v>
      </c>
      <c r="Q45" s="13">
        <f t="shared" si="6"/>
        <v>0.70426368063361278</v>
      </c>
      <c r="R45" s="13">
        <f t="shared" si="7"/>
        <v>0.70428314899939726</v>
      </c>
      <c r="S45" s="67">
        <f t="shared" si="8"/>
        <v>1.0220892036838514E-5</v>
      </c>
      <c r="T45" s="13"/>
      <c r="U45" s="13"/>
      <c r="V45" s="9"/>
      <c r="W45" s="13"/>
      <c r="X45" s="11"/>
    </row>
    <row r="46" spans="1:27" x14ac:dyDescent="0.35">
      <c r="A46" s="21" t="s">
        <v>130</v>
      </c>
      <c r="B46" s="81" t="s">
        <v>51</v>
      </c>
      <c r="C46" s="60">
        <v>60.29</v>
      </c>
      <c r="D46" s="60">
        <v>464.9</v>
      </c>
      <c r="E46" s="64">
        <f>C46+(C46*0.05)</f>
        <v>63.304499999999997</v>
      </c>
      <c r="F46" s="9">
        <f>D46+(D46*0.05)</f>
        <v>488.14499999999998</v>
      </c>
      <c r="G46" s="64">
        <f>C46-(C46*0.05)</f>
        <v>57.275500000000001</v>
      </c>
      <c r="H46" s="9">
        <f>D46-(D46*0.05)</f>
        <v>441.65499999999997</v>
      </c>
      <c r="I46" s="62">
        <f>E46/H46</f>
        <v>0.14333472959663085</v>
      </c>
      <c r="J46" s="62">
        <f>G46/F46</f>
        <v>0.11733296459043932</v>
      </c>
      <c r="K46" s="64">
        <v>0.12968380296838031</v>
      </c>
      <c r="L46" s="8">
        <f t="shared" si="3"/>
        <v>9.5238095238095273</v>
      </c>
      <c r="M46" s="63">
        <v>0.37501030478341518</v>
      </c>
      <c r="N46" s="63">
        <f t="shared" si="4"/>
        <v>0.4144850737079851</v>
      </c>
      <c r="O46" s="63">
        <f t="shared" si="5"/>
        <v>0.33929503766118513</v>
      </c>
      <c r="P46" s="13">
        <v>0.70377048693898059</v>
      </c>
      <c r="Q46" s="13">
        <f t="shared" si="6"/>
        <v>0.70373706451150486</v>
      </c>
      <c r="R46" s="13">
        <f t="shared" si="7"/>
        <v>0.70380072627812529</v>
      </c>
      <c r="S46" s="67">
        <f t="shared" si="8"/>
        <v>3.3422427475726657E-5</v>
      </c>
      <c r="T46" s="13"/>
      <c r="U46" s="13"/>
      <c r="V46" s="9"/>
      <c r="W46" s="13"/>
      <c r="X46" s="11"/>
    </row>
    <row r="47" spans="1:27" x14ac:dyDescent="0.35">
      <c r="A47" s="19"/>
      <c r="B47" s="81" t="s">
        <v>54</v>
      </c>
      <c r="C47" s="60">
        <v>26.32</v>
      </c>
      <c r="D47" s="60">
        <v>588</v>
      </c>
      <c r="E47" s="64">
        <f>C47+(C47*0.05)</f>
        <v>27.635999999999999</v>
      </c>
      <c r="F47" s="9">
        <f>D47+(D47*0.05)</f>
        <v>617.4</v>
      </c>
      <c r="G47" s="64">
        <f>C47-(C47*0.05)</f>
        <v>25.004000000000001</v>
      </c>
      <c r="H47" s="9">
        <f>D47-(D47*0.05)</f>
        <v>558.6</v>
      </c>
      <c r="I47" s="62">
        <f>E47/H47</f>
        <v>4.9473684210526316E-2</v>
      </c>
      <c r="J47" s="62">
        <f>G47/F47</f>
        <v>4.0498866213151928E-2</v>
      </c>
      <c r="K47" s="64">
        <v>4.476190476190476E-2</v>
      </c>
      <c r="L47" s="8">
        <f t="shared" si="3"/>
        <v>9.5238095238095184</v>
      </c>
      <c r="M47" s="63">
        <v>0.12943567560084859</v>
      </c>
      <c r="N47" s="63">
        <f t="shared" si="4"/>
        <v>0.14306048355883266</v>
      </c>
      <c r="O47" s="63">
        <f t="shared" si="5"/>
        <v>0.11710846840076777</v>
      </c>
      <c r="P47" s="13">
        <v>0.70369540963130628</v>
      </c>
      <c r="Q47" s="13">
        <f t="shared" si="6"/>
        <v>0.70368387380302277</v>
      </c>
      <c r="R47" s="13">
        <f t="shared" si="7"/>
        <v>0.70370584680927717</v>
      </c>
      <c r="S47" s="67">
        <f t="shared" si="8"/>
        <v>1.1535828283504301E-5</v>
      </c>
      <c r="T47" s="13"/>
      <c r="U47" s="13"/>
      <c r="V47" s="9"/>
      <c r="W47" s="13"/>
      <c r="X47" s="11"/>
    </row>
    <row r="48" spans="1:27" x14ac:dyDescent="0.35">
      <c r="A48" s="19"/>
      <c r="B48" s="81" t="s">
        <v>55</v>
      </c>
      <c r="C48" s="60">
        <v>36.35</v>
      </c>
      <c r="D48" s="60">
        <v>484.6</v>
      </c>
      <c r="E48" s="64">
        <f>C48+(C48*0.05)</f>
        <v>38.167500000000004</v>
      </c>
      <c r="F48" s="9">
        <f>D48+(D48*0.05)</f>
        <v>508.83000000000004</v>
      </c>
      <c r="G48" s="64">
        <f>C48-(C48*0.05)</f>
        <v>34.532499999999999</v>
      </c>
      <c r="H48" s="9">
        <f>D48-(D48*0.05)</f>
        <v>460.37</v>
      </c>
      <c r="I48" s="62">
        <f>E48/H48</f>
        <v>8.2906140712904849E-2</v>
      </c>
      <c r="J48" s="62">
        <f>G48/F48</f>
        <v>6.7866477998545671E-2</v>
      </c>
      <c r="K48" s="64">
        <v>7.5010317787866279E-2</v>
      </c>
      <c r="L48" s="8">
        <f t="shared" si="3"/>
        <v>9.5238095238095379</v>
      </c>
      <c r="M48" s="63">
        <v>0.21690649754530164</v>
      </c>
      <c r="N48" s="63">
        <f t="shared" si="4"/>
        <v>0.23973876044480713</v>
      </c>
      <c r="O48" s="63">
        <f t="shared" si="5"/>
        <v>0.19624873587432048</v>
      </c>
      <c r="P48" s="13">
        <v>0.70376534999062124</v>
      </c>
      <c r="Q48" s="13">
        <f t="shared" si="6"/>
        <v>0.70374601841068662</v>
      </c>
      <c r="R48" s="13">
        <f t="shared" si="7"/>
        <v>0.70378284046770501</v>
      </c>
      <c r="S48" s="67">
        <f t="shared" si="8"/>
        <v>1.9331579934611653E-5</v>
      </c>
      <c r="T48" s="13"/>
      <c r="U48" s="13"/>
      <c r="V48" s="9"/>
      <c r="W48" s="13"/>
      <c r="X48" s="11"/>
    </row>
    <row r="49" spans="1:28" x14ac:dyDescent="0.35">
      <c r="A49" s="19"/>
      <c r="B49" s="81" t="s">
        <v>56</v>
      </c>
      <c r="C49" s="60">
        <v>16.91</v>
      </c>
      <c r="D49" s="60">
        <v>584.79999999999995</v>
      </c>
      <c r="E49" s="64">
        <f>C49+(C49*0.05)</f>
        <v>17.755500000000001</v>
      </c>
      <c r="F49" s="9">
        <f>D49+(D49*0.05)</f>
        <v>614.04</v>
      </c>
      <c r="G49" s="64">
        <f>C49-(C49*0.05)</f>
        <v>16.064499999999999</v>
      </c>
      <c r="H49" s="9">
        <f>D49-(D49*0.05)</f>
        <v>555.55999999999995</v>
      </c>
      <c r="I49" s="62">
        <f>E49/H49</f>
        <v>3.1959644322845426E-2</v>
      </c>
      <c r="J49" s="62">
        <f>G49/F49</f>
        <v>2.6161976418474366E-2</v>
      </c>
      <c r="K49" s="64">
        <v>2.891586867305062E-2</v>
      </c>
      <c r="L49" s="8">
        <f t="shared" si="3"/>
        <v>9.5238095238095379</v>
      </c>
      <c r="M49" s="63">
        <v>8.3615342376931162E-2</v>
      </c>
      <c r="N49" s="63">
        <f t="shared" si="4"/>
        <v>9.2416957363976565E-2</v>
      </c>
      <c r="O49" s="63">
        <f t="shared" si="5"/>
        <v>7.5651976436271043E-2</v>
      </c>
      <c r="P49" s="13">
        <v>0.70383520470993033</v>
      </c>
      <c r="Q49" s="13">
        <f t="shared" si="6"/>
        <v>0.70382775257413344</v>
      </c>
      <c r="R49" s="13">
        <f t="shared" si="7"/>
        <v>0.70384194711850834</v>
      </c>
      <c r="S49" s="67">
        <f t="shared" si="8"/>
        <v>7.4521357968926338E-6</v>
      </c>
      <c r="T49" s="13"/>
      <c r="U49" s="13"/>
      <c r="V49" s="9"/>
      <c r="W49" s="13"/>
      <c r="X49" s="11"/>
    </row>
    <row r="50" spans="1:28" x14ac:dyDescent="0.35">
      <c r="A50" s="20"/>
      <c r="B50" s="15" t="s">
        <v>57</v>
      </c>
      <c r="C50" s="60">
        <v>41.93</v>
      </c>
      <c r="D50" s="60">
        <v>899.8</v>
      </c>
      <c r="E50" s="64">
        <f>C50+(C50*0.05)</f>
        <v>44.026499999999999</v>
      </c>
      <c r="F50" s="9">
        <f>D50+(D50*0.05)</f>
        <v>944.79</v>
      </c>
      <c r="G50" s="64">
        <f>C50-(C50*0.05)</f>
        <v>39.833500000000001</v>
      </c>
      <c r="H50" s="9">
        <f>D50-(D50*0.05)</f>
        <v>854.81</v>
      </c>
      <c r="I50" s="62">
        <f>E50/H50</f>
        <v>5.1504427884559147E-2</v>
      </c>
      <c r="J50" s="62">
        <f>G50/F50</f>
        <v>4.2161221012076762E-2</v>
      </c>
      <c r="K50" s="64">
        <v>4.6599244276505893E-2</v>
      </c>
      <c r="L50" s="8">
        <f t="shared" si="3"/>
        <v>9.5238095238095184</v>
      </c>
      <c r="M50" s="63">
        <v>0.13475073801042367</v>
      </c>
      <c r="N50" s="63">
        <f t="shared" si="4"/>
        <v>0.14893502622204721</v>
      </c>
      <c r="O50" s="63">
        <f t="shared" si="5"/>
        <v>0.12191733439038331</v>
      </c>
      <c r="P50" s="13">
        <v>0.70385190948367393</v>
      </c>
      <c r="Q50" s="13">
        <f t="shared" si="6"/>
        <v>0.70383989995563967</v>
      </c>
      <c r="R50" s="13">
        <f t="shared" si="7"/>
        <v>0.70386277524713359</v>
      </c>
      <c r="S50" s="67">
        <f t="shared" si="8"/>
        <v>1.2009528034262473E-5</v>
      </c>
      <c r="T50" s="13"/>
      <c r="U50" s="13"/>
      <c r="V50" s="9"/>
      <c r="W50" s="13"/>
      <c r="X50" s="11"/>
    </row>
    <row r="51" spans="1:28" x14ac:dyDescent="0.35">
      <c r="A51" s="21" t="s">
        <v>131</v>
      </c>
      <c r="B51" s="81" t="s">
        <v>58</v>
      </c>
      <c r="C51" s="60">
        <v>75.38</v>
      </c>
      <c r="D51" s="60">
        <v>508.5</v>
      </c>
      <c r="E51" s="64">
        <f>C51+(C51*0.05)</f>
        <v>79.149000000000001</v>
      </c>
      <c r="F51" s="9">
        <f>D51+(D51*0.05)</f>
        <v>533.92499999999995</v>
      </c>
      <c r="G51" s="64">
        <f>C51-(C51*0.05)</f>
        <v>71.61099999999999</v>
      </c>
      <c r="H51" s="9">
        <f>D51-(D51*0.05)</f>
        <v>483.07499999999999</v>
      </c>
      <c r="I51" s="62">
        <f>E51/H51</f>
        <v>0.16384412358329453</v>
      </c>
      <c r="J51" s="62">
        <f>G51/F51</f>
        <v>0.13412183359086013</v>
      </c>
      <c r="K51" s="64">
        <v>0.14823992133726646</v>
      </c>
      <c r="L51" s="8">
        <f t="shared" si="3"/>
        <v>9.5238095238095219</v>
      </c>
      <c r="M51" s="63">
        <v>0.42869266966729042</v>
      </c>
      <c r="N51" s="63">
        <f t="shared" si="4"/>
        <v>0.47381821384279466</v>
      </c>
      <c r="O51" s="63">
        <f t="shared" si="5"/>
        <v>0.38786479636564369</v>
      </c>
      <c r="P51" s="13">
        <v>0.70431015239684114</v>
      </c>
      <c r="Q51" s="13">
        <f t="shared" si="6"/>
        <v>0.70427553685966648</v>
      </c>
      <c r="R51" s="13">
        <f t="shared" si="7"/>
        <v>0.70434147121618962</v>
      </c>
      <c r="S51" s="67">
        <f t="shared" si="8"/>
        <v>3.461553717465371E-5</v>
      </c>
      <c r="T51" s="13"/>
      <c r="U51" s="13"/>
      <c r="V51" s="9"/>
      <c r="W51" s="13"/>
      <c r="X51" s="11"/>
    </row>
    <row r="52" spans="1:28" x14ac:dyDescent="0.35">
      <c r="A52" s="20"/>
      <c r="B52" s="15" t="s">
        <v>61</v>
      </c>
      <c r="C52" s="60">
        <v>91.61</v>
      </c>
      <c r="D52" s="60">
        <v>459</v>
      </c>
      <c r="E52" s="64">
        <f>C52+(C52*0.05)</f>
        <v>96.1905</v>
      </c>
      <c r="F52" s="9">
        <f>D52+(D52*0.05)</f>
        <v>481.95</v>
      </c>
      <c r="G52" s="64">
        <f>C52-(C52*0.05)</f>
        <v>87.029499999999999</v>
      </c>
      <c r="H52" s="9">
        <f>D52-(D52*0.05)</f>
        <v>436.05</v>
      </c>
      <c r="I52" s="62">
        <f>E52/H52</f>
        <v>0.22059511523907807</v>
      </c>
      <c r="J52" s="62">
        <f>G52/F52</f>
        <v>0.1805778607739392</v>
      </c>
      <c r="K52" s="64">
        <v>0.19958605664488016</v>
      </c>
      <c r="L52" s="8">
        <f t="shared" si="3"/>
        <v>9.5238095238095219</v>
      </c>
      <c r="M52" s="63">
        <v>0.5771851635341021</v>
      </c>
      <c r="N52" s="63">
        <f t="shared" si="4"/>
        <v>0.63794149653769172</v>
      </c>
      <c r="O52" s="63">
        <f t="shared" si="5"/>
        <v>0.5222151479594257</v>
      </c>
      <c r="P52" s="13">
        <v>0.70429224468590901</v>
      </c>
      <c r="Q52" s="13">
        <f t="shared" si="6"/>
        <v>0.7042456388633731</v>
      </c>
      <c r="R52" s="13">
        <f t="shared" si="7"/>
        <v>0.70433441185867962</v>
      </c>
      <c r="S52" s="67">
        <f t="shared" si="8"/>
        <v>4.6605822535905617E-5</v>
      </c>
      <c r="T52" s="13"/>
      <c r="U52" s="13"/>
      <c r="V52" s="9"/>
      <c r="W52" s="13"/>
      <c r="X52" s="11"/>
    </row>
    <row r="53" spans="1:28" x14ac:dyDescent="0.35">
      <c r="A53" s="21" t="s">
        <v>132</v>
      </c>
      <c r="B53" s="81" t="s">
        <v>62</v>
      </c>
      <c r="C53" s="60">
        <v>249.3</v>
      </c>
      <c r="D53" s="60">
        <v>200.5</v>
      </c>
      <c r="E53" s="64">
        <f>C53+(C53*0.05)</f>
        <v>261.76499999999999</v>
      </c>
      <c r="F53" s="9">
        <f>D53+(D53*0.05)</f>
        <v>210.52500000000001</v>
      </c>
      <c r="G53" s="64">
        <f>C53-(C53*0.05)</f>
        <v>236.83500000000001</v>
      </c>
      <c r="H53" s="9">
        <f>D53-(D53*0.05)</f>
        <v>190.47499999999999</v>
      </c>
      <c r="I53" s="62">
        <f>E53/H53</f>
        <v>1.3742748392177451</v>
      </c>
      <c r="J53" s="62">
        <f>G53/F53</f>
        <v>1.1249732810830069</v>
      </c>
      <c r="K53" s="64">
        <v>1.2433915211970075</v>
      </c>
      <c r="L53" s="8">
        <f t="shared" si="3"/>
        <v>9.5238095238095148</v>
      </c>
      <c r="M53" s="63">
        <v>3.5969918873131941</v>
      </c>
      <c r="N53" s="63">
        <f t="shared" si="4"/>
        <v>3.9756226122935305</v>
      </c>
      <c r="O53" s="63">
        <f t="shared" si="5"/>
        <v>3.2544212313786041</v>
      </c>
      <c r="P53" s="13">
        <v>0.70481231901176389</v>
      </c>
      <c r="Q53" s="13">
        <f t="shared" si="6"/>
        <v>0.70445729996037054</v>
      </c>
      <c r="R53" s="13">
        <f t="shared" si="7"/>
        <v>0.70513352672492924</v>
      </c>
      <c r="S53" s="67">
        <f t="shared" si="8"/>
        <v>3.55019051393346E-4</v>
      </c>
      <c r="T53" s="13"/>
      <c r="U53" s="13"/>
      <c r="V53" s="9"/>
      <c r="W53" s="13"/>
      <c r="X53" s="11"/>
    </row>
    <row r="54" spans="1:28" x14ac:dyDescent="0.35">
      <c r="A54" s="19"/>
      <c r="B54" s="81" t="s">
        <v>65</v>
      </c>
      <c r="C54" s="60">
        <v>267.39999999999998</v>
      </c>
      <c r="D54" s="60">
        <v>190.7</v>
      </c>
      <c r="E54" s="64">
        <f>C54+(C54*0.05)</f>
        <v>280.77</v>
      </c>
      <c r="F54" s="9">
        <f>D54+(D54*0.05)</f>
        <v>200.23499999999999</v>
      </c>
      <c r="G54" s="64">
        <f>C54-(C54*0.05)</f>
        <v>254.02999999999997</v>
      </c>
      <c r="H54" s="9">
        <f>D54-(D54*0.05)</f>
        <v>181.16499999999999</v>
      </c>
      <c r="I54" s="62">
        <f>E54/H54</f>
        <v>1.5498026660778847</v>
      </c>
      <c r="J54" s="62">
        <f>G54/F54</f>
        <v>1.2686593252927809</v>
      </c>
      <c r="K54" s="64">
        <v>1.4022024121657053</v>
      </c>
      <c r="L54" s="8">
        <f t="shared" si="3"/>
        <v>9.5238095238095291</v>
      </c>
      <c r="M54" s="63">
        <v>4.0566472670436964</v>
      </c>
      <c r="N54" s="63">
        <f t="shared" si="4"/>
        <v>4.4836627688377693</v>
      </c>
      <c r="O54" s="63">
        <f t="shared" si="5"/>
        <v>3.67029990827763</v>
      </c>
      <c r="P54" s="13">
        <v>0.70496932805906654</v>
      </c>
      <c r="Q54" s="13">
        <f t="shared" si="6"/>
        <v>0.70456894153896821</v>
      </c>
      <c r="R54" s="13">
        <f t="shared" si="7"/>
        <v>0.70533158252963157</v>
      </c>
      <c r="S54" s="67">
        <f t="shared" si="8"/>
        <v>4.0038652009832809E-4</v>
      </c>
      <c r="T54" s="13"/>
      <c r="U54" s="13"/>
      <c r="V54" s="9"/>
      <c r="W54" s="13"/>
      <c r="X54" s="11"/>
    </row>
    <row r="55" spans="1:28" x14ac:dyDescent="0.35">
      <c r="A55" s="19"/>
      <c r="B55" s="81" t="s">
        <v>67</v>
      </c>
      <c r="C55" s="60">
        <v>34.39</v>
      </c>
      <c r="D55" s="60">
        <v>361.1</v>
      </c>
      <c r="E55" s="64">
        <f>C55+(C55*0.05)</f>
        <v>36.109499999999997</v>
      </c>
      <c r="F55" s="9">
        <f>D55+(D55*0.05)</f>
        <v>379.15500000000003</v>
      </c>
      <c r="G55" s="64">
        <f>C55-(C55*0.05)</f>
        <v>32.670500000000004</v>
      </c>
      <c r="H55" s="9">
        <f>D55-(D55*0.05)</f>
        <v>343.04500000000002</v>
      </c>
      <c r="I55" s="62">
        <f>E55/H55</f>
        <v>0.10526170036001106</v>
      </c>
      <c r="J55" s="62">
        <f>G55/F55</f>
        <v>8.616660732418141E-2</v>
      </c>
      <c r="K55" s="64">
        <v>9.5236776516200494E-2</v>
      </c>
      <c r="L55" s="8">
        <f t="shared" si="3"/>
        <v>9.5238095238095113</v>
      </c>
      <c r="M55" s="63">
        <v>0.27541455405465043</v>
      </c>
      <c r="N55" s="63">
        <f t="shared" si="4"/>
        <v>0.30440555974461364</v>
      </c>
      <c r="O55" s="63">
        <f t="shared" si="5"/>
        <v>0.24918459652563613</v>
      </c>
      <c r="P55" s="13">
        <v>0.70441176048780652</v>
      </c>
      <c r="Q55" s="13">
        <f t="shared" si="6"/>
        <v>0.70438457738125981</v>
      </c>
      <c r="R55" s="13">
        <f t="shared" si="7"/>
        <v>0.70443635472706301</v>
      </c>
      <c r="S55" s="67">
        <f t="shared" si="8"/>
        <v>2.7183106546702085E-5</v>
      </c>
      <c r="T55" s="13"/>
      <c r="U55" s="13"/>
      <c r="V55" s="9"/>
      <c r="W55" s="13"/>
      <c r="X55" s="11"/>
    </row>
    <row r="56" spans="1:28" x14ac:dyDescent="0.35">
      <c r="A56" s="20"/>
      <c r="B56" s="15" t="s">
        <v>69</v>
      </c>
      <c r="C56" s="60">
        <v>51.55</v>
      </c>
      <c r="D56" s="60">
        <v>299.39999999999998</v>
      </c>
      <c r="E56" s="64">
        <f>C56+(C56*0.05)</f>
        <v>54.127499999999998</v>
      </c>
      <c r="F56" s="9">
        <f>D56+(D56*0.05)</f>
        <v>314.37</v>
      </c>
      <c r="G56" s="64">
        <f>C56-(C56*0.05)</f>
        <v>48.972499999999997</v>
      </c>
      <c r="H56" s="9">
        <f>D56-(D56*0.05)</f>
        <v>284.42999999999995</v>
      </c>
      <c r="I56" s="62">
        <f>E56/H56</f>
        <v>0.1903016559434659</v>
      </c>
      <c r="J56" s="62">
        <f>G56/F56</f>
        <v>0.15577981359544485</v>
      </c>
      <c r="K56" s="64">
        <v>0.17217768871075484</v>
      </c>
      <c r="L56" s="8">
        <f t="shared" si="3"/>
        <v>9.5238095238095273</v>
      </c>
      <c r="M56" s="63">
        <v>0.49794320649548457</v>
      </c>
      <c r="N56" s="63">
        <f t="shared" si="4"/>
        <v>0.55035828086343042</v>
      </c>
      <c r="O56" s="63">
        <f t="shared" si="5"/>
        <v>0.4505200439721051</v>
      </c>
      <c r="P56" s="13">
        <v>0.70469110887586606</v>
      </c>
      <c r="Q56" s="13">
        <f t="shared" si="6"/>
        <v>0.70464196244174659</v>
      </c>
      <c r="R56" s="13">
        <f t="shared" si="7"/>
        <v>0.70473557469721215</v>
      </c>
      <c r="S56" s="67">
        <f t="shared" si="8"/>
        <v>4.9146434119462512E-5</v>
      </c>
      <c r="T56" s="13"/>
      <c r="U56" s="13"/>
      <c r="V56" s="9"/>
      <c r="W56" s="13"/>
      <c r="X56" s="11"/>
    </row>
    <row r="57" spans="1:28" x14ac:dyDescent="0.35">
      <c r="A57" s="21" t="s">
        <v>133</v>
      </c>
      <c r="B57" s="81" t="s">
        <v>71</v>
      </c>
      <c r="C57" s="60">
        <v>94.57</v>
      </c>
      <c r="D57" s="60">
        <v>578.4</v>
      </c>
      <c r="E57" s="64">
        <f>C57+(C57*0.05)</f>
        <v>99.29849999999999</v>
      </c>
      <c r="F57" s="9">
        <f>D57+(D57*0.05)</f>
        <v>607.31999999999994</v>
      </c>
      <c r="G57" s="64">
        <f>C57-(C57*0.05)</f>
        <v>89.841499999999996</v>
      </c>
      <c r="H57" s="9">
        <f>D57-(D57*0.05)</f>
        <v>549.48</v>
      </c>
      <c r="I57" s="62">
        <f>E57/H57</f>
        <v>0.18071358375191088</v>
      </c>
      <c r="J57" s="62">
        <f>G57/F57</f>
        <v>0.14793107422775473</v>
      </c>
      <c r="K57" s="64">
        <v>0.16350276625172891</v>
      </c>
      <c r="L57" s="8">
        <f t="shared" si="3"/>
        <v>9.5238095238095237</v>
      </c>
      <c r="M57" s="63">
        <v>0.47284261551936763</v>
      </c>
      <c r="N57" s="63">
        <f t="shared" si="4"/>
        <v>0.52261552241614306</v>
      </c>
      <c r="O57" s="63">
        <f t="shared" si="5"/>
        <v>0.42780998546990401</v>
      </c>
      <c r="P57" s="13">
        <v>0.70458675701233286</v>
      </c>
      <c r="Q57" s="13">
        <f t="shared" si="6"/>
        <v>0.70455494196099955</v>
      </c>
      <c r="R57" s="13">
        <f t="shared" si="7"/>
        <v>0.70461554205877741</v>
      </c>
      <c r="S57" s="67">
        <f t="shared" si="8"/>
        <v>3.1815051333317079E-5</v>
      </c>
      <c r="T57" s="13"/>
      <c r="U57" s="13"/>
      <c r="V57" s="9"/>
      <c r="W57" s="13"/>
      <c r="X57" s="11"/>
    </row>
    <row r="58" spans="1:28" x14ac:dyDescent="0.35">
      <c r="A58" s="20"/>
      <c r="B58" s="15" t="s">
        <v>74</v>
      </c>
      <c r="C58" s="60">
        <v>105.1</v>
      </c>
      <c r="D58" s="60">
        <v>1969</v>
      </c>
      <c r="E58" s="64">
        <f>C58+(C58*0.05)</f>
        <v>110.35499999999999</v>
      </c>
      <c r="F58" s="9">
        <f>D58+(D58*0.05)</f>
        <v>2067.4499999999998</v>
      </c>
      <c r="G58" s="64">
        <f>C58-(C58*0.05)</f>
        <v>99.844999999999999</v>
      </c>
      <c r="H58" s="9">
        <f>D58-(D58*0.05)</f>
        <v>1870.55</v>
      </c>
      <c r="I58" s="62">
        <f>E58/H58</f>
        <v>5.8996017214188338E-2</v>
      </c>
      <c r="J58" s="62">
        <f>G58/F58</f>
        <v>4.8293791869210866E-2</v>
      </c>
      <c r="K58" s="64">
        <v>5.3377348908075162E-2</v>
      </c>
      <c r="L58" s="8">
        <f t="shared" si="3"/>
        <v>9.5238095238095148</v>
      </c>
      <c r="M58" s="63">
        <v>0.15435489763347043</v>
      </c>
      <c r="N58" s="63">
        <f t="shared" si="4"/>
        <v>0.1706027815948884</v>
      </c>
      <c r="O58" s="63">
        <f t="shared" si="5"/>
        <v>0.13965443119218757</v>
      </c>
      <c r="P58" s="13">
        <v>0.70412933570052583</v>
      </c>
      <c r="Q58" s="13">
        <f t="shared" si="6"/>
        <v>0.70411894998479174</v>
      </c>
      <c r="R58" s="13">
        <f t="shared" si="7"/>
        <v>0.70413873230047574</v>
      </c>
      <c r="S58" s="67">
        <f t="shared" si="8"/>
        <v>1.0385715734084755E-5</v>
      </c>
      <c r="T58" s="13"/>
      <c r="U58" s="13"/>
      <c r="V58" s="9"/>
      <c r="W58" s="13"/>
      <c r="X58" s="11"/>
    </row>
    <row r="59" spans="1:28" ht="15" thickBot="1" x14ac:dyDescent="0.4">
      <c r="A59" s="22" t="s">
        <v>134</v>
      </c>
      <c r="B59" s="82" t="s">
        <v>75</v>
      </c>
      <c r="C59" s="68">
        <v>111.7</v>
      </c>
      <c r="D59" s="68">
        <v>570.6</v>
      </c>
      <c r="E59" s="69">
        <f>C59+(C59*0.05)</f>
        <v>117.285</v>
      </c>
      <c r="F59" s="70">
        <f>D59+(D59*0.05)</f>
        <v>599.13</v>
      </c>
      <c r="G59" s="69">
        <f>C59-(C59*0.05)</f>
        <v>106.11500000000001</v>
      </c>
      <c r="H59" s="70">
        <f>D59-(D59*0.05)</f>
        <v>542.07000000000005</v>
      </c>
      <c r="I59" s="71">
        <f>E59/H59</f>
        <v>0.21636504510487573</v>
      </c>
      <c r="J59" s="71">
        <f>G59/F59</f>
        <v>0.1771151503012702</v>
      </c>
      <c r="K59" s="69">
        <v>0.19575885033298282</v>
      </c>
      <c r="L59" s="72">
        <f t="shared" si="3"/>
        <v>9.5238095238095077</v>
      </c>
      <c r="M59" s="73">
        <v>0.56612387031896827</v>
      </c>
      <c r="N59" s="73">
        <f t="shared" si="4"/>
        <v>0.62571585666833329</v>
      </c>
      <c r="O59" s="73">
        <f t="shared" si="5"/>
        <v>0.51220731124097141</v>
      </c>
      <c r="P59" s="74">
        <v>0.70437245692832973</v>
      </c>
      <c r="Q59" s="74">
        <f t="shared" si="6"/>
        <v>0.70432166292078546</v>
      </c>
      <c r="R59" s="74">
        <f t="shared" si="7"/>
        <v>0.70441841341134592</v>
      </c>
      <c r="S59" s="75">
        <f t="shared" si="8"/>
        <v>5.0794007544263664E-5</v>
      </c>
      <c r="T59" s="13"/>
      <c r="U59" s="13"/>
      <c r="V59" s="9"/>
      <c r="W59" s="13"/>
      <c r="X59" s="11"/>
    </row>
    <row r="61" spans="1:28" x14ac:dyDescent="0.35">
      <c r="K61" s="62"/>
      <c r="L61" s="9"/>
      <c r="M61" s="9"/>
      <c r="N61" s="9"/>
      <c r="O61" s="9"/>
      <c r="P61" s="9"/>
      <c r="Q61" s="65"/>
      <c r="R61" s="65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35">
      <c r="K62" s="14"/>
      <c r="L62" s="14"/>
      <c r="M62" s="14"/>
      <c r="N62" s="14"/>
      <c r="O62" s="14"/>
      <c r="P62" s="61"/>
      <c r="Q62" s="61"/>
      <c r="R62" s="61"/>
      <c r="S62" s="14"/>
      <c r="T62" s="61"/>
      <c r="U62" s="61"/>
      <c r="V62" s="61"/>
      <c r="W62" s="14"/>
      <c r="X62" s="9"/>
      <c r="Y62" s="14"/>
      <c r="Z62" s="9"/>
      <c r="AA62" s="9"/>
      <c r="AB62" s="9"/>
    </row>
    <row r="63" spans="1:28" x14ac:dyDescent="0.35">
      <c r="K63" s="6"/>
      <c r="L63" s="8"/>
      <c r="M63" s="8"/>
      <c r="N63" s="62"/>
      <c r="O63" s="62"/>
      <c r="P63" s="63"/>
      <c r="Q63" s="63"/>
      <c r="R63" s="63"/>
      <c r="S63" s="9"/>
      <c r="T63" s="13"/>
      <c r="U63" s="13"/>
      <c r="V63" s="13"/>
      <c r="W63" s="13"/>
      <c r="X63" s="13"/>
      <c r="Y63" s="62"/>
      <c r="Z63" s="9"/>
      <c r="AA63" s="23"/>
      <c r="AB63" s="16"/>
    </row>
    <row r="64" spans="1:28" x14ac:dyDescent="0.35">
      <c r="K64" s="6"/>
      <c r="L64" s="8"/>
      <c r="M64" s="8"/>
      <c r="N64" s="62"/>
      <c r="O64" s="62"/>
      <c r="P64" s="63"/>
      <c r="Q64" s="63"/>
      <c r="R64" s="63"/>
      <c r="S64" s="9"/>
      <c r="T64" s="13"/>
      <c r="U64" s="13"/>
      <c r="V64" s="13"/>
      <c r="W64" s="13"/>
      <c r="X64" s="13"/>
      <c r="Y64" s="62"/>
      <c r="Z64" s="9"/>
      <c r="AA64" s="23"/>
      <c r="AB64" s="16"/>
    </row>
    <row r="65" spans="11:28" x14ac:dyDescent="0.35">
      <c r="K65" s="6"/>
      <c r="L65" s="8"/>
      <c r="M65" s="8"/>
      <c r="N65" s="62"/>
      <c r="O65" s="62"/>
      <c r="P65" s="63"/>
      <c r="Q65" s="63"/>
      <c r="R65" s="63"/>
      <c r="S65" s="9"/>
      <c r="T65" s="13"/>
      <c r="U65" s="13"/>
      <c r="V65" s="13"/>
      <c r="W65" s="13"/>
      <c r="X65" s="13"/>
      <c r="Y65" s="62"/>
      <c r="Z65" s="9"/>
      <c r="AA65" s="23"/>
      <c r="AB65" s="16"/>
    </row>
    <row r="66" spans="11:28" x14ac:dyDescent="0.35">
      <c r="K66" s="6"/>
      <c r="L66" s="8"/>
      <c r="M66" s="8"/>
      <c r="N66" s="62"/>
      <c r="O66" s="62"/>
      <c r="P66" s="63"/>
      <c r="Q66" s="63"/>
      <c r="R66" s="63"/>
      <c r="S66" s="9"/>
      <c r="T66" s="13"/>
      <c r="U66" s="13"/>
      <c r="V66" s="13"/>
      <c r="W66" s="13"/>
      <c r="X66" s="13"/>
      <c r="Y66" s="62"/>
      <c r="Z66" s="9"/>
      <c r="AA66" s="23"/>
      <c r="AB66" s="16"/>
    </row>
    <row r="67" spans="11:28" x14ac:dyDescent="0.35">
      <c r="K67" s="6"/>
      <c r="L67" s="8"/>
      <c r="M67" s="8"/>
      <c r="N67" s="62"/>
      <c r="O67" s="62"/>
      <c r="P67" s="63"/>
      <c r="Q67" s="63"/>
      <c r="R67" s="63"/>
      <c r="S67" s="9"/>
      <c r="T67" s="13"/>
      <c r="U67" s="13"/>
      <c r="V67" s="13"/>
      <c r="W67" s="13"/>
      <c r="X67" s="13"/>
      <c r="Y67" s="62"/>
      <c r="Z67" s="9"/>
      <c r="AA67" s="23"/>
      <c r="AB67" s="16"/>
    </row>
    <row r="68" spans="11:28" x14ac:dyDescent="0.35">
      <c r="K68" s="6"/>
      <c r="L68" s="8"/>
      <c r="M68" s="8"/>
      <c r="N68" s="62"/>
      <c r="O68" s="62"/>
      <c r="P68" s="63"/>
      <c r="Q68" s="63"/>
      <c r="R68" s="63"/>
      <c r="S68" s="9"/>
      <c r="T68" s="13"/>
      <c r="U68" s="13"/>
      <c r="V68" s="13"/>
      <c r="W68" s="13"/>
      <c r="X68" s="13"/>
      <c r="Y68" s="62"/>
      <c r="Z68" s="9"/>
      <c r="AA68" s="23"/>
      <c r="AB68" s="16"/>
    </row>
    <row r="69" spans="11:28" x14ac:dyDescent="0.35">
      <c r="K69" s="6"/>
      <c r="L69" s="8"/>
      <c r="M69" s="8"/>
      <c r="N69" s="62"/>
      <c r="O69" s="62"/>
      <c r="P69" s="63"/>
      <c r="Q69" s="63"/>
      <c r="R69" s="63"/>
      <c r="S69" s="9"/>
      <c r="T69" s="13"/>
      <c r="U69" s="13"/>
      <c r="V69" s="13"/>
      <c r="W69" s="13"/>
      <c r="X69" s="13"/>
      <c r="Y69" s="62"/>
      <c r="Z69" s="9"/>
      <c r="AA69" s="23"/>
      <c r="AB69" s="16"/>
    </row>
    <row r="70" spans="11:28" x14ac:dyDescent="0.35">
      <c r="K70" s="6"/>
      <c r="L70" s="8"/>
      <c r="M70" s="8"/>
      <c r="N70" s="62"/>
      <c r="O70" s="62"/>
      <c r="P70" s="63"/>
      <c r="Q70" s="63"/>
      <c r="R70" s="63"/>
      <c r="S70" s="9"/>
      <c r="T70" s="13"/>
      <c r="U70" s="13"/>
      <c r="V70" s="13"/>
      <c r="W70" s="13"/>
      <c r="X70" s="13"/>
      <c r="Y70" s="62"/>
      <c r="Z70" s="9"/>
      <c r="AA70" s="23"/>
      <c r="AB70" s="16"/>
    </row>
    <row r="71" spans="11:28" x14ac:dyDescent="0.35">
      <c r="K71" s="6"/>
      <c r="L71" s="8"/>
      <c r="M71" s="8"/>
      <c r="N71" s="62"/>
      <c r="O71" s="62"/>
      <c r="P71" s="63"/>
      <c r="Q71" s="63"/>
      <c r="R71" s="63"/>
      <c r="S71" s="9"/>
      <c r="T71" s="13"/>
      <c r="U71" s="13"/>
      <c r="V71" s="13"/>
      <c r="W71" s="13"/>
      <c r="X71" s="13"/>
      <c r="Y71" s="62"/>
      <c r="Z71" s="9"/>
      <c r="AA71" s="23"/>
      <c r="AB71" s="16"/>
    </row>
    <row r="72" spans="11:28" x14ac:dyDescent="0.35">
      <c r="K72" s="6"/>
      <c r="L72" s="8"/>
      <c r="M72" s="8"/>
      <c r="N72" s="62"/>
      <c r="O72" s="62"/>
      <c r="P72" s="63"/>
      <c r="Q72" s="63"/>
      <c r="R72" s="63"/>
      <c r="S72" s="9"/>
      <c r="T72" s="13"/>
      <c r="U72" s="13"/>
      <c r="V72" s="13"/>
      <c r="W72" s="13"/>
      <c r="X72" s="13"/>
      <c r="Y72" s="62"/>
      <c r="Z72" s="9"/>
      <c r="AA72" s="23"/>
      <c r="AB72" s="16"/>
    </row>
    <row r="73" spans="11:28" x14ac:dyDescent="0.35">
      <c r="K73" s="6"/>
      <c r="L73" s="8"/>
      <c r="M73" s="8"/>
      <c r="N73" s="62"/>
      <c r="O73" s="62"/>
      <c r="P73" s="63"/>
      <c r="Q73" s="63"/>
      <c r="R73" s="63"/>
      <c r="S73" s="9"/>
      <c r="T73" s="13"/>
      <c r="U73" s="13"/>
      <c r="V73" s="13"/>
      <c r="W73" s="13"/>
      <c r="X73" s="13"/>
      <c r="Y73" s="62"/>
      <c r="Z73" s="9"/>
      <c r="AA73" s="23"/>
      <c r="AB73" s="16"/>
    </row>
    <row r="74" spans="11:28" x14ac:dyDescent="0.35">
      <c r="K74" s="6"/>
      <c r="L74" s="8"/>
      <c r="M74" s="8"/>
      <c r="N74" s="62"/>
      <c r="O74" s="62"/>
      <c r="P74" s="63"/>
      <c r="Q74" s="63"/>
      <c r="R74" s="63"/>
      <c r="S74" s="9"/>
      <c r="T74" s="13"/>
      <c r="U74" s="13"/>
      <c r="V74" s="13"/>
      <c r="W74" s="13"/>
      <c r="X74" s="13"/>
      <c r="Y74" s="62"/>
      <c r="Z74" s="9"/>
      <c r="AA74" s="23"/>
      <c r="AB74" s="16"/>
    </row>
    <row r="75" spans="11:28" x14ac:dyDescent="0.35">
      <c r="K75" s="6"/>
      <c r="L75" s="8"/>
      <c r="M75" s="8"/>
      <c r="N75" s="62"/>
      <c r="O75" s="62"/>
      <c r="P75" s="63"/>
      <c r="Q75" s="63"/>
      <c r="R75" s="63"/>
      <c r="S75" s="9"/>
      <c r="T75" s="13"/>
      <c r="U75" s="13"/>
      <c r="V75" s="13"/>
      <c r="W75" s="13"/>
      <c r="X75" s="13"/>
      <c r="Y75" s="62"/>
      <c r="Z75" s="9"/>
      <c r="AA75" s="23"/>
      <c r="AB75" s="16"/>
    </row>
    <row r="76" spans="11:28" x14ac:dyDescent="0.35">
      <c r="K76" s="6"/>
      <c r="L76" s="8"/>
      <c r="M76" s="8"/>
      <c r="N76" s="62"/>
      <c r="O76" s="62"/>
      <c r="P76" s="63"/>
      <c r="Q76" s="63"/>
      <c r="R76" s="63"/>
      <c r="S76" s="9"/>
      <c r="T76" s="13"/>
      <c r="U76" s="13"/>
      <c r="V76" s="13"/>
      <c r="W76" s="13"/>
      <c r="X76" s="13"/>
      <c r="Y76" s="62"/>
      <c r="Z76" s="9"/>
      <c r="AA76" s="23"/>
      <c r="AB76" s="16"/>
    </row>
    <row r="77" spans="11:28" x14ac:dyDescent="0.35">
      <c r="K77" s="6"/>
      <c r="L77" s="8"/>
      <c r="M77" s="8"/>
      <c r="N77" s="62"/>
      <c r="O77" s="62"/>
      <c r="P77" s="63"/>
      <c r="Q77" s="63"/>
      <c r="R77" s="63"/>
      <c r="S77" s="9"/>
      <c r="T77" s="13"/>
      <c r="U77" s="13"/>
      <c r="V77" s="13"/>
      <c r="W77" s="13"/>
      <c r="X77" s="13"/>
      <c r="Y77" s="62"/>
      <c r="Z77" s="9"/>
      <c r="AA77" s="23"/>
      <c r="AB77" s="16"/>
    </row>
    <row r="78" spans="11:28" x14ac:dyDescent="0.35">
      <c r="K78" s="6"/>
      <c r="L78" s="8"/>
      <c r="M78" s="8"/>
      <c r="N78" s="62"/>
      <c r="O78" s="62"/>
      <c r="P78" s="63"/>
      <c r="Q78" s="63"/>
      <c r="R78" s="63"/>
      <c r="S78" s="9"/>
      <c r="T78" s="13"/>
      <c r="U78" s="13"/>
      <c r="V78" s="13"/>
      <c r="W78" s="13"/>
      <c r="X78" s="13"/>
      <c r="Y78" s="62"/>
      <c r="Z78" s="9"/>
      <c r="AA78" s="23"/>
      <c r="AB78" s="16"/>
    </row>
    <row r="79" spans="11:28" x14ac:dyDescent="0.35">
      <c r="K79" s="6"/>
      <c r="L79" s="8"/>
      <c r="M79" s="8"/>
      <c r="N79" s="62"/>
      <c r="O79" s="62"/>
      <c r="P79" s="63"/>
      <c r="Q79" s="63"/>
      <c r="R79" s="63"/>
      <c r="S79" s="9"/>
      <c r="T79" s="13"/>
      <c r="U79" s="13"/>
      <c r="V79" s="13"/>
      <c r="W79" s="13"/>
      <c r="X79" s="13"/>
      <c r="Y79" s="62"/>
      <c r="Z79" s="9"/>
      <c r="AA79" s="23"/>
      <c r="AB79" s="16"/>
    </row>
    <row r="80" spans="11:28" x14ac:dyDescent="0.35">
      <c r="K80" s="6"/>
      <c r="L80" s="8"/>
      <c r="M80" s="8"/>
      <c r="N80" s="62"/>
      <c r="O80" s="62"/>
      <c r="P80" s="63"/>
      <c r="Q80" s="63"/>
      <c r="R80" s="63"/>
      <c r="S80" s="9"/>
      <c r="T80" s="13"/>
      <c r="U80" s="13"/>
      <c r="V80" s="13"/>
      <c r="W80" s="13"/>
      <c r="X80" s="13"/>
      <c r="Y80" s="62"/>
      <c r="Z80" s="9"/>
      <c r="AA80" s="23"/>
      <c r="AB80" s="16"/>
    </row>
    <row r="81" spans="11:28" x14ac:dyDescent="0.35">
      <c r="K81" s="6"/>
      <c r="L81" s="8"/>
      <c r="M81" s="8"/>
      <c r="N81" s="62"/>
      <c r="O81" s="62"/>
      <c r="P81" s="63"/>
      <c r="Q81" s="63"/>
      <c r="R81" s="63"/>
      <c r="S81" s="9"/>
      <c r="T81" s="13"/>
      <c r="U81" s="13"/>
      <c r="V81" s="13"/>
      <c r="W81" s="13"/>
      <c r="X81" s="13"/>
      <c r="Y81" s="62"/>
      <c r="Z81" s="9"/>
      <c r="AA81" s="23"/>
      <c r="AB81" s="16"/>
    </row>
  </sheetData>
  <mergeCells count="13">
    <mergeCell ref="E39:H39"/>
    <mergeCell ref="I39:J39"/>
    <mergeCell ref="A46:A50"/>
    <mergeCell ref="A51:A52"/>
    <mergeCell ref="A53:A56"/>
    <mergeCell ref="A57:A58"/>
    <mergeCell ref="C39:D39"/>
    <mergeCell ref="A17:A21"/>
    <mergeCell ref="A22:A26"/>
    <mergeCell ref="A27:A28"/>
    <mergeCell ref="A29:A32"/>
    <mergeCell ref="A33:A34"/>
    <mergeCell ref="A41:A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004F-5C20-453D-888A-27655C5BF02F}">
  <dimension ref="A1:AF66"/>
  <sheetViews>
    <sheetView topLeftCell="A40" workbookViewId="0">
      <selection activeCell="A44" sqref="A44"/>
    </sheetView>
  </sheetViews>
  <sheetFormatPr defaultRowHeight="14.5" x14ac:dyDescent="0.35"/>
  <cols>
    <col min="1" max="1" width="21.26953125" customWidth="1"/>
    <col min="2" max="2" width="10.54296875" customWidth="1"/>
    <col min="5" max="5" width="10.6328125" customWidth="1"/>
    <col min="14" max="14" width="12.1796875" customWidth="1"/>
    <col min="15" max="15" width="12.36328125" bestFit="1" customWidth="1"/>
    <col min="16" max="16" width="12.54296875" bestFit="1" customWidth="1"/>
    <col min="17" max="19" width="14.1796875" bestFit="1" customWidth="1"/>
    <col min="20" max="21" width="9.36328125" bestFit="1" customWidth="1"/>
    <col min="27" max="27" width="14.81640625" customWidth="1"/>
    <col min="28" max="28" width="15" customWidth="1"/>
  </cols>
  <sheetData>
    <row r="1" spans="1:3" x14ac:dyDescent="0.35">
      <c r="A1" s="1"/>
      <c r="B1" s="1"/>
      <c r="C1" s="1" t="s">
        <v>0</v>
      </c>
    </row>
    <row r="2" spans="1:3" ht="15.5" x14ac:dyDescent="0.35">
      <c r="A2" s="1" t="s">
        <v>78</v>
      </c>
      <c r="B2" s="4">
        <v>1.1418269999999999</v>
      </c>
      <c r="C2" s="3" t="s">
        <v>79</v>
      </c>
    </row>
    <row r="3" spans="1:3" ht="15.5" x14ac:dyDescent="0.35">
      <c r="A3" s="1" t="s">
        <v>80</v>
      </c>
      <c r="B3" s="4">
        <v>0.51263800000000004</v>
      </c>
      <c r="C3" s="3" t="s">
        <v>81</v>
      </c>
    </row>
    <row r="4" spans="1:3" ht="15.5" x14ac:dyDescent="0.35">
      <c r="A4" s="1" t="s">
        <v>82</v>
      </c>
      <c r="B4" s="4">
        <v>1</v>
      </c>
      <c r="C4" s="3"/>
    </row>
    <row r="5" spans="1:3" ht="15.5" x14ac:dyDescent="0.35">
      <c r="A5" s="1" t="s">
        <v>83</v>
      </c>
      <c r="B5" s="4">
        <v>0.34841699999999998</v>
      </c>
      <c r="C5" s="3" t="s">
        <v>79</v>
      </c>
    </row>
    <row r="6" spans="1:3" ht="15.5" x14ac:dyDescent="0.35">
      <c r="A6" s="1" t="s">
        <v>84</v>
      </c>
      <c r="B6" s="4">
        <v>0.72189999999999999</v>
      </c>
      <c r="C6" s="3" t="s">
        <v>79</v>
      </c>
    </row>
    <row r="7" spans="1:3" ht="15.5" x14ac:dyDescent="0.35">
      <c r="A7" s="1" t="s">
        <v>85</v>
      </c>
      <c r="B7" s="4">
        <v>0.24157799999999999</v>
      </c>
      <c r="C7" s="3" t="s">
        <v>79</v>
      </c>
    </row>
    <row r="8" spans="1:3" ht="15.5" x14ac:dyDescent="0.35">
      <c r="A8" s="1" t="s">
        <v>86</v>
      </c>
      <c r="B8" s="4">
        <v>0.23641799999999999</v>
      </c>
      <c r="C8" s="3" t="s">
        <v>79</v>
      </c>
    </row>
    <row r="9" spans="1:3" ht="15.5" x14ac:dyDescent="0.35">
      <c r="A9" s="1" t="s">
        <v>87</v>
      </c>
      <c r="B9" s="4">
        <v>0.19670000000000001</v>
      </c>
      <c r="C9" s="3" t="s">
        <v>81</v>
      </c>
    </row>
    <row r="10" spans="1:3" ht="15.5" x14ac:dyDescent="0.35">
      <c r="A10" s="5" t="s">
        <v>88</v>
      </c>
      <c r="B10" s="4">
        <v>141.90771899999999</v>
      </c>
      <c r="C10" s="3" t="s">
        <v>10</v>
      </c>
    </row>
    <row r="11" spans="1:3" ht="15.5" x14ac:dyDescent="0.35">
      <c r="A11" s="5" t="s">
        <v>89</v>
      </c>
      <c r="B11" s="4">
        <v>142.90980999999999</v>
      </c>
      <c r="C11" s="3" t="s">
        <v>10</v>
      </c>
    </row>
    <row r="12" spans="1:3" ht="15.5" x14ac:dyDescent="0.35">
      <c r="A12" s="5" t="s">
        <v>90</v>
      </c>
      <c r="B12" s="4">
        <v>143.91008299999999</v>
      </c>
      <c r="C12" s="3" t="s">
        <v>10</v>
      </c>
    </row>
    <row r="13" spans="1:3" ht="15.5" x14ac:dyDescent="0.35">
      <c r="A13" s="5" t="s">
        <v>91</v>
      </c>
      <c r="B13" s="4">
        <v>144.91256899999999</v>
      </c>
      <c r="C13" s="3" t="s">
        <v>10</v>
      </c>
    </row>
    <row r="14" spans="1:3" ht="15.5" x14ac:dyDescent="0.35">
      <c r="A14" s="5" t="s">
        <v>92</v>
      </c>
      <c r="B14" s="4">
        <v>145.91311300000001</v>
      </c>
      <c r="C14" s="3" t="s">
        <v>10</v>
      </c>
    </row>
    <row r="15" spans="1:3" ht="15.5" x14ac:dyDescent="0.35">
      <c r="A15" s="5" t="s">
        <v>93</v>
      </c>
      <c r="B15" s="4">
        <v>147.916889</v>
      </c>
      <c r="C15" s="3" t="s">
        <v>10</v>
      </c>
    </row>
    <row r="16" spans="1:3" ht="15.5" x14ac:dyDescent="0.35">
      <c r="A16" s="5" t="s">
        <v>94</v>
      </c>
      <c r="B16" s="4">
        <v>149.92088699999999</v>
      </c>
      <c r="C16" s="3" t="s">
        <v>10</v>
      </c>
    </row>
    <row r="17" spans="1:32" x14ac:dyDescent="0.35">
      <c r="A17" s="1" t="s">
        <v>95</v>
      </c>
      <c r="B17" s="4">
        <v>150.36000000000001</v>
      </c>
      <c r="C17" s="3" t="s">
        <v>15</v>
      </c>
    </row>
    <row r="18" spans="1:32" ht="15.5" x14ac:dyDescent="0.35">
      <c r="A18" s="5" t="s">
        <v>96</v>
      </c>
      <c r="B18" s="4">
        <v>14.99</v>
      </c>
      <c r="C18" s="3" t="s">
        <v>17</v>
      </c>
    </row>
    <row r="19" spans="1:32" ht="15.5" x14ac:dyDescent="0.35">
      <c r="A19" s="1" t="s">
        <v>97</v>
      </c>
      <c r="B19" s="2">
        <v>6.54E-12</v>
      </c>
      <c r="C19" s="12" t="s">
        <v>98</v>
      </c>
    </row>
    <row r="20" spans="1:32" x14ac:dyDescent="0.35">
      <c r="A20" s="3"/>
      <c r="B20" s="2"/>
      <c r="C20" s="12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2" ht="15" thickBot="1" x14ac:dyDescent="0.4">
      <c r="A21" s="56" t="s">
        <v>136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</row>
    <row r="22" spans="1:32" ht="15" thickBot="1" x14ac:dyDescent="0.4">
      <c r="A22" s="18" t="s">
        <v>128</v>
      </c>
      <c r="B22" s="85" t="s">
        <v>19</v>
      </c>
      <c r="C22" s="85" t="s">
        <v>20</v>
      </c>
      <c r="D22" s="85" t="s">
        <v>21</v>
      </c>
      <c r="E22" s="85" t="s">
        <v>22</v>
      </c>
      <c r="F22" s="86" t="s">
        <v>23</v>
      </c>
      <c r="G22" s="86" t="s">
        <v>24</v>
      </c>
      <c r="H22" s="85" t="s">
        <v>25</v>
      </c>
      <c r="I22" s="85" t="s">
        <v>26</v>
      </c>
      <c r="J22" s="85" t="s">
        <v>27</v>
      </c>
      <c r="K22" s="85" t="s">
        <v>99</v>
      </c>
      <c r="L22" s="85" t="s">
        <v>100</v>
      </c>
      <c r="M22" s="85" t="s">
        <v>101</v>
      </c>
      <c r="N22" s="87" t="s">
        <v>102</v>
      </c>
      <c r="O22" s="87" t="s">
        <v>31</v>
      </c>
      <c r="P22" s="87" t="s">
        <v>32</v>
      </c>
      <c r="Q22" s="87" t="s">
        <v>33</v>
      </c>
      <c r="R22" s="87" t="s">
        <v>103</v>
      </c>
      <c r="S22" s="87" t="s">
        <v>104</v>
      </c>
      <c r="T22" s="87" t="s">
        <v>105</v>
      </c>
      <c r="U22" s="87" t="s">
        <v>106</v>
      </c>
      <c r="V22" s="87" t="s">
        <v>107</v>
      </c>
      <c r="W22" s="87" t="s">
        <v>108</v>
      </c>
      <c r="X22" s="87" t="s">
        <v>109</v>
      </c>
      <c r="Y22" s="87" t="s">
        <v>110</v>
      </c>
      <c r="Z22" s="87" t="s">
        <v>111</v>
      </c>
      <c r="AA22" s="87" t="s">
        <v>112</v>
      </c>
      <c r="AB22" s="85" t="s">
        <v>113</v>
      </c>
      <c r="AC22" s="88" t="s">
        <v>114</v>
      </c>
      <c r="AD22" s="29"/>
      <c r="AE22" s="29"/>
    </row>
    <row r="23" spans="1:32" x14ac:dyDescent="0.35">
      <c r="A23" s="19" t="s">
        <v>129</v>
      </c>
      <c r="B23" s="23" t="s">
        <v>43</v>
      </c>
      <c r="C23" s="23">
        <v>25</v>
      </c>
      <c r="D23" s="23">
        <v>0.9</v>
      </c>
      <c r="E23" s="24" t="s">
        <v>44</v>
      </c>
      <c r="F23" s="25">
        <v>-26.920166666666667</v>
      </c>
      <c r="G23" s="25">
        <v>-68.832666666666668</v>
      </c>
      <c r="H23" s="23" t="s">
        <v>45</v>
      </c>
      <c r="I23" s="26">
        <v>55.334224043639409</v>
      </c>
      <c r="J23" s="26">
        <v>0.65824117956821859</v>
      </c>
      <c r="K23" s="26">
        <v>5.4470000000000001</v>
      </c>
      <c r="L23" s="26">
        <v>28.51</v>
      </c>
      <c r="M23" s="89">
        <f>K23/L23</f>
        <v>0.19105576990529638</v>
      </c>
      <c r="N23" s="16">
        <v>0.51263899999999996</v>
      </c>
      <c r="O23" s="23">
        <v>3.9999999999999998E-6</v>
      </c>
      <c r="P23" s="43">
        <f>EXP(B$19*C23*1000000)-1</f>
        <v>1.6351336685338502E-4</v>
      </c>
      <c r="Q23" s="43">
        <f>B$3-(P23*B$9)</f>
        <v>0.51260583692074002</v>
      </c>
      <c r="R23" s="44">
        <f>B$2+N23+B$4+B$5+B$6+B$7+B$8</f>
        <v>4.2027789999999996</v>
      </c>
      <c r="S23" s="27">
        <f>(100/R23)*B$2</f>
        <v>27.168380730940171</v>
      </c>
      <c r="T23" s="27">
        <f>(100/R23)*N23</f>
        <v>12.197619717810525</v>
      </c>
      <c r="U23" s="27">
        <f>(100/R23)*B$4</f>
        <v>23.793780258252934</v>
      </c>
      <c r="V23" s="27">
        <f>(100/R23)*B$5</f>
        <v>8.2901575362397111</v>
      </c>
      <c r="W23" s="27">
        <f>(100/R23)*B$6</f>
        <v>17.176729968432792</v>
      </c>
      <c r="X23" s="27">
        <f>(100/R23)*B$7</f>
        <v>5.7480538472282268</v>
      </c>
      <c r="Y23" s="27">
        <f>(100/R23)*B$8</f>
        <v>5.6252779410956419</v>
      </c>
      <c r="Z23" s="27">
        <f>((S23/100)*B$10)+((T23/100)*B$11)+((U23/100)*B$12)+((V23/100)*B$13)+((W23/100)*B$14)+((X23/100)*B$15)+((Y23/100)*B$16)</f>
        <v>144.23966414907468</v>
      </c>
      <c r="AA23" s="27">
        <f>M23*(Z23/B$17)*(B$18/U23)</f>
        <v>0.11546509835078955</v>
      </c>
      <c r="AB23" s="16">
        <f>N23-(AA23*P23)</f>
        <v>0.51262011991301459</v>
      </c>
      <c r="AC23" s="46">
        <f>((AB23/Q23)-1)*10000</f>
        <v>0.27863499097779965</v>
      </c>
      <c r="AD23" s="29"/>
      <c r="AE23" s="29"/>
    </row>
    <row r="24" spans="1:32" x14ac:dyDescent="0.35">
      <c r="A24" s="19"/>
      <c r="B24" s="23" t="s">
        <v>46</v>
      </c>
      <c r="C24" s="23">
        <v>25</v>
      </c>
      <c r="D24" s="23">
        <v>0.9</v>
      </c>
      <c r="E24" s="23" t="s">
        <v>44</v>
      </c>
      <c r="F24" s="25">
        <v>-26.914972222222222</v>
      </c>
      <c r="G24" s="25">
        <v>-68.839833333333331</v>
      </c>
      <c r="H24" s="23" t="s">
        <v>47</v>
      </c>
      <c r="I24" s="26">
        <v>52.123955283302038</v>
      </c>
      <c r="J24" s="26">
        <v>0.89926893963897181</v>
      </c>
      <c r="K24" s="26">
        <v>4.6159999999999997</v>
      </c>
      <c r="L24" s="26">
        <v>21.74</v>
      </c>
      <c r="M24" s="89">
        <f t="shared" ref="M24:M41" si="0">K24/L24</f>
        <v>0.21232750689972402</v>
      </c>
      <c r="N24" s="16">
        <v>0.51277099999999998</v>
      </c>
      <c r="O24" s="23">
        <v>6.0000000000000002E-6</v>
      </c>
      <c r="P24" s="43">
        <f>EXP(B$19*C24*1000000)-1</f>
        <v>1.6351336685338502E-4</v>
      </c>
      <c r="Q24" s="43">
        <f>B$3-(P24*B$9)</f>
        <v>0.51260583692074002</v>
      </c>
      <c r="R24" s="44">
        <f>B$2+N24+B$4+B$5+B$6+B$7+B$8</f>
        <v>4.2029110000000003</v>
      </c>
      <c r="S24" s="27">
        <f>(100/R24)*B$2</f>
        <v>27.167527458944523</v>
      </c>
      <c r="T24" s="27">
        <f t="shared" ref="T24:T41" si="1">(100/R24)*N24</f>
        <v>12.200377309916863</v>
      </c>
      <c r="U24" s="27">
        <f>(100/R24)*B$4</f>
        <v>23.793032971671298</v>
      </c>
      <c r="V24" s="27">
        <f>(100/R24)*B$5</f>
        <v>8.2898971688907981</v>
      </c>
      <c r="W24" s="27">
        <f>(100/R24)*B$6</f>
        <v>17.176190502249511</v>
      </c>
      <c r="X24" s="27">
        <f>(100/R24)*B$7</f>
        <v>5.7478733192304086</v>
      </c>
      <c r="Y24" s="27">
        <f>(100/R24)*B$8</f>
        <v>5.6251012690965849</v>
      </c>
      <c r="Z24" s="27">
        <f>((S24/100)*B$10)+((T24/100)*B$11)+((U24/100)*B$12)+((V24/100)*B$13)+((W24/100)*B$14)+((X24/100)*B$15)+((Y24/100)*B$16)</f>
        <v>144.23962238260668</v>
      </c>
      <c r="AA24" s="27">
        <f>M24*(Z24/B$17)*(B$18/U24)</f>
        <v>0.12832472626236907</v>
      </c>
      <c r="AB24" s="16">
        <f t="shared" ref="AB24:AB41" si="2">N24-(AA24*P24)</f>
        <v>0.51275001719195823</v>
      </c>
      <c r="AC24" s="46">
        <f t="shared" ref="AC24:AC41" si="3">((AB24/Q24)-1)*10000</f>
        <v>2.8126927325744511</v>
      </c>
      <c r="AD24" s="29"/>
      <c r="AE24" s="29"/>
    </row>
    <row r="25" spans="1:32" x14ac:dyDescent="0.35">
      <c r="A25" s="19"/>
      <c r="B25" s="23" t="s">
        <v>48</v>
      </c>
      <c r="C25" s="23">
        <v>25</v>
      </c>
      <c r="D25" s="23">
        <v>0.9</v>
      </c>
      <c r="E25" s="23" t="s">
        <v>44</v>
      </c>
      <c r="F25" s="25">
        <v>-26.914972222222222</v>
      </c>
      <c r="G25" s="25">
        <v>-68.839833333333331</v>
      </c>
      <c r="H25" s="23" t="s">
        <v>47</v>
      </c>
      <c r="I25" s="26">
        <v>51.601964688965936</v>
      </c>
      <c r="J25" s="26">
        <v>1.58010954661465</v>
      </c>
      <c r="K25" s="26">
        <v>4.9279999999999999</v>
      </c>
      <c r="L25" s="26">
        <v>23.03</v>
      </c>
      <c r="M25" s="89">
        <f t="shared" si="0"/>
        <v>0.21398176291793311</v>
      </c>
      <c r="N25" s="16">
        <v>0.51279699999999995</v>
      </c>
      <c r="O25" s="23">
        <v>6.0000000000000002E-6</v>
      </c>
      <c r="P25" s="43">
        <f>EXP(B$19*C25*1000000)-1</f>
        <v>1.6351336685338502E-4</v>
      </c>
      <c r="Q25" s="43">
        <f>B$3-(P25*B$9)</f>
        <v>0.51260583692074002</v>
      </c>
      <c r="R25" s="44">
        <f>B$2+N25+B$4+B$5+B$6+B$7+B$8</f>
        <v>4.2029370000000004</v>
      </c>
      <c r="S25" s="27">
        <f>(100/R25)*B$2</f>
        <v>27.167359396536273</v>
      </c>
      <c r="T25" s="27">
        <f t="shared" si="1"/>
        <v>12.200920451579453</v>
      </c>
      <c r="U25" s="27">
        <f>(100/R25)*B$4</f>
        <v>23.79288578439315</v>
      </c>
      <c r="V25" s="27">
        <f>(100/R25)*B$5</f>
        <v>8.2898458863409079</v>
      </c>
      <c r="W25" s="27">
        <f>(100/R25)*B$6</f>
        <v>17.176084247753415</v>
      </c>
      <c r="X25" s="27">
        <f>(100/R25)*B$7</f>
        <v>5.7478377620221277</v>
      </c>
      <c r="Y25" s="27">
        <f>(100/R25)*B$8</f>
        <v>5.6250664713746596</v>
      </c>
      <c r="Z25" s="27">
        <f>((S25/100)*B$10)+((T25/100)*B$11)+((U25/100)*B$12)+((V25/100)*B$13)+((W25/100)*B$14)+((X25/100)*B$15)+((Y25/100)*B$16)</f>
        <v>144.23961415618743</v>
      </c>
      <c r="AA25" s="27">
        <f>M25*(Z25/B$17)*(B$18/U25)</f>
        <v>0.12932530435611714</v>
      </c>
      <c r="AB25" s="16">
        <f t="shared" si="2"/>
        <v>0.5127758535840653</v>
      </c>
      <c r="AC25" s="46">
        <f t="shared" si="3"/>
        <v>3.3167133707756591</v>
      </c>
      <c r="AD25" s="29"/>
      <c r="AE25" s="29"/>
    </row>
    <row r="26" spans="1:32" x14ac:dyDescent="0.35">
      <c r="A26" s="19"/>
      <c r="B26" s="23" t="s">
        <v>49</v>
      </c>
      <c r="C26" s="23">
        <v>25</v>
      </c>
      <c r="D26" s="23">
        <v>0.9</v>
      </c>
      <c r="E26" s="23" t="s">
        <v>44</v>
      </c>
      <c r="F26" s="25">
        <v>-26.914972222222222</v>
      </c>
      <c r="G26" s="25">
        <v>-68.839833333333331</v>
      </c>
      <c r="H26" s="23" t="s">
        <v>47</v>
      </c>
      <c r="I26" s="26">
        <v>49.732937821989474</v>
      </c>
      <c r="J26" s="26">
        <v>1.1597429176690004</v>
      </c>
      <c r="K26" s="26">
        <v>3.8879999999999999</v>
      </c>
      <c r="L26" s="26">
        <v>17.12</v>
      </c>
      <c r="M26" s="89">
        <f t="shared" si="0"/>
        <v>0.22710280373831773</v>
      </c>
      <c r="N26" s="16">
        <v>0.51276999999999995</v>
      </c>
      <c r="O26" s="23">
        <v>3.9999999999999998E-6</v>
      </c>
      <c r="P26" s="43">
        <f>EXP(B$19*C26*1000000)-1</f>
        <v>1.6351336685338502E-4</v>
      </c>
      <c r="Q26" s="43">
        <f>B$3-(P26*B$9)</f>
        <v>0.51260583692074002</v>
      </c>
      <c r="R26" s="44">
        <f>B$2+N26+B$4+B$5+B$6+B$7+B$8</f>
        <v>4.2029100000000001</v>
      </c>
      <c r="S26" s="27">
        <f>(100/R26)*B$2</f>
        <v>27.167533922924825</v>
      </c>
      <c r="T26" s="27">
        <f t="shared" si="1"/>
        <v>12.200356419718716</v>
      </c>
      <c r="U26" s="27">
        <f>(100/R26)*B$4</f>
        <v>23.793038632756826</v>
      </c>
      <c r="V26" s="27">
        <f>(100/R26)*B$5</f>
        <v>8.2898991413092347</v>
      </c>
      <c r="W26" s="27">
        <f>(100/R26)*B$6</f>
        <v>17.176194588987151</v>
      </c>
      <c r="X26" s="27">
        <f>(100/R26)*B$7</f>
        <v>5.7478746868241277</v>
      </c>
      <c r="Y26" s="27">
        <f>(100/R26)*B$8</f>
        <v>5.6251026074791026</v>
      </c>
      <c r="Z26" s="27">
        <f>((S26/100)*B$10)+((T26/100)*B$11)+((U26/100)*B$12)+((V26/100)*B$13)+((W26/100)*B$14)+((X26/100)*B$15)+((Y26/100)*B$16)</f>
        <v>144.23962269900943</v>
      </c>
      <c r="AA26" s="27">
        <f>M26*(Z26/B$17)*(B$18/U26)</f>
        <v>0.13725446447617384</v>
      </c>
      <c r="AB26" s="16">
        <f t="shared" si="2"/>
        <v>0.51274755706039776</v>
      </c>
      <c r="AC26" s="46">
        <f t="shared" si="3"/>
        <v>2.7647000765562701</v>
      </c>
      <c r="AD26" s="29"/>
      <c r="AE26" s="29"/>
    </row>
    <row r="27" spans="1:32" x14ac:dyDescent="0.35">
      <c r="A27" s="20"/>
      <c r="B27" s="23" t="s">
        <v>50</v>
      </c>
      <c r="C27" s="23">
        <v>25</v>
      </c>
      <c r="D27" s="23">
        <v>0.9</v>
      </c>
      <c r="E27" s="23" t="s">
        <v>44</v>
      </c>
      <c r="F27" s="25">
        <v>-26.914972222222222</v>
      </c>
      <c r="G27" s="25">
        <v>-68.839833333333331</v>
      </c>
      <c r="H27" s="23" t="s">
        <v>47</v>
      </c>
      <c r="I27" s="26">
        <v>53.208467592892923</v>
      </c>
      <c r="J27" s="26">
        <v>0.67682873918950492</v>
      </c>
      <c r="K27" s="26">
        <v>5.1360000000000001</v>
      </c>
      <c r="L27" s="26">
        <v>24.5</v>
      </c>
      <c r="M27" s="89">
        <f t="shared" si="0"/>
        <v>0.2096326530612245</v>
      </c>
      <c r="N27" s="16">
        <v>0.51281100000000002</v>
      </c>
      <c r="O27" s="23">
        <v>3.9999999999999998E-6</v>
      </c>
      <c r="P27" s="43">
        <f>EXP(B$19*C27*1000000)-1</f>
        <v>1.6351336685338502E-4</v>
      </c>
      <c r="Q27" s="43">
        <f>B$3-(P27*B$9)</f>
        <v>0.51260583692074002</v>
      </c>
      <c r="R27" s="44">
        <f>B$2+N27+B$4+B$5+B$6+B$7+B$8</f>
        <v>4.2029509999999997</v>
      </c>
      <c r="S27" s="27">
        <f>(100/R27)*B$2</f>
        <v>27.16726890225463</v>
      </c>
      <c r="T27" s="27">
        <f t="shared" si="1"/>
        <v>12.201212909691311</v>
      </c>
      <c r="U27" s="27">
        <f>(100/R27)*B$4</f>
        <v>23.792806530459195</v>
      </c>
      <c r="V27" s="27">
        <f>(100/R27)*B$5</f>
        <v>8.2898182729230001</v>
      </c>
      <c r="W27" s="27">
        <f>(100/R27)*B$6</f>
        <v>17.176027034338492</v>
      </c>
      <c r="X27" s="27">
        <f>(100/R27)*B$7</f>
        <v>5.7478186160152713</v>
      </c>
      <c r="Y27" s="27">
        <f>(100/R27)*B$8</f>
        <v>5.6250477343181018</v>
      </c>
      <c r="Z27" s="27">
        <f>((S27/100)*B$10)+((T27/100)*B$11)+((U27/100)*B$12)+((V27/100)*B$13)+((W27/100)*B$14)+((X27/100)*B$15)+((Y27/100)*B$16)</f>
        <v>144.23960972661922</v>
      </c>
      <c r="AA27" s="27">
        <f>M27*(Z27/B$17)*(B$18/U27)</f>
        <v>0.1266972276705495</v>
      </c>
      <c r="AB27" s="16">
        <f t="shared" si="2"/>
        <v>0.51279028330973264</v>
      </c>
      <c r="AC27" s="46">
        <f t="shared" si="3"/>
        <v>3.5982108612064856</v>
      </c>
      <c r="AD27" s="29"/>
      <c r="AE27" s="29"/>
    </row>
    <row r="28" spans="1:32" x14ac:dyDescent="0.35">
      <c r="A28" s="21" t="s">
        <v>130</v>
      </c>
      <c r="B28" s="23" t="s">
        <v>51</v>
      </c>
      <c r="C28" s="23">
        <v>59.6</v>
      </c>
      <c r="D28" s="23">
        <v>2.8</v>
      </c>
      <c r="E28" s="23" t="s">
        <v>52</v>
      </c>
      <c r="F28" s="25">
        <v>-27.133777777777777</v>
      </c>
      <c r="G28" s="25">
        <v>-70.114833333333337</v>
      </c>
      <c r="H28" s="23" t="s">
        <v>53</v>
      </c>
      <c r="I28" s="26">
        <v>65.046232224358292</v>
      </c>
      <c r="J28" s="26">
        <v>0.64602708944514997</v>
      </c>
      <c r="K28" s="26">
        <v>3.9540000000000002</v>
      </c>
      <c r="L28" s="26">
        <v>18.73</v>
      </c>
      <c r="M28" s="89">
        <f t="shared" si="0"/>
        <v>0.21110517885744795</v>
      </c>
      <c r="N28" s="16">
        <v>0.51299499999999998</v>
      </c>
      <c r="O28" s="23">
        <v>7.9999999999999996E-6</v>
      </c>
      <c r="P28" s="43">
        <f>EXP(B$19*C28*1000000)-1</f>
        <v>3.8985997565443853E-4</v>
      </c>
      <c r="Q28" s="43">
        <f>B$3-(P28*B$9)</f>
        <v>0.51256131454278886</v>
      </c>
      <c r="R28" s="44">
        <f>B$2+N28+B$4+B$5+B$6+B$7+B$8</f>
        <v>4.2031349999999996</v>
      </c>
      <c r="S28" s="27">
        <f>(100/R28)*B$2</f>
        <v>27.166079604866368</v>
      </c>
      <c r="T28" s="27">
        <f t="shared" si="1"/>
        <v>12.205056463806184</v>
      </c>
      <c r="U28" s="27">
        <f>(100/R28)*B$4</f>
        <v>23.791764956395646</v>
      </c>
      <c r="V28" s="27">
        <f>(100/R28)*B$5</f>
        <v>8.2894553708125009</v>
      </c>
      <c r="W28" s="27">
        <f>(100/R28)*B$6</f>
        <v>17.175275122022015</v>
      </c>
      <c r="X28" s="27">
        <f>(100/R28)*B$7</f>
        <v>5.7475669946361467</v>
      </c>
      <c r="Y28" s="27">
        <f>(100/R28)*B$8</f>
        <v>5.6248014874611458</v>
      </c>
      <c r="Z28" s="27">
        <f>((S28/100)*B$10)+((T28/100)*B$11)+((U28/100)*B$12)+((V28/100)*B$13)+((W28/100)*B$14)+((X28/100)*B$15)+((Y28/100)*B$16)</f>
        <v>144.23955151217933</v>
      </c>
      <c r="AA28" s="27">
        <f>M28*(Z28/B$17)*(B$18/U28)</f>
        <v>0.12759272302504618</v>
      </c>
      <c r="AB28" s="16">
        <f t="shared" si="2"/>
        <v>0.51294525670410773</v>
      </c>
      <c r="AC28" s="46">
        <f t="shared" si="3"/>
        <v>7.4906581988409826</v>
      </c>
      <c r="AD28" s="29"/>
      <c r="AE28" s="29"/>
    </row>
    <row r="29" spans="1:32" x14ac:dyDescent="0.35">
      <c r="A29" s="19"/>
      <c r="B29" s="23" t="s">
        <v>54</v>
      </c>
      <c r="C29" s="23">
        <v>59.6</v>
      </c>
      <c r="D29" s="23">
        <v>2.8</v>
      </c>
      <c r="E29" s="23" t="s">
        <v>52</v>
      </c>
      <c r="F29" s="25">
        <v>-27.133777777777777</v>
      </c>
      <c r="G29" s="25">
        <v>-70.114833333333337</v>
      </c>
      <c r="H29" s="23" t="s">
        <v>53</v>
      </c>
      <c r="I29" s="26">
        <v>60.700399233469525</v>
      </c>
      <c r="J29" s="26">
        <v>0.72728526127109572</v>
      </c>
      <c r="K29" s="26">
        <v>2.27</v>
      </c>
      <c r="L29" s="26">
        <v>11.1</v>
      </c>
      <c r="M29" s="89">
        <f t="shared" si="0"/>
        <v>0.20450450450450453</v>
      </c>
      <c r="N29" s="16">
        <v>0.512988</v>
      </c>
      <c r="O29" s="23">
        <v>7.9999999999999996E-6</v>
      </c>
      <c r="P29" s="43">
        <f>EXP(B$19*C29*1000000)-1</f>
        <v>3.8985997565443853E-4</v>
      </c>
      <c r="Q29" s="43">
        <f>B$3-(P29*B$9)</f>
        <v>0.51256131454278886</v>
      </c>
      <c r="R29" s="44">
        <f>B$2+N29+B$4+B$5+B$6+B$7+B$8</f>
        <v>4.2031280000000004</v>
      </c>
      <c r="S29" s="27">
        <f>(100/R29)*B$2</f>
        <v>27.166124847970362</v>
      </c>
      <c r="T29" s="27">
        <f t="shared" si="1"/>
        <v>12.204910247796402</v>
      </c>
      <c r="U29" s="27">
        <f>(100/R29)*B$4</f>
        <v>23.791804579827211</v>
      </c>
      <c r="V29" s="27">
        <f>(100/R29)*B$5</f>
        <v>8.2894691762896571</v>
      </c>
      <c r="W29" s="27">
        <f>(100/R29)*B$6</f>
        <v>17.175303726177262</v>
      </c>
      <c r="X29" s="27">
        <f>(100/R29)*B$7</f>
        <v>5.7475765667854981</v>
      </c>
      <c r="Y29" s="27">
        <f>(100/R29)*B$8</f>
        <v>5.6248108551535889</v>
      </c>
      <c r="Z29" s="27">
        <f>((S29/100)*B$10)+((T29/100)*B$11)+((U29/100)*B$12)+((V29/100)*B$13)+((W29/100)*B$14)+((X29/100)*B$15)+((Y29/100)*B$16)</f>
        <v>144.23955372676585</v>
      </c>
      <c r="AA29" s="27">
        <f>M29*(Z29/B$17)*(B$18/U29)</f>
        <v>0.12360304795026815</v>
      </c>
      <c r="AB29" s="16">
        <f t="shared" si="2"/>
        <v>0.51293981211873529</v>
      </c>
      <c r="AC29" s="46">
        <f t="shared" si="3"/>
        <v>7.3844350950302839</v>
      </c>
      <c r="AD29" s="29"/>
      <c r="AE29" s="29"/>
    </row>
    <row r="30" spans="1:32" x14ac:dyDescent="0.35">
      <c r="A30" s="19"/>
      <c r="B30" s="23" t="s">
        <v>55</v>
      </c>
      <c r="C30" s="23">
        <v>59.6</v>
      </c>
      <c r="D30" s="23">
        <v>2.8</v>
      </c>
      <c r="E30" s="23" t="s">
        <v>52</v>
      </c>
      <c r="F30" s="25">
        <v>-27.133777777777777</v>
      </c>
      <c r="G30" s="25">
        <v>-70.114833333333337</v>
      </c>
      <c r="H30" s="23" t="s">
        <v>53</v>
      </c>
      <c r="I30" s="26">
        <v>62.659689589083641</v>
      </c>
      <c r="J30" s="26">
        <v>2.0794926627829815</v>
      </c>
      <c r="K30" s="26">
        <v>3.2759999999999998</v>
      </c>
      <c r="L30" s="26">
        <v>15.52</v>
      </c>
      <c r="M30" s="89">
        <f t="shared" si="0"/>
        <v>0.21108247422680412</v>
      </c>
      <c r="N30" s="16">
        <v>0.51297000000000004</v>
      </c>
      <c r="O30" s="23">
        <v>6.0000000000000002E-6</v>
      </c>
      <c r="P30" s="43">
        <f>EXP(B$19*C30*1000000)-1</f>
        <v>3.8985997565443853E-4</v>
      </c>
      <c r="Q30" s="43">
        <f>B$3-(P30*B$9)</f>
        <v>0.51256131454278886</v>
      </c>
      <c r="R30" s="44">
        <f>B$2+N30+B$4+B$5+B$6+B$7+B$8</f>
        <v>4.2031099999999997</v>
      </c>
      <c r="S30" s="27">
        <f>(100/R30)*B$2</f>
        <v>27.16624118807264</v>
      </c>
      <c r="T30" s="27">
        <f t="shared" si="1"/>
        <v>12.204534261534912</v>
      </c>
      <c r="U30" s="27">
        <f>(100/R30)*B$4</f>
        <v>23.791906469257288</v>
      </c>
      <c r="V30" s="27">
        <f>(100/R30)*B$5</f>
        <v>8.2895046762992166</v>
      </c>
      <c r="W30" s="27">
        <f>(100/R30)*B$6</f>
        <v>17.175377280156837</v>
      </c>
      <c r="X30" s="27">
        <f>(100/R30)*B$7</f>
        <v>5.7476011810302365</v>
      </c>
      <c r="Y30" s="27">
        <f>(100/R30)*B$8</f>
        <v>5.6248349436488692</v>
      </c>
      <c r="Z30" s="27">
        <f>((S30/100)*B$10)+((T30/100)*B$11)+((U30/100)*B$12)+((V30/100)*B$13)+((W30/100)*B$14)+((X30/100)*B$15)+((Y30/100)*B$16)</f>
        <v>144.23955942145076</v>
      </c>
      <c r="AA30" s="27">
        <f>M30*(Z30/B$17)*(B$18/U30)</f>
        <v>0.1275782484285708</v>
      </c>
      <c r="AB30" s="16">
        <f t="shared" si="2"/>
        <v>0.51292026234717358</v>
      </c>
      <c r="AC30" s="46">
        <f t="shared" si="3"/>
        <v>7.0030217693051178</v>
      </c>
      <c r="AD30" s="29"/>
      <c r="AE30" s="29"/>
    </row>
    <row r="31" spans="1:32" x14ac:dyDescent="0.35">
      <c r="A31" s="19"/>
      <c r="B31" s="23" t="s">
        <v>56</v>
      </c>
      <c r="C31" s="23">
        <v>59.6</v>
      </c>
      <c r="D31" s="23">
        <v>2.8</v>
      </c>
      <c r="E31" s="23" t="s">
        <v>52</v>
      </c>
      <c r="F31" s="25">
        <v>-27.133722222222222</v>
      </c>
      <c r="G31" s="25">
        <v>-70.110500000000002</v>
      </c>
      <c r="H31" s="23" t="s">
        <v>53</v>
      </c>
      <c r="I31" s="26">
        <v>51.861804170569542</v>
      </c>
      <c r="J31" s="26">
        <v>1.2522610268539658</v>
      </c>
      <c r="K31" s="26">
        <v>2.9460000000000002</v>
      </c>
      <c r="L31" s="26">
        <v>12.07</v>
      </c>
      <c r="M31" s="89">
        <f t="shared" si="0"/>
        <v>0.24407622203811102</v>
      </c>
      <c r="N31" s="16">
        <v>0.51296699999999995</v>
      </c>
      <c r="O31" s="23">
        <v>7.9999999999999996E-6</v>
      </c>
      <c r="P31" s="43">
        <f>EXP(B$19*C31*1000000)-1</f>
        <v>3.8985997565443853E-4</v>
      </c>
      <c r="Q31" s="43">
        <f>B$3-(P31*B$9)</f>
        <v>0.51256131454278886</v>
      </c>
      <c r="R31" s="44">
        <f>B$2+N31+B$4+B$5+B$6+B$7+B$8</f>
        <v>4.2031070000000001</v>
      </c>
      <c r="S31" s="27">
        <f>(100/R31)*B$2</f>
        <v>27.166260578186563</v>
      </c>
      <c r="T31" s="27">
        <f t="shared" si="1"/>
        <v>12.204471596844904</v>
      </c>
      <c r="U31" s="27">
        <f>(100/R31)*B$4</f>
        <v>23.79192345091381</v>
      </c>
      <c r="V31" s="27">
        <f>(100/R31)*B$5</f>
        <v>8.2895105929970363</v>
      </c>
      <c r="W31" s="27">
        <f>(100/R31)*B$6</f>
        <v>17.175389539214677</v>
      </c>
      <c r="X31" s="27">
        <f>(100/R31)*B$7</f>
        <v>5.7476052834248561</v>
      </c>
      <c r="Y31" s="27">
        <f>(100/R31)*B$8</f>
        <v>5.6248389584181409</v>
      </c>
      <c r="Z31" s="27">
        <f>((S31/100)*B$10)+((T31/100)*B$11)+((U31/100)*B$12)+((V31/100)*B$13)+((W31/100)*B$14)+((X31/100)*B$15)+((Y31/100)*B$16)</f>
        <v>144.23956037056965</v>
      </c>
      <c r="AA31" s="27">
        <f>M31*(Z31/B$17)*(B$18/U31)</f>
        <v>0.14751956544042905</v>
      </c>
      <c r="AB31" s="16">
        <f t="shared" si="2"/>
        <v>0.51290948802580882</v>
      </c>
      <c r="AC31" s="46">
        <f t="shared" si="3"/>
        <v>6.7928162571240236</v>
      </c>
      <c r="AD31" s="29"/>
      <c r="AE31" s="29"/>
    </row>
    <row r="32" spans="1:32" x14ac:dyDescent="0.35">
      <c r="A32" s="20"/>
      <c r="B32" s="23" t="s">
        <v>57</v>
      </c>
      <c r="C32" s="23">
        <v>59.6</v>
      </c>
      <c r="D32" s="23">
        <v>2.8</v>
      </c>
      <c r="E32" s="23" t="s">
        <v>52</v>
      </c>
      <c r="F32" s="25">
        <v>-27.137055555555555</v>
      </c>
      <c r="G32" s="25">
        <v>-70.086666666666673</v>
      </c>
      <c r="H32" s="23" t="s">
        <v>53</v>
      </c>
      <c r="I32" s="26">
        <v>56.749704737205676</v>
      </c>
      <c r="J32" s="26">
        <v>0.39538595473010246</v>
      </c>
      <c r="K32" s="26">
        <v>3.73</v>
      </c>
      <c r="L32" s="26">
        <v>19.420000000000002</v>
      </c>
      <c r="M32" s="89">
        <f t="shared" si="0"/>
        <v>0.19207003089598351</v>
      </c>
      <c r="N32" s="16">
        <v>0.51289700000000005</v>
      </c>
      <c r="O32" s="23">
        <v>6.0000000000000002E-6</v>
      </c>
      <c r="P32" s="43">
        <f>EXP(B$19*C32*1000000)-1</f>
        <v>3.8985997565443853E-4</v>
      </c>
      <c r="Q32" s="43">
        <f>B$3-(P32*B$9)</f>
        <v>0.51256131454278886</v>
      </c>
      <c r="R32" s="44">
        <f>B$2+N32+B$4+B$5+B$6+B$7+B$8</f>
        <v>4.2030370000000001</v>
      </c>
      <c r="S32" s="27">
        <f>(100/R32)*B$2</f>
        <v>27.166713022036205</v>
      </c>
      <c r="T32" s="27">
        <f t="shared" si="1"/>
        <v>12.203009395349126</v>
      </c>
      <c r="U32" s="27">
        <f>(100/R32)*B$4</f>
        <v>23.792319696448068</v>
      </c>
      <c r="V32" s="27">
        <f>(100/R32)*B$5</f>
        <v>8.2896486516773464</v>
      </c>
      <c r="W32" s="27">
        <f>(100/R32)*B$6</f>
        <v>17.175675588865861</v>
      </c>
      <c r="X32" s="27">
        <f>(100/R32)*B$7</f>
        <v>5.7477010076285309</v>
      </c>
      <c r="Y32" s="27">
        <f>(100/R32)*B$8</f>
        <v>5.624932637994859</v>
      </c>
      <c r="Z32" s="27">
        <f>((S32/100)*B$10)+((T32/100)*B$11)+((U32/100)*B$12)+((V32/100)*B$13)+((W32/100)*B$14)+((X32/100)*B$15)+((Y32/100)*B$16)</f>
        <v>144.23958251706182</v>
      </c>
      <c r="AA32" s="27">
        <f>M32*(Z32/B$17)*(B$18/U32)</f>
        <v>0.11608512996446746</v>
      </c>
      <c r="AB32" s="16">
        <f t="shared" si="2"/>
        <v>0.51285174305405823</v>
      </c>
      <c r="AC32" s="46">
        <f t="shared" si="3"/>
        <v>5.6662198849011247</v>
      </c>
      <c r="AD32" s="29"/>
      <c r="AE32" s="29"/>
    </row>
    <row r="33" spans="1:31" x14ac:dyDescent="0.35">
      <c r="A33" s="21" t="s">
        <v>131</v>
      </c>
      <c r="B33" s="23" t="s">
        <v>58</v>
      </c>
      <c r="C33" s="23">
        <v>54</v>
      </c>
      <c r="D33" s="23">
        <v>2</v>
      </c>
      <c r="E33" s="31" t="s">
        <v>59</v>
      </c>
      <c r="F33" s="25">
        <v>-25.631555555555558</v>
      </c>
      <c r="G33" s="25">
        <v>-69.673666666666662</v>
      </c>
      <c r="H33" s="23" t="s">
        <v>60</v>
      </c>
      <c r="I33" s="26">
        <v>61.250083979892601</v>
      </c>
      <c r="J33" s="26">
        <v>1.4244637604522119</v>
      </c>
      <c r="K33" s="26">
        <v>4.2869999999999999</v>
      </c>
      <c r="L33" s="26">
        <v>22.14</v>
      </c>
      <c r="M33" s="89">
        <f t="shared" si="0"/>
        <v>0.19363143631436314</v>
      </c>
      <c r="N33" s="44">
        <v>0.51288599999999995</v>
      </c>
      <c r="O33" s="23">
        <v>6.0000000000000002E-6</v>
      </c>
      <c r="P33" s="43">
        <f>EXP(B$19*C33*1000000)-1</f>
        <v>3.5322236833468246E-4</v>
      </c>
      <c r="Q33" s="43">
        <f>B$3-(P33*B$9)</f>
        <v>0.51256852116014862</v>
      </c>
      <c r="R33" s="44">
        <f>B$2+N33+B$4+B$5+B$6+B$7+B$8</f>
        <v>4.2030260000000004</v>
      </c>
      <c r="S33" s="27">
        <f>(100/R33)*B$2</f>
        <v>27.166784121725627</v>
      </c>
      <c r="T33" s="27">
        <f t="shared" si="1"/>
        <v>12.202779616400182</v>
      </c>
      <c r="U33" s="27">
        <f>(100/R33)*B$4</f>
        <v>23.79238196480345</v>
      </c>
      <c r="V33" s="27">
        <f>(100/R33)*B$5</f>
        <v>8.2896703470309223</v>
      </c>
      <c r="W33" s="27">
        <f>(100/R33)*B$6</f>
        <v>17.175720540391609</v>
      </c>
      <c r="X33" s="27">
        <f>(100/R33)*B$7</f>
        <v>5.7477160502932874</v>
      </c>
      <c r="Y33" s="27">
        <f>(100/R33)*B$8</f>
        <v>5.624947359354902</v>
      </c>
      <c r="Z33" s="27">
        <f>((S33/100)*B$10)+((T33/100)*B$11)+((U33/100)*B$12)+((V33/100)*B$13)+((W33/100)*B$14)+((X33/100)*B$15)+((Y33/100)*B$16)</f>
        <v>144.23958599729193</v>
      </c>
      <c r="AA33" s="27">
        <f>M33*(Z33/B$17)*(B$18/U33)</f>
        <v>0.11702852370845845</v>
      </c>
      <c r="AB33" s="16">
        <f t="shared" si="2"/>
        <v>0.51284466290769293</v>
      </c>
      <c r="AC33" s="46">
        <f t="shared" si="3"/>
        <v>5.3874113634466703</v>
      </c>
      <c r="AD33" s="29"/>
      <c r="AE33" s="29"/>
    </row>
    <row r="34" spans="1:31" x14ac:dyDescent="0.35">
      <c r="A34" s="20"/>
      <c r="B34" s="23" t="s">
        <v>61</v>
      </c>
      <c r="C34" s="23">
        <v>54</v>
      </c>
      <c r="D34" s="23">
        <v>2</v>
      </c>
      <c r="E34" s="31" t="s">
        <v>59</v>
      </c>
      <c r="F34" s="25">
        <v>-25.631555555555558</v>
      </c>
      <c r="G34" s="25">
        <v>-69.673666666666662</v>
      </c>
      <c r="H34" s="23" t="s">
        <v>60</v>
      </c>
      <c r="I34" s="26">
        <v>63.85768567539121</v>
      </c>
      <c r="J34" s="26">
        <v>0.96078615466464834</v>
      </c>
      <c r="K34" s="26">
        <v>4.5890000000000004</v>
      </c>
      <c r="L34" s="26">
        <v>24</v>
      </c>
      <c r="M34" s="89">
        <f t="shared" si="0"/>
        <v>0.19120833333333334</v>
      </c>
      <c r="N34" s="16">
        <v>0.51282399999999995</v>
      </c>
      <c r="O34" s="23">
        <v>3.9999999999999998E-6</v>
      </c>
      <c r="P34" s="43">
        <f>EXP(B$19*C34*1000000)-1</f>
        <v>3.5322236833468246E-4</v>
      </c>
      <c r="Q34" s="43">
        <f>B$3-(P34*B$9)</f>
        <v>0.51256852116014862</v>
      </c>
      <c r="R34" s="44">
        <f>B$2+N34+B$4+B$5+B$6+B$7+B$8</f>
        <v>4.2029639999999997</v>
      </c>
      <c r="S34" s="27">
        <f>(100/R34)*B$2</f>
        <v>27.167184872390056</v>
      </c>
      <c r="T34" s="27">
        <f t="shared" si="1"/>
        <v>12.201484476193468</v>
      </c>
      <c r="U34" s="27">
        <f>(100/R34)*B$4</f>
        <v>23.792732937993286</v>
      </c>
      <c r="V34" s="27">
        <f>(100/R34)*B$5</f>
        <v>8.2897926320568054</v>
      </c>
      <c r="W34" s="27">
        <f>(100/R34)*B$6</f>
        <v>17.175973907937351</v>
      </c>
      <c r="X34" s="27">
        <f>(100/R34)*B$7</f>
        <v>5.747800837694542</v>
      </c>
      <c r="Y34" s="27">
        <f>(100/R34)*B$8</f>
        <v>5.625030335734496</v>
      </c>
      <c r="Z34" s="27">
        <f>((S34/100)*B$10)+((T34/100)*B$11)+((U34/100)*B$12)+((V34/100)*B$13)+((W34/100)*B$14)+((X34/100)*B$15)+((Y34/100)*B$16)</f>
        <v>144.23960561347519</v>
      </c>
      <c r="AA34" s="27">
        <f>M34*(Z34/B$17)*(B$18/U34)</f>
        <v>0.11556234025331276</v>
      </c>
      <c r="AB34" s="16">
        <f t="shared" si="2"/>
        <v>0.51278318079648533</v>
      </c>
      <c r="AC34" s="46">
        <f t="shared" si="3"/>
        <v>4.1879207847350663</v>
      </c>
      <c r="AD34" s="29"/>
      <c r="AE34" s="29"/>
    </row>
    <row r="35" spans="1:31" x14ac:dyDescent="0.35">
      <c r="A35" s="21" t="s">
        <v>132</v>
      </c>
      <c r="B35" s="23" t="s">
        <v>62</v>
      </c>
      <c r="C35" s="23">
        <v>66</v>
      </c>
      <c r="D35" s="23">
        <v>2</v>
      </c>
      <c r="E35" s="23" t="s">
        <v>63</v>
      </c>
      <c r="F35" s="25">
        <v>-23.026</v>
      </c>
      <c r="G35" s="25">
        <v>-69.529833333333343</v>
      </c>
      <c r="H35" s="23" t="s">
        <v>64</v>
      </c>
      <c r="I35" s="26">
        <v>65.492269012265908</v>
      </c>
      <c r="J35" s="26">
        <v>1.8118015028416468</v>
      </c>
      <c r="K35" s="26">
        <v>6.4889999999999999</v>
      </c>
      <c r="L35" s="26">
        <v>29.4</v>
      </c>
      <c r="M35" s="89">
        <f t="shared" si="0"/>
        <v>0.22071428571428572</v>
      </c>
      <c r="N35" s="16">
        <v>0.51276999999999995</v>
      </c>
      <c r="O35" s="23">
        <v>3.9999999999999998E-6</v>
      </c>
      <c r="P35" s="43">
        <f>EXP(B$19*C35*1000000)-1</f>
        <v>4.3173316994971067E-4</v>
      </c>
      <c r="Q35" s="43">
        <f>B$3-(P35*B$9)</f>
        <v>0.5125530780854709</v>
      </c>
      <c r="R35" s="44">
        <f>B$2+N35+B$4+B$5+B$6+B$7+B$8</f>
        <v>4.2029100000000001</v>
      </c>
      <c r="S35" s="27">
        <f>(100/R35)*B$2</f>
        <v>27.167533922924825</v>
      </c>
      <c r="T35" s="27">
        <f t="shared" si="1"/>
        <v>12.200356419718716</v>
      </c>
      <c r="U35" s="27">
        <f>(100/R35)*B$4</f>
        <v>23.793038632756826</v>
      </c>
      <c r="V35" s="27">
        <f>(100/R35)*B$5</f>
        <v>8.2898991413092347</v>
      </c>
      <c r="W35" s="27">
        <f>(100/R35)*B$6</f>
        <v>17.176194588987151</v>
      </c>
      <c r="X35" s="27">
        <f>(100/R35)*B$7</f>
        <v>5.7478746868241277</v>
      </c>
      <c r="Y35" s="27">
        <f>(100/R35)*B$8</f>
        <v>5.6251026074791026</v>
      </c>
      <c r="Z35" s="27">
        <f>((S35/100)*B$10)+((T35/100)*B$11)+((U35/100)*B$12)+((V35/100)*B$13)+((W35/100)*B$14)+((X35/100)*B$15)+((Y35/100)*B$16)</f>
        <v>144.23962269900943</v>
      </c>
      <c r="AA35" s="27">
        <f>M35*(Z35/B$17)*(B$18/U35)</f>
        <v>0.13339342618976296</v>
      </c>
      <c r="AB35" s="16">
        <f t="shared" si="2"/>
        <v>0.51271240963326059</v>
      </c>
      <c r="AC35" s="46">
        <f t="shared" si="3"/>
        <v>3.1085863026092397</v>
      </c>
      <c r="AD35" s="29"/>
      <c r="AE35" s="29"/>
    </row>
    <row r="36" spans="1:31" x14ac:dyDescent="0.35">
      <c r="A36" s="19"/>
      <c r="B36" s="23" t="s">
        <v>65</v>
      </c>
      <c r="C36" s="23">
        <v>66</v>
      </c>
      <c r="D36" s="23">
        <v>2</v>
      </c>
      <c r="E36" s="23" t="s">
        <v>63</v>
      </c>
      <c r="F36" s="25">
        <v>-23.007527777777778</v>
      </c>
      <c r="G36" s="25">
        <v>-69.534333333333336</v>
      </c>
      <c r="H36" s="23" t="s">
        <v>66</v>
      </c>
      <c r="I36" s="26">
        <v>62.486057434184652</v>
      </c>
      <c r="J36" s="26">
        <v>1.7701651915289558</v>
      </c>
      <c r="K36" s="26">
        <v>8.4369999999999994</v>
      </c>
      <c r="L36" s="26">
        <v>40.44</v>
      </c>
      <c r="M36" s="89">
        <f t="shared" si="0"/>
        <v>0.20863006923837785</v>
      </c>
      <c r="N36" s="16">
        <v>0.51276500000000003</v>
      </c>
      <c r="O36" s="23">
        <v>3.9999999999999998E-6</v>
      </c>
      <c r="P36" s="43">
        <f>EXP(B$19*C36*1000000)-1</f>
        <v>4.3173316994971067E-4</v>
      </c>
      <c r="Q36" s="43">
        <f>B$3-(P36*B$9)</f>
        <v>0.5125530780854709</v>
      </c>
      <c r="R36" s="44">
        <f>B$2+N36+B$4+B$5+B$6+B$7+B$8</f>
        <v>4.2029050000000003</v>
      </c>
      <c r="S36" s="27">
        <f>(100/R36)*B$2</f>
        <v>27.167566242872486</v>
      </c>
      <c r="T36" s="27">
        <f t="shared" si="1"/>
        <v>12.200251968578876</v>
      </c>
      <c r="U36" s="27">
        <f>(100/R36)*B$4</f>
        <v>23.793066938224868</v>
      </c>
      <c r="V36" s="27">
        <f>(100/R36)*B$5</f>
        <v>8.2899090034154934</v>
      </c>
      <c r="W36" s="27">
        <f>(100/R36)*B$6</f>
        <v>17.176215022704532</v>
      </c>
      <c r="X36" s="27">
        <f>(100/R36)*B$7</f>
        <v>5.7478815248024873</v>
      </c>
      <c r="Y36" s="27">
        <f>(100/R36)*B$8</f>
        <v>5.625109299401247</v>
      </c>
      <c r="Z36" s="27">
        <f>((S36/100)*B$10)+((T36/100)*B$11)+((U36/100)*B$12)+((V36/100)*B$13)+((W36/100)*B$14)+((X36/100)*B$15)+((Y36/100)*B$16)</f>
        <v>144.23962428102558</v>
      </c>
      <c r="AA36" s="27">
        <f>M36*(Z36/B$17)*(B$18/U36)</f>
        <v>0.1260899214077478</v>
      </c>
      <c r="AB36" s="16">
        <f t="shared" si="2"/>
        <v>0.512710562798532</v>
      </c>
      <c r="AC36" s="46">
        <f t="shared" si="3"/>
        <v>3.0725542347598278</v>
      </c>
      <c r="AD36" s="29"/>
      <c r="AE36" s="29"/>
    </row>
    <row r="37" spans="1:31" x14ac:dyDescent="0.35">
      <c r="A37" s="19"/>
      <c r="B37" s="23" t="s">
        <v>67</v>
      </c>
      <c r="C37" s="23">
        <v>66</v>
      </c>
      <c r="D37" s="23">
        <v>2</v>
      </c>
      <c r="E37" s="23" t="s">
        <v>63</v>
      </c>
      <c r="F37" s="25">
        <v>-23.007527777777778</v>
      </c>
      <c r="G37" s="25">
        <v>-69.534333333333336</v>
      </c>
      <c r="H37" s="23" t="s">
        <v>68</v>
      </c>
      <c r="I37" s="26">
        <v>52.006967119459318</v>
      </c>
      <c r="J37" s="26">
        <v>1.2742654544177037</v>
      </c>
      <c r="K37" s="26">
        <v>3.7410000000000001</v>
      </c>
      <c r="L37" s="26">
        <v>15.86</v>
      </c>
      <c r="M37" s="89">
        <f t="shared" si="0"/>
        <v>0.23587641866330392</v>
      </c>
      <c r="N37" s="16">
        <v>0.51281399999999999</v>
      </c>
      <c r="O37" s="23">
        <v>3.9999999999999998E-6</v>
      </c>
      <c r="P37" s="43">
        <f>EXP(B$19*C37*1000000)-1</f>
        <v>4.3173316994971067E-4</v>
      </c>
      <c r="Q37" s="43">
        <f>B$3-(P37*B$9)</f>
        <v>0.5125530780854709</v>
      </c>
      <c r="R37" s="44">
        <f>B$2+N37+B$4+B$5+B$6+B$7+B$8</f>
        <v>4.2029540000000001</v>
      </c>
      <c r="S37" s="27">
        <f>(100/R37)*B$2</f>
        <v>27.167249510701282</v>
      </c>
      <c r="T37" s="27">
        <f t="shared" si="1"/>
        <v>12.201275579033224</v>
      </c>
      <c r="U37" s="27">
        <f>(100/R37)*B$4</f>
        <v>23.792789547542039</v>
      </c>
      <c r="V37" s="27">
        <f>(100/R37)*B$5</f>
        <v>8.2898123557859549</v>
      </c>
      <c r="W37" s="27">
        <f>(100/R37)*B$6</f>
        <v>17.176014774370596</v>
      </c>
      <c r="X37" s="27">
        <f>(100/R37)*B$7</f>
        <v>5.7478145133161105</v>
      </c>
      <c r="Y37" s="27">
        <f>(100/R37)*B$8</f>
        <v>5.6250437192507938</v>
      </c>
      <c r="Z37" s="27">
        <f>((S37/100)*B$10)+((T37/100)*B$11)+((U37/100)*B$12)+((V37/100)*B$13)+((W37/100)*B$14)+((X37/100)*B$15)+((Y37/100)*B$16)</f>
        <v>144.23960877742985</v>
      </c>
      <c r="AA37" s="27">
        <f>M37*(Z37/B$17)*(B$18/U37)</f>
        <v>0.14255846603949363</v>
      </c>
      <c r="AB37" s="16">
        <f t="shared" si="2"/>
        <v>0.51275245278155357</v>
      </c>
      <c r="AC37" s="46">
        <f t="shared" si="3"/>
        <v>3.8898351138061393</v>
      </c>
      <c r="AD37" s="29"/>
      <c r="AE37" s="29"/>
    </row>
    <row r="38" spans="1:31" x14ac:dyDescent="0.35">
      <c r="A38" s="20"/>
      <c r="B38" s="23" t="s">
        <v>69</v>
      </c>
      <c r="C38" s="23">
        <v>66</v>
      </c>
      <c r="D38" s="23">
        <v>2</v>
      </c>
      <c r="E38" s="23" t="s">
        <v>63</v>
      </c>
      <c r="F38" s="25">
        <v>-23.014166666666668</v>
      </c>
      <c r="G38" s="25">
        <v>-69.488666666666674</v>
      </c>
      <c r="H38" s="23" t="s">
        <v>70</v>
      </c>
      <c r="I38" s="26">
        <v>53.888888887022595</v>
      </c>
      <c r="J38" s="26">
        <v>1.0489510489511162</v>
      </c>
      <c r="K38" s="26">
        <v>4.5730000000000004</v>
      </c>
      <c r="L38" s="26">
        <v>18.760000000000002</v>
      </c>
      <c r="M38" s="89">
        <f t="shared" si="0"/>
        <v>0.24376332622601279</v>
      </c>
      <c r="N38" s="16">
        <v>0.51275899999999996</v>
      </c>
      <c r="O38" s="27">
        <v>6.0000000000000002E-6</v>
      </c>
      <c r="P38" s="43">
        <f>EXP(B$19*C38*1000000)-1</f>
        <v>4.3173316994971067E-4</v>
      </c>
      <c r="Q38" s="43">
        <f>B$3-(P38*B$9)</f>
        <v>0.5125530780854709</v>
      </c>
      <c r="R38" s="44">
        <f>B$2+N38+B$4+B$5+B$6+B$7+B$8</f>
        <v>4.2028990000000004</v>
      </c>
      <c r="S38" s="27">
        <f>(100/R38)*B$2</f>
        <v>27.167605026911183</v>
      </c>
      <c r="T38" s="27">
        <f t="shared" si="1"/>
        <v>12.200126626883014</v>
      </c>
      <c r="U38" s="27">
        <f>(100/R38)*B$4</f>
        <v>23.79310090487542</v>
      </c>
      <c r="V38" s="27">
        <f>(100/R38)*B$5</f>
        <v>8.2899208379739786</v>
      </c>
      <c r="W38" s="27">
        <f>(100/R38)*B$6</f>
        <v>17.176239543229567</v>
      </c>
      <c r="X38" s="27">
        <f>(100/R38)*B$7</f>
        <v>5.7478897303979934</v>
      </c>
      <c r="Y38" s="27">
        <f>(100/R38)*B$8</f>
        <v>5.6251173297288366</v>
      </c>
      <c r="Z38" s="27">
        <f>((S38/100)*B$10)+((T38/100)*B$11)+((U38/100)*B$12)+((V38/100)*B$13)+((W38/100)*B$14)+((X38/100)*B$15)+((Y38/100)*B$16)</f>
        <v>144.23962617944994</v>
      </c>
      <c r="AA38" s="27">
        <f>M38*(Z38/B$17)*(B$18/U38)</f>
        <v>0.14732322758798053</v>
      </c>
      <c r="AB38" s="16">
        <f t="shared" si="2"/>
        <v>0.51269539567594613</v>
      </c>
      <c r="AC38" s="46">
        <f t="shared" si="3"/>
        <v>2.7766410262675123</v>
      </c>
      <c r="AD38" s="29"/>
      <c r="AE38" s="29"/>
    </row>
    <row r="39" spans="1:31" x14ac:dyDescent="0.35">
      <c r="A39" s="21" t="s">
        <v>133</v>
      </c>
      <c r="B39" s="23" t="s">
        <v>71</v>
      </c>
      <c r="C39" s="23">
        <v>45</v>
      </c>
      <c r="D39" s="23">
        <v>1.5</v>
      </c>
      <c r="E39" s="23" t="s">
        <v>72</v>
      </c>
      <c r="F39" s="25">
        <v>-23.181083333333333</v>
      </c>
      <c r="G39" s="25">
        <v>-69.224666666666678</v>
      </c>
      <c r="H39" s="23" t="s">
        <v>73</v>
      </c>
      <c r="I39" s="26">
        <v>56.734686943084441</v>
      </c>
      <c r="J39" s="26">
        <v>1.7571743929359658</v>
      </c>
      <c r="K39" s="26">
        <v>5.7060000000000004</v>
      </c>
      <c r="L39" s="26">
        <v>26.71</v>
      </c>
      <c r="M39" s="89">
        <f t="shared" si="0"/>
        <v>0.21362785473605392</v>
      </c>
      <c r="N39" s="44">
        <v>0.51278299999999999</v>
      </c>
      <c r="O39" s="27">
        <v>6.0000000000000002E-6</v>
      </c>
      <c r="P39" s="43">
        <f>EXP(B$19*C39*1000000)-1</f>
        <v>2.9434331049360551E-4</v>
      </c>
      <c r="Q39" s="43">
        <f>B$3-(P39*B$9)</f>
        <v>0.51258010267082599</v>
      </c>
      <c r="R39" s="44">
        <f>B$2+N39+B$4+B$5+B$6+B$7+B$8</f>
        <v>4.2029230000000002</v>
      </c>
      <c r="S39" s="27">
        <f>(100/R39)*B$2</f>
        <v>27.167449891420802</v>
      </c>
      <c r="T39" s="27">
        <f t="shared" si="1"/>
        <v>12.200627991519235</v>
      </c>
      <c r="U39" s="27">
        <f>(100/R39)*B$4</f>
        <v>23.792965038855101</v>
      </c>
      <c r="V39" s="27">
        <f>(100/R39)*B$5</f>
        <v>8.289873499942777</v>
      </c>
      <c r="W39" s="27">
        <f>(100/R39)*B$6</f>
        <v>17.176141461549499</v>
      </c>
      <c r="X39" s="27">
        <f>(100/R39)*B$7</f>
        <v>5.7478569081565372</v>
      </c>
      <c r="Y39" s="27">
        <f>(100/R39)*B$8</f>
        <v>5.6250852085560448</v>
      </c>
      <c r="Z39" s="27">
        <f>((S39/100)*B$10)+((T39/100)*B$11)+((U39/100)*B$12)+((V39/100)*B$13)+((W39/100)*B$14)+((X39/100)*B$15)+((Y39/100)*B$16)</f>
        <v>144.23961858578517</v>
      </c>
      <c r="AA39" s="27">
        <f>M39*(Z39/B$17)*(B$18/U39)</f>
        <v>0.12911098486671668</v>
      </c>
      <c r="AB39" s="16">
        <f t="shared" si="2"/>
        <v>0.51274499704529319</v>
      </c>
      <c r="AC39" s="46">
        <f t="shared" si="3"/>
        <v>3.2169484068544918</v>
      </c>
      <c r="AD39" s="29"/>
      <c r="AE39" s="29"/>
    </row>
    <row r="40" spans="1:31" x14ac:dyDescent="0.35">
      <c r="A40" s="20"/>
      <c r="B40" s="23" t="s">
        <v>74</v>
      </c>
      <c r="C40" s="23">
        <v>45</v>
      </c>
      <c r="D40" s="23">
        <v>1.5</v>
      </c>
      <c r="E40" s="23" t="s">
        <v>72</v>
      </c>
      <c r="F40" s="25">
        <v>-23.181083333333333</v>
      </c>
      <c r="G40" s="25">
        <v>-69.224666666666678</v>
      </c>
      <c r="H40" s="23" t="s">
        <v>60</v>
      </c>
      <c r="I40" s="26">
        <v>57.403575609405209</v>
      </c>
      <c r="J40" s="26">
        <v>1.3497109826588947</v>
      </c>
      <c r="K40" s="26">
        <v>13.68</v>
      </c>
      <c r="L40" s="26">
        <v>84.7</v>
      </c>
      <c r="M40" s="89">
        <f t="shared" si="0"/>
        <v>0.1615112160566706</v>
      </c>
      <c r="N40" s="16">
        <v>0.51281600000000005</v>
      </c>
      <c r="O40" s="27">
        <v>3.9999999999999998E-6</v>
      </c>
      <c r="P40" s="43">
        <f>EXP(B$19*C40*1000000)-1</f>
        <v>2.9434331049360551E-4</v>
      </c>
      <c r="Q40" s="43">
        <f>B$3-(P40*B$9)</f>
        <v>0.51258010267082599</v>
      </c>
      <c r="R40" s="44">
        <f>B$2+N40+B$4+B$5+B$6+B$7+B$8</f>
        <v>4.2029560000000004</v>
      </c>
      <c r="S40" s="27">
        <f>(100/R40)*B$2</f>
        <v>27.167236583014429</v>
      </c>
      <c r="T40" s="27">
        <f t="shared" si="1"/>
        <v>12.201317358544797</v>
      </c>
      <c r="U40" s="27">
        <f>(100/R40)*B$4</f>
        <v>23.792778225610736</v>
      </c>
      <c r="V40" s="27">
        <f>(100/R40)*B$5</f>
        <v>8.2898084110326149</v>
      </c>
      <c r="W40" s="27">
        <f>(100/R40)*B$6</f>
        <v>17.176006601068391</v>
      </c>
      <c r="X40" s="27">
        <f>(100/R40)*B$7</f>
        <v>5.7478117781865903</v>
      </c>
      <c r="Y40" s="27">
        <f>(100/R40)*B$8</f>
        <v>5.6250410425424384</v>
      </c>
      <c r="Z40" s="27">
        <f>((S40/100)*B$10)+((T40/100)*B$11)+((U40/100)*B$12)+((V40/100)*B$13)+((W40/100)*B$14)+((X40/100)*B$15)+((Y40/100)*B$16)</f>
        <v>144.23960814463771</v>
      </c>
      <c r="AA40" s="27">
        <f>M40*(Z40/B$17)*(B$18/U40)</f>
        <v>9.7613836072128729E-2</v>
      </c>
      <c r="AB40" s="16">
        <f t="shared" si="2"/>
        <v>0.51278726802034058</v>
      </c>
      <c r="AC40" s="46">
        <f t="shared" si="3"/>
        <v>4.0416190256920004</v>
      </c>
      <c r="AD40" s="29"/>
      <c r="AE40" s="29"/>
    </row>
    <row r="41" spans="1:31" ht="15" thickBot="1" x14ac:dyDescent="0.4">
      <c r="A41" s="22" t="s">
        <v>134</v>
      </c>
      <c r="B41" s="48" t="s">
        <v>75</v>
      </c>
      <c r="C41" s="48">
        <v>60</v>
      </c>
      <c r="D41" s="48">
        <v>2.2000000000000002</v>
      </c>
      <c r="E41" s="48" t="s">
        <v>76</v>
      </c>
      <c r="F41" s="49">
        <v>-24.684888888888889</v>
      </c>
      <c r="G41" s="49">
        <v>-69.819500000000005</v>
      </c>
      <c r="H41" s="48" t="s">
        <v>77</v>
      </c>
      <c r="I41" s="50">
        <v>60.283752123613539</v>
      </c>
      <c r="J41" s="50">
        <v>2.2938579172200986</v>
      </c>
      <c r="K41" s="50">
        <v>4.5129999999999999</v>
      </c>
      <c r="L41" s="50">
        <v>22.97</v>
      </c>
      <c r="M41" s="90">
        <f t="shared" si="0"/>
        <v>0.19647366129734437</v>
      </c>
      <c r="N41" s="17">
        <v>0.51280199999999998</v>
      </c>
      <c r="O41" s="51">
        <v>3.9999999999999998E-6</v>
      </c>
      <c r="P41" s="52">
        <f>EXP(B$19*C41*1000000)-1</f>
        <v>3.9247699895117449E-4</v>
      </c>
      <c r="Q41" s="52">
        <f>B$3-(P41*B$9)</f>
        <v>0.51256079977430635</v>
      </c>
      <c r="R41" s="53">
        <f>B$2+N41+B$4+B$5+B$6+B$7+B$8</f>
        <v>4.2029420000000002</v>
      </c>
      <c r="S41" s="51">
        <f>(100/R41)*B$2</f>
        <v>27.167327077080767</v>
      </c>
      <c r="T41" s="51">
        <f t="shared" si="1"/>
        <v>12.201024901128779</v>
      </c>
      <c r="U41" s="51">
        <f>(100/R41)*B$4</f>
        <v>23.792857479356126</v>
      </c>
      <c r="V41" s="51">
        <f>(100/R41)*B$5</f>
        <v>8.2898360243848224</v>
      </c>
      <c r="W41" s="51">
        <f>(100/R41)*B$6</f>
        <v>17.176063814347188</v>
      </c>
      <c r="X41" s="51">
        <f>(100/R41)*B$7</f>
        <v>5.7478309241478938</v>
      </c>
      <c r="Y41" s="51">
        <f>(100/R41)*B$8</f>
        <v>5.6250597795544159</v>
      </c>
      <c r="Z41" s="51">
        <f>((S41/100)*B$10)+((T41/100)*B$11)+((U41/100)*B$12)+((V41/100)*B$13)+((W41/100)*B$14)+((X41/100)*B$15)+((Y41/100)*B$16)</f>
        <v>144.23961257419538</v>
      </c>
      <c r="AA41" s="51">
        <f>M41*(Z41/B$17)*(B$18/U41)</f>
        <v>0.11874397914926065</v>
      </c>
      <c r="AB41" s="17">
        <f t="shared" si="2"/>
        <v>0.51275539571941997</v>
      </c>
      <c r="AC41" s="54">
        <f t="shared" si="3"/>
        <v>3.7965436529541208</v>
      </c>
      <c r="AD41" s="29"/>
      <c r="AE41" s="29"/>
    </row>
    <row r="42" spans="1:31" x14ac:dyDescent="0.35">
      <c r="A42" s="56"/>
      <c r="B42" s="23"/>
      <c r="C42" s="23"/>
      <c r="D42" s="23"/>
      <c r="E42" s="23"/>
      <c r="F42" s="25"/>
      <c r="G42" s="25"/>
      <c r="H42" s="23"/>
      <c r="I42" s="26"/>
      <c r="J42" s="26"/>
      <c r="K42" s="26"/>
      <c r="L42" s="26"/>
      <c r="M42" s="84"/>
      <c r="N42" s="16"/>
      <c r="O42" s="27"/>
      <c r="P42" s="28"/>
      <c r="Q42" s="28"/>
      <c r="R42" s="30"/>
      <c r="S42" s="29"/>
      <c r="T42" s="29"/>
      <c r="U42" s="29"/>
      <c r="V42" s="29"/>
      <c r="W42" s="29"/>
      <c r="X42" s="29"/>
      <c r="Y42" s="29"/>
      <c r="Z42" s="29"/>
      <c r="AA42" s="29"/>
      <c r="AB42" s="91"/>
      <c r="AC42" s="29"/>
      <c r="AD42" s="29"/>
      <c r="AE42" s="29"/>
    </row>
    <row r="43" spans="1:31" x14ac:dyDescent="0.35">
      <c r="A43" s="56"/>
      <c r="B43" s="23"/>
      <c r="C43" s="23"/>
      <c r="D43" s="23"/>
      <c r="E43" s="23"/>
      <c r="F43" s="25"/>
      <c r="G43" s="25"/>
      <c r="H43" s="23"/>
      <c r="I43" s="26"/>
      <c r="J43" s="26"/>
      <c r="K43" s="26"/>
      <c r="L43" s="26"/>
      <c r="M43" s="84"/>
      <c r="N43" s="16"/>
      <c r="O43" s="27"/>
      <c r="P43" s="28"/>
      <c r="Q43" s="28"/>
      <c r="R43" s="30"/>
      <c r="S43" s="29"/>
      <c r="T43" s="29"/>
      <c r="U43" s="29"/>
      <c r="V43" s="29"/>
      <c r="W43" s="29"/>
      <c r="X43" s="29"/>
      <c r="Y43" s="29"/>
      <c r="Z43" s="29"/>
      <c r="AA43" s="29"/>
      <c r="AB43" s="91"/>
      <c r="AC43" s="29"/>
      <c r="AD43" s="29"/>
      <c r="AE43" s="29"/>
    </row>
    <row r="44" spans="1:31" ht="15" thickBot="1" x14ac:dyDescent="0.4">
      <c r="A44" s="56" t="s">
        <v>149</v>
      </c>
      <c r="B44" s="23"/>
      <c r="C44" s="23"/>
      <c r="D44" s="23"/>
      <c r="E44" s="23"/>
      <c r="F44" s="25"/>
      <c r="G44" s="25"/>
      <c r="H44" s="23"/>
      <c r="I44" s="26"/>
      <c r="J44" s="26"/>
      <c r="K44" s="26"/>
      <c r="L44" s="26"/>
      <c r="M44" s="84"/>
      <c r="N44" s="16"/>
      <c r="O44" s="27"/>
      <c r="P44" s="28"/>
      <c r="Q44" s="28"/>
      <c r="R44" s="30"/>
      <c r="S44" s="29"/>
      <c r="T44" s="29"/>
      <c r="U44" s="29"/>
      <c r="V44" s="29"/>
      <c r="W44" s="29"/>
      <c r="X44" s="29"/>
      <c r="Y44" s="29"/>
      <c r="Z44" s="29"/>
      <c r="AA44" s="29"/>
      <c r="AB44" s="91"/>
      <c r="AC44" s="29"/>
      <c r="AD44" s="29"/>
      <c r="AE44" s="29"/>
    </row>
    <row r="45" spans="1:31" ht="28" customHeight="1" thickBot="1" x14ac:dyDescent="0.4">
      <c r="A45" s="92"/>
      <c r="B45" s="95"/>
      <c r="C45" s="97" t="s">
        <v>137</v>
      </c>
      <c r="D45" s="97"/>
      <c r="E45" s="107" t="s">
        <v>146</v>
      </c>
      <c r="F45" s="98" t="s">
        <v>148</v>
      </c>
      <c r="G45" s="98"/>
      <c r="H45" s="98"/>
      <c r="I45" s="98"/>
      <c r="J45" s="102" t="s">
        <v>117</v>
      </c>
      <c r="K45" s="99" t="s">
        <v>147</v>
      </c>
      <c r="L45" s="99"/>
      <c r="M45" s="102"/>
      <c r="N45" s="102" t="s">
        <v>127</v>
      </c>
      <c r="O45" s="102" t="s">
        <v>115</v>
      </c>
      <c r="P45" s="102" t="s">
        <v>116</v>
      </c>
      <c r="Q45" s="102" t="s">
        <v>127</v>
      </c>
      <c r="R45" s="102" t="s">
        <v>116</v>
      </c>
      <c r="S45" s="102" t="s">
        <v>115</v>
      </c>
      <c r="T45" s="104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1" ht="15" thickBot="1" x14ac:dyDescent="0.4">
      <c r="A46" s="18" t="s">
        <v>128</v>
      </c>
      <c r="B46" s="80" t="s">
        <v>19</v>
      </c>
      <c r="C46" s="32" t="s">
        <v>99</v>
      </c>
      <c r="D46" s="32" t="s">
        <v>100</v>
      </c>
      <c r="E46" s="32" t="s">
        <v>145</v>
      </c>
      <c r="F46" s="32" t="s">
        <v>141</v>
      </c>
      <c r="G46" s="32" t="s">
        <v>142</v>
      </c>
      <c r="H46" s="32" t="s">
        <v>143</v>
      </c>
      <c r="I46" s="32" t="s">
        <v>144</v>
      </c>
      <c r="J46" s="32" t="s">
        <v>101</v>
      </c>
      <c r="K46" s="32" t="s">
        <v>101</v>
      </c>
      <c r="L46" s="34" t="s">
        <v>101</v>
      </c>
      <c r="M46" s="32" t="s">
        <v>118</v>
      </c>
      <c r="N46" s="34" t="s">
        <v>112</v>
      </c>
      <c r="O46" s="34" t="s">
        <v>112</v>
      </c>
      <c r="P46" s="34" t="s">
        <v>112</v>
      </c>
      <c r="Q46" s="32" t="s">
        <v>113</v>
      </c>
      <c r="R46" s="32" t="s">
        <v>113</v>
      </c>
      <c r="S46" s="32" t="s">
        <v>113</v>
      </c>
      <c r="T46" s="96" t="s">
        <v>126</v>
      </c>
      <c r="U46" s="29"/>
      <c r="V46" s="29"/>
      <c r="W46" s="29"/>
      <c r="X46" s="29"/>
      <c r="Y46" s="29"/>
      <c r="Z46" s="29"/>
      <c r="AA46" s="29"/>
      <c r="AB46" s="29"/>
      <c r="AC46" s="29"/>
    </row>
    <row r="47" spans="1:31" x14ac:dyDescent="0.35">
      <c r="A47" s="19" t="s">
        <v>129</v>
      </c>
      <c r="B47" s="81" t="s">
        <v>43</v>
      </c>
      <c r="C47" s="26">
        <v>5.4470000000000001</v>
      </c>
      <c r="D47" s="26">
        <v>28.51</v>
      </c>
      <c r="E47" s="27">
        <v>0.05</v>
      </c>
      <c r="F47" s="93">
        <f>C47+(C47*E47)</f>
        <v>5.7193500000000004</v>
      </c>
      <c r="G47" s="93">
        <f>D47+(D47*E47)</f>
        <v>29.935500000000001</v>
      </c>
      <c r="H47" s="93">
        <f>C47-(C47*E47)</f>
        <v>5.1746499999999997</v>
      </c>
      <c r="I47" s="93">
        <f>D47-(D47*E47)</f>
        <v>27.084500000000002</v>
      </c>
      <c r="J47" s="89">
        <f>F47/I47</f>
        <v>0.2111669035795381</v>
      </c>
      <c r="K47" s="89">
        <f>H47/G47</f>
        <v>0.17285998229526814</v>
      </c>
      <c r="L47" s="27">
        <v>0.19105576990529638</v>
      </c>
      <c r="M47" s="89">
        <f>((L47-K47)/L47)*100</f>
        <v>9.5238095238095308</v>
      </c>
      <c r="N47" s="44">
        <v>0.11546509835078955</v>
      </c>
      <c r="O47" s="44">
        <f>J47*(Z23/B$17)*(B$18/U23)</f>
        <v>0.12761931922982003</v>
      </c>
      <c r="P47" s="44">
        <f>K47*(Z23/B$17)*(B$18/U23)</f>
        <v>0.10446842231738102</v>
      </c>
      <c r="Q47" s="44">
        <v>0.51262011991301459</v>
      </c>
      <c r="R47" s="44">
        <f>N23-(O47*P23)</f>
        <v>0.5126181325354372</v>
      </c>
      <c r="S47" s="44">
        <f>N23-(P47*P23)</f>
        <v>0.512621918016537</v>
      </c>
      <c r="T47" s="105">
        <f>Q47-R47</f>
        <v>1.9873775773948665E-6</v>
      </c>
      <c r="U47" s="29"/>
      <c r="V47" s="29"/>
      <c r="W47" s="29"/>
      <c r="X47" s="29"/>
      <c r="Y47" s="29"/>
      <c r="Z47" s="29"/>
      <c r="AA47" s="29"/>
      <c r="AB47" s="29"/>
      <c r="AC47" s="29"/>
    </row>
    <row r="48" spans="1:31" x14ac:dyDescent="0.35">
      <c r="A48" s="19"/>
      <c r="B48" s="81" t="s">
        <v>46</v>
      </c>
      <c r="C48" s="26">
        <v>4.6159999999999997</v>
      </c>
      <c r="D48" s="26">
        <v>21.74</v>
      </c>
      <c r="E48" s="27">
        <v>0.05</v>
      </c>
      <c r="F48" s="93">
        <f t="shared" ref="F48:F65" si="4">C48+(C48*E48)</f>
        <v>4.8468</v>
      </c>
      <c r="G48" s="93">
        <f t="shared" ref="G48:G65" si="5">D48+(D48*E48)</f>
        <v>22.826999999999998</v>
      </c>
      <c r="H48" s="93">
        <f t="shared" ref="H48:H65" si="6">C48-(C48*E48)</f>
        <v>4.3851999999999993</v>
      </c>
      <c r="I48" s="93">
        <f t="shared" ref="I48:I65" si="7">D48-(D48*E48)</f>
        <v>20.652999999999999</v>
      </c>
      <c r="J48" s="89">
        <f t="shared" ref="J48:J65" si="8">F48/I48</f>
        <v>0.2346777707839055</v>
      </c>
      <c r="K48" s="89">
        <f t="shared" ref="K48:K65" si="9">H48/G48</f>
        <v>0.19210583957594077</v>
      </c>
      <c r="L48" s="27">
        <v>0.21232750689972402</v>
      </c>
      <c r="M48" s="89">
        <f t="shared" ref="M48:M65" si="10">((L48-K48)/L48)*100</f>
        <v>9.5238095238095291</v>
      </c>
      <c r="N48" s="44">
        <v>0.12832472626236907</v>
      </c>
      <c r="O48" s="44">
        <f>J48*(Z24/B$17)*(B$18/U24)</f>
        <v>0.14183259218472372</v>
      </c>
      <c r="P48" s="44">
        <f>K48*(Z24/B$17)*(B$18/U24)</f>
        <v>0.11610332376119105</v>
      </c>
      <c r="Q48" s="44">
        <v>0.51275001719195823</v>
      </c>
      <c r="R48" s="44">
        <f>N24-(O48*P24)</f>
        <v>0.51274780847532231</v>
      </c>
      <c r="S48" s="44">
        <f>N24-(P48*P24)</f>
        <v>0.5127520155546289</v>
      </c>
      <c r="T48" s="105">
        <f t="shared" ref="T48:T65" si="11">Q48-R48</f>
        <v>2.2087166359208155E-6</v>
      </c>
      <c r="U48" s="29"/>
      <c r="V48" s="29"/>
      <c r="W48" s="29"/>
      <c r="X48" s="29"/>
      <c r="Y48" s="29"/>
      <c r="Z48" s="29"/>
      <c r="AA48" s="29"/>
      <c r="AB48" s="29"/>
      <c r="AC48" s="29"/>
    </row>
    <row r="49" spans="1:29" x14ac:dyDescent="0.35">
      <c r="A49" s="19"/>
      <c r="B49" s="81" t="s">
        <v>48</v>
      </c>
      <c r="C49" s="26">
        <v>4.9279999999999999</v>
      </c>
      <c r="D49" s="26">
        <v>23.03</v>
      </c>
      <c r="E49" s="27">
        <v>0.05</v>
      </c>
      <c r="F49" s="93">
        <f t="shared" si="4"/>
        <v>5.1744000000000003</v>
      </c>
      <c r="G49" s="93">
        <f t="shared" si="5"/>
        <v>24.1815</v>
      </c>
      <c r="H49" s="93">
        <f t="shared" si="6"/>
        <v>4.6815999999999995</v>
      </c>
      <c r="I49" s="93">
        <f t="shared" si="7"/>
        <v>21.878500000000003</v>
      </c>
      <c r="J49" s="89">
        <f t="shared" si="8"/>
        <v>0.23650615901455765</v>
      </c>
      <c r="K49" s="89">
        <f t="shared" si="9"/>
        <v>0.1936025474019395</v>
      </c>
      <c r="L49" s="27">
        <v>0.21398176291793311</v>
      </c>
      <c r="M49" s="89">
        <f t="shared" si="10"/>
        <v>9.5238095238095166</v>
      </c>
      <c r="N49" s="44">
        <v>0.12932530435611714</v>
      </c>
      <c r="O49" s="44">
        <f>J49*(Z25/B$17)*(B$18/U25)</f>
        <v>0.14293849428833996</v>
      </c>
      <c r="P49" s="44">
        <f>K49*(Z25/B$17)*(B$18/U25)</f>
        <v>0.1170086087031536</v>
      </c>
      <c r="Q49" s="44">
        <v>0.5127758535840653</v>
      </c>
      <c r="R49" s="44">
        <f>N25-(O49*P25)</f>
        <v>0.5127736276455459</v>
      </c>
      <c r="S49" s="44">
        <f>N25-(P49*P25)</f>
        <v>0.51277786752844001</v>
      </c>
      <c r="T49" s="105">
        <f t="shared" si="11"/>
        <v>2.225938519395676E-6</v>
      </c>
      <c r="U49" s="29"/>
      <c r="V49" s="29"/>
      <c r="W49" s="29"/>
      <c r="X49" s="29"/>
      <c r="Y49" s="29"/>
      <c r="Z49" s="29"/>
      <c r="AA49" s="29"/>
      <c r="AB49" s="29"/>
      <c r="AC49" s="29"/>
    </row>
    <row r="50" spans="1:29" x14ac:dyDescent="0.35">
      <c r="A50" s="19"/>
      <c r="B50" s="81" t="s">
        <v>49</v>
      </c>
      <c r="C50" s="26">
        <v>3.8879999999999999</v>
      </c>
      <c r="D50" s="26">
        <v>17.12</v>
      </c>
      <c r="E50" s="27">
        <v>0.05</v>
      </c>
      <c r="F50" s="93">
        <f t="shared" si="4"/>
        <v>4.0823999999999998</v>
      </c>
      <c r="G50" s="93">
        <f t="shared" si="5"/>
        <v>17.976000000000003</v>
      </c>
      <c r="H50" s="93">
        <f t="shared" si="6"/>
        <v>3.6936</v>
      </c>
      <c r="I50" s="93">
        <f t="shared" si="7"/>
        <v>16.263999999999999</v>
      </c>
      <c r="J50" s="89">
        <f t="shared" si="8"/>
        <v>0.25100836202656174</v>
      </c>
      <c r="K50" s="89">
        <f t="shared" si="9"/>
        <v>0.20547396528704936</v>
      </c>
      <c r="L50" s="27">
        <v>0.22710280373831773</v>
      </c>
      <c r="M50" s="89">
        <f t="shared" si="10"/>
        <v>9.5238095238095291</v>
      </c>
      <c r="N50" s="44">
        <v>0.13725446447617384</v>
      </c>
      <c r="O50" s="44">
        <f>J50*(Z26/B$17)*(B$18/U26)</f>
        <v>0.15170230284208691</v>
      </c>
      <c r="P50" s="44">
        <f>K50*(Z26/B$17)*(B$18/U26)</f>
        <v>0.12418261071653822</v>
      </c>
      <c r="Q50" s="44">
        <v>0.51274755706039776</v>
      </c>
      <c r="R50" s="44">
        <f>N26-(O50*P26)</f>
        <v>0.51274519464570278</v>
      </c>
      <c r="S50" s="44">
        <f>N26-(P50*P26)</f>
        <v>0.51274969448321706</v>
      </c>
      <c r="T50" s="105">
        <f t="shared" si="11"/>
        <v>2.3624146949785541E-6</v>
      </c>
      <c r="U50" s="29"/>
      <c r="V50" s="29"/>
      <c r="W50" s="29"/>
      <c r="X50" s="29"/>
      <c r="Y50" s="29"/>
      <c r="Z50" s="29"/>
      <c r="AA50" s="29"/>
      <c r="AB50" s="29"/>
      <c r="AC50" s="29"/>
    </row>
    <row r="51" spans="1:29" x14ac:dyDescent="0.35">
      <c r="A51" s="20"/>
      <c r="B51" s="81" t="s">
        <v>50</v>
      </c>
      <c r="C51" s="26">
        <v>5.1360000000000001</v>
      </c>
      <c r="D51" s="26">
        <v>24.5</v>
      </c>
      <c r="E51" s="27">
        <v>0.05</v>
      </c>
      <c r="F51" s="93">
        <f t="shared" si="4"/>
        <v>5.3928000000000003</v>
      </c>
      <c r="G51" s="93">
        <f t="shared" si="5"/>
        <v>25.725000000000001</v>
      </c>
      <c r="H51" s="93">
        <f t="shared" si="6"/>
        <v>4.8792</v>
      </c>
      <c r="I51" s="93">
        <f t="shared" si="7"/>
        <v>23.274999999999999</v>
      </c>
      <c r="J51" s="89">
        <f t="shared" si="8"/>
        <v>0.23169924812030077</v>
      </c>
      <c r="K51" s="89">
        <f t="shared" si="9"/>
        <v>0.18966763848396501</v>
      </c>
      <c r="L51" s="27">
        <v>0.2096326530612245</v>
      </c>
      <c r="M51" s="89">
        <f t="shared" si="10"/>
        <v>9.5238095238095308</v>
      </c>
      <c r="N51" s="44">
        <v>0.1266972276705495</v>
      </c>
      <c r="O51" s="44">
        <f>J51*(Z27/B$17)*(B$18/U27)</f>
        <v>0.14003377795165997</v>
      </c>
      <c r="P51" s="44">
        <f>K51*(Z27/B$17)*(B$18/U27)</f>
        <v>0.11463082503525907</v>
      </c>
      <c r="Q51" s="44">
        <v>0.51279028330973264</v>
      </c>
      <c r="R51" s="44">
        <f>N27-(O51*P27)</f>
        <v>0.5127881026054939</v>
      </c>
      <c r="S51" s="44">
        <f>N27-(P51*P27)</f>
        <v>0.5127922563278533</v>
      </c>
      <c r="T51" s="105">
        <f t="shared" si="11"/>
        <v>2.1807042387411713E-6</v>
      </c>
      <c r="U51" s="29"/>
      <c r="V51" s="29"/>
      <c r="W51" s="29"/>
      <c r="X51" s="29"/>
      <c r="Y51" s="29"/>
      <c r="Z51" s="29"/>
      <c r="AA51" s="29"/>
      <c r="AB51" s="29"/>
      <c r="AC51" s="29"/>
    </row>
    <row r="52" spans="1:29" x14ac:dyDescent="0.35">
      <c r="A52" s="21" t="s">
        <v>130</v>
      </c>
      <c r="B52" s="81" t="s">
        <v>51</v>
      </c>
      <c r="C52" s="26">
        <v>3.9540000000000002</v>
      </c>
      <c r="D52" s="26">
        <v>18.73</v>
      </c>
      <c r="E52" s="27">
        <v>0.05</v>
      </c>
      <c r="F52" s="93">
        <f t="shared" si="4"/>
        <v>4.1516999999999999</v>
      </c>
      <c r="G52" s="93">
        <f t="shared" si="5"/>
        <v>19.666499999999999</v>
      </c>
      <c r="H52" s="93">
        <f t="shared" si="6"/>
        <v>3.7563</v>
      </c>
      <c r="I52" s="93">
        <f t="shared" si="7"/>
        <v>17.793500000000002</v>
      </c>
      <c r="J52" s="89">
        <f t="shared" si="8"/>
        <v>0.23332677663191612</v>
      </c>
      <c r="K52" s="89">
        <f t="shared" si="9"/>
        <v>0.19099992372816718</v>
      </c>
      <c r="L52" s="27">
        <v>0.21110517885744795</v>
      </c>
      <c r="M52" s="89">
        <f t="shared" si="10"/>
        <v>9.5238095238095291</v>
      </c>
      <c r="N52" s="44">
        <v>0.12759272302504618</v>
      </c>
      <c r="O52" s="44">
        <f>J52*(Z28/B$17)*(B$18/U28)</f>
        <v>0.14102353597505102</v>
      </c>
      <c r="P52" s="44">
        <f>K52*(Z28/B$17)*(B$18/U28)</f>
        <v>0.11544103511789892</v>
      </c>
      <c r="Q52" s="44">
        <v>0.51294525670410773</v>
      </c>
      <c r="R52" s="44">
        <f>N28-(O52*P28)</f>
        <v>0.51294002056769805</v>
      </c>
      <c r="S52" s="44">
        <f>N28-(P52*P28)</f>
        <v>0.5129499941608594</v>
      </c>
      <c r="T52" s="105">
        <f t="shared" si="11"/>
        <v>5.2361364096809027E-6</v>
      </c>
      <c r="U52" s="29"/>
      <c r="V52" s="29"/>
      <c r="W52" s="29"/>
      <c r="X52" s="29"/>
      <c r="Y52" s="29"/>
      <c r="Z52" s="29"/>
      <c r="AA52" s="29"/>
      <c r="AB52" s="29"/>
      <c r="AC52" s="29"/>
    </row>
    <row r="53" spans="1:29" x14ac:dyDescent="0.35">
      <c r="A53" s="19"/>
      <c r="B53" s="81" t="s">
        <v>54</v>
      </c>
      <c r="C53" s="26">
        <v>2.27</v>
      </c>
      <c r="D53" s="26">
        <v>11.1</v>
      </c>
      <c r="E53" s="27">
        <v>0.05</v>
      </c>
      <c r="F53" s="93">
        <f t="shared" si="4"/>
        <v>2.3835000000000002</v>
      </c>
      <c r="G53" s="93">
        <f t="shared" si="5"/>
        <v>11.654999999999999</v>
      </c>
      <c r="H53" s="93">
        <f t="shared" si="6"/>
        <v>2.1564999999999999</v>
      </c>
      <c r="I53" s="93">
        <f t="shared" si="7"/>
        <v>10.545</v>
      </c>
      <c r="J53" s="89">
        <f t="shared" si="8"/>
        <v>0.2260312944523471</v>
      </c>
      <c r="K53" s="89">
        <f t="shared" si="9"/>
        <v>0.18502788502788503</v>
      </c>
      <c r="L53" s="27">
        <v>0.20450450450450453</v>
      </c>
      <c r="M53" s="89">
        <f t="shared" si="10"/>
        <v>9.5238095238095308</v>
      </c>
      <c r="N53" s="44">
        <v>0.12360304795026815</v>
      </c>
      <c r="O53" s="44">
        <f>J53*(Z29/B$17)*(B$18/U29)</f>
        <v>0.13661389510292796</v>
      </c>
      <c r="P53" s="44">
        <f>K53*(Z29/B$17)*(B$18/U29)</f>
        <v>0.11183132909786164</v>
      </c>
      <c r="Q53" s="44">
        <v>0.51293981211873529</v>
      </c>
      <c r="R53" s="44">
        <f>N29-(O53*P29)</f>
        <v>0.51293473971018111</v>
      </c>
      <c r="S53" s="44">
        <f>N29-(P53*P29)</f>
        <v>0.51294440144076048</v>
      </c>
      <c r="T53" s="105">
        <f t="shared" si="11"/>
        <v>5.072408554185337E-6</v>
      </c>
      <c r="U53" s="29"/>
      <c r="V53" s="29"/>
      <c r="W53" s="29"/>
      <c r="X53" s="29"/>
      <c r="Y53" s="29"/>
      <c r="Z53" s="29"/>
      <c r="AA53" s="29"/>
      <c r="AB53" s="29"/>
      <c r="AC53" s="29"/>
    </row>
    <row r="54" spans="1:29" x14ac:dyDescent="0.35">
      <c r="A54" s="19"/>
      <c r="B54" s="81" t="s">
        <v>55</v>
      </c>
      <c r="C54" s="26">
        <v>3.2759999999999998</v>
      </c>
      <c r="D54" s="26">
        <v>15.52</v>
      </c>
      <c r="E54" s="27">
        <v>0.05</v>
      </c>
      <c r="F54" s="93">
        <f t="shared" si="4"/>
        <v>3.4398</v>
      </c>
      <c r="G54" s="93">
        <f t="shared" si="5"/>
        <v>16.295999999999999</v>
      </c>
      <c r="H54" s="93">
        <f t="shared" si="6"/>
        <v>3.1121999999999996</v>
      </c>
      <c r="I54" s="93">
        <f t="shared" si="7"/>
        <v>14.744</v>
      </c>
      <c r="J54" s="89">
        <f t="shared" si="8"/>
        <v>0.23330168204015192</v>
      </c>
      <c r="K54" s="89">
        <f t="shared" si="9"/>
        <v>0.19097938144329896</v>
      </c>
      <c r="L54" s="27">
        <v>0.21108247422680412</v>
      </c>
      <c r="M54" s="89">
        <f t="shared" si="10"/>
        <v>9.5238095238095291</v>
      </c>
      <c r="N54" s="44">
        <v>0.1275782484285708</v>
      </c>
      <c r="O54" s="44">
        <f>J54*(Z30/B$17)*(B$18/U30)</f>
        <v>0.14100753773684141</v>
      </c>
      <c r="P54" s="44">
        <f>K54*(Z30/B$17)*(B$18/U30)</f>
        <v>0.1154279390544212</v>
      </c>
      <c r="Q54" s="44">
        <v>0.51292026234717358</v>
      </c>
      <c r="R54" s="44">
        <f>N30-(O54*P30)</f>
        <v>0.51291502680477086</v>
      </c>
      <c r="S54" s="44">
        <f>N30-(P54*P30)</f>
        <v>0.51292499926649049</v>
      </c>
      <c r="T54" s="105">
        <f t="shared" si="11"/>
        <v>5.2355424027261677E-6</v>
      </c>
      <c r="U54" s="29"/>
      <c r="V54" s="29"/>
      <c r="W54" s="29"/>
      <c r="X54" s="29"/>
      <c r="Y54" s="29"/>
      <c r="Z54" s="29"/>
      <c r="AA54" s="29"/>
      <c r="AB54" s="29"/>
      <c r="AC54" s="29"/>
    </row>
    <row r="55" spans="1:29" x14ac:dyDescent="0.35">
      <c r="A55" s="19"/>
      <c r="B55" s="81" t="s">
        <v>56</v>
      </c>
      <c r="C55" s="26">
        <v>2.9460000000000002</v>
      </c>
      <c r="D55" s="26">
        <v>12.07</v>
      </c>
      <c r="E55" s="27">
        <v>0.05</v>
      </c>
      <c r="F55" s="93">
        <f t="shared" si="4"/>
        <v>3.0933000000000002</v>
      </c>
      <c r="G55" s="93">
        <f t="shared" si="5"/>
        <v>12.673500000000001</v>
      </c>
      <c r="H55" s="93">
        <f t="shared" si="6"/>
        <v>2.7987000000000002</v>
      </c>
      <c r="I55" s="93">
        <f t="shared" si="7"/>
        <v>11.4665</v>
      </c>
      <c r="J55" s="89">
        <f t="shared" si="8"/>
        <v>0.26976845593685955</v>
      </c>
      <c r="K55" s="89">
        <f t="shared" si="9"/>
        <v>0.22083086755829093</v>
      </c>
      <c r="L55" s="27">
        <v>0.24407622203811102</v>
      </c>
      <c r="M55" s="89">
        <f t="shared" si="10"/>
        <v>9.5238095238095237</v>
      </c>
      <c r="N55" s="44">
        <v>0.14751956544042905</v>
      </c>
      <c r="O55" s="44">
        <f>J55*(Z31/B$17)*(B$18/U31)</f>
        <v>0.16304794074994791</v>
      </c>
      <c r="P55" s="44">
        <f>K55*(Z31/B$17)*(B$18/U31)</f>
        <v>0.13347008301753105</v>
      </c>
      <c r="Q55" s="44">
        <v>0.51290948802580882</v>
      </c>
      <c r="R55" s="44">
        <f>N31-(O55*P31)</f>
        <v>0.51290343413378869</v>
      </c>
      <c r="S55" s="44">
        <f>N31-(P55*P31)</f>
        <v>0.51291496535668413</v>
      </c>
      <c r="T55" s="105">
        <f t="shared" si="11"/>
        <v>6.0538920201302915E-6</v>
      </c>
      <c r="U55" s="29"/>
      <c r="V55" s="29"/>
      <c r="W55" s="29"/>
      <c r="X55" s="29"/>
      <c r="Y55" s="29"/>
      <c r="Z55" s="29"/>
      <c r="AA55" s="29"/>
      <c r="AB55" s="29"/>
      <c r="AC55" s="29"/>
    </row>
    <row r="56" spans="1:29" x14ac:dyDescent="0.35">
      <c r="A56" s="20"/>
      <c r="B56" s="81" t="s">
        <v>57</v>
      </c>
      <c r="C56" s="26">
        <v>3.73</v>
      </c>
      <c r="D56" s="26">
        <v>19.420000000000002</v>
      </c>
      <c r="E56" s="27">
        <v>0.05</v>
      </c>
      <c r="F56" s="93">
        <f t="shared" si="4"/>
        <v>3.9165000000000001</v>
      </c>
      <c r="G56" s="93">
        <f t="shared" si="5"/>
        <v>20.391000000000002</v>
      </c>
      <c r="H56" s="93">
        <f t="shared" si="6"/>
        <v>3.5434999999999999</v>
      </c>
      <c r="I56" s="93">
        <f t="shared" si="7"/>
        <v>18.449000000000002</v>
      </c>
      <c r="J56" s="89">
        <f t="shared" si="8"/>
        <v>0.21228792888503439</v>
      </c>
      <c r="K56" s="89">
        <f t="shared" si="9"/>
        <v>0.17377764700112794</v>
      </c>
      <c r="L56" s="27">
        <v>0.19207003089598351</v>
      </c>
      <c r="M56" s="89">
        <f t="shared" si="10"/>
        <v>9.5238095238095255</v>
      </c>
      <c r="N56" s="44">
        <v>0.11608512996446746</v>
      </c>
      <c r="O56" s="44">
        <f>J56*(Z32/B$17)*(B$18/U32)</f>
        <v>0.12830461732914825</v>
      </c>
      <c r="P56" s="44">
        <f>K56*(Z32/B$17)*(B$18/U32)</f>
        <v>0.10502940330118486</v>
      </c>
      <c r="Q56" s="44">
        <v>0.51285174305405823</v>
      </c>
      <c r="R56" s="44">
        <f>N32-(O56*P32)</f>
        <v>0.51284697916501176</v>
      </c>
      <c r="S56" s="44">
        <f>N32-(P56*P32)</f>
        <v>0.5128560532393861</v>
      </c>
      <c r="T56" s="105">
        <f t="shared" si="11"/>
        <v>4.7638890464662964E-6</v>
      </c>
      <c r="U56" s="29"/>
      <c r="V56" s="29"/>
      <c r="W56" s="29"/>
      <c r="X56" s="29"/>
      <c r="Y56" s="29"/>
      <c r="Z56" s="29"/>
      <c r="AA56" s="29"/>
      <c r="AB56" s="29"/>
      <c r="AC56" s="29"/>
    </row>
    <row r="57" spans="1:29" x14ac:dyDescent="0.35">
      <c r="A57" s="21" t="s">
        <v>131</v>
      </c>
      <c r="B57" s="81" t="s">
        <v>58</v>
      </c>
      <c r="C57" s="26">
        <v>4.2869999999999999</v>
      </c>
      <c r="D57" s="26">
        <v>22.14</v>
      </c>
      <c r="E57" s="27">
        <v>0.05</v>
      </c>
      <c r="F57" s="93">
        <f t="shared" si="4"/>
        <v>4.5013499999999995</v>
      </c>
      <c r="G57" s="93">
        <f t="shared" si="5"/>
        <v>23.247</v>
      </c>
      <c r="H57" s="93">
        <f t="shared" si="6"/>
        <v>4.0726500000000003</v>
      </c>
      <c r="I57" s="93">
        <f t="shared" si="7"/>
        <v>21.033000000000001</v>
      </c>
      <c r="J57" s="89">
        <f t="shared" si="8"/>
        <v>0.2140136927685066</v>
      </c>
      <c r="K57" s="89">
        <f t="shared" si="9"/>
        <v>0.17519034714156667</v>
      </c>
      <c r="L57" s="27">
        <v>0.19363143631436314</v>
      </c>
      <c r="M57" s="89">
        <f t="shared" si="10"/>
        <v>9.5238095238095113</v>
      </c>
      <c r="N57" s="44">
        <v>0.11702852370845845</v>
      </c>
      <c r="O57" s="44">
        <f>J57*(Z33/B$17)*(B$18/U33)</f>
        <v>0.12934731567776986</v>
      </c>
      <c r="P57" s="44">
        <f>K57*(Z33/B$17)*(B$18/U33)</f>
        <v>0.10588295002193862</v>
      </c>
      <c r="Q57" s="44">
        <v>0.51284466290769293</v>
      </c>
      <c r="R57" s="44">
        <f>N33-(O57*P33)</f>
        <v>0.51284031163481847</v>
      </c>
      <c r="S57" s="44">
        <f>N33-(P57*P33)</f>
        <v>0.51284859977362696</v>
      </c>
      <c r="T57" s="105">
        <f t="shared" si="11"/>
        <v>4.3512728744588003E-6</v>
      </c>
      <c r="U57" s="29"/>
      <c r="V57" s="29"/>
      <c r="W57" s="29"/>
      <c r="X57" s="29"/>
      <c r="Y57" s="29"/>
      <c r="Z57" s="29"/>
      <c r="AA57" s="29"/>
      <c r="AB57" s="29"/>
      <c r="AC57" s="29"/>
    </row>
    <row r="58" spans="1:29" x14ac:dyDescent="0.35">
      <c r="A58" s="20"/>
      <c r="B58" s="81" t="s">
        <v>61</v>
      </c>
      <c r="C58" s="26">
        <v>4.5890000000000004</v>
      </c>
      <c r="D58" s="26">
        <v>24</v>
      </c>
      <c r="E58" s="27">
        <v>0.05</v>
      </c>
      <c r="F58" s="93">
        <f t="shared" si="4"/>
        <v>4.8184500000000003</v>
      </c>
      <c r="G58" s="93">
        <f t="shared" si="5"/>
        <v>25.2</v>
      </c>
      <c r="H58" s="93">
        <f t="shared" si="6"/>
        <v>4.3595500000000005</v>
      </c>
      <c r="I58" s="93">
        <f t="shared" si="7"/>
        <v>22.8</v>
      </c>
      <c r="J58" s="89">
        <f t="shared" si="8"/>
        <v>0.21133552631578947</v>
      </c>
      <c r="K58" s="89">
        <f t="shared" si="9"/>
        <v>0.17299801587301589</v>
      </c>
      <c r="L58" s="27">
        <v>0.19120833333333334</v>
      </c>
      <c r="M58" s="89">
        <f t="shared" si="10"/>
        <v>9.5238095238095202</v>
      </c>
      <c r="N58" s="44">
        <v>0.11556234025331276</v>
      </c>
      <c r="O58" s="44">
        <f>J58*(Z34/B$17)*(B$18/U34)</f>
        <v>0.12772679712208251</v>
      </c>
      <c r="P58" s="44">
        <f>K58*(Z34/B$17)*(B$18/U34)</f>
        <v>0.1045564030863306</v>
      </c>
      <c r="Q58" s="44">
        <v>0.51278318079648533</v>
      </c>
      <c r="R58" s="44">
        <f>N34-(O58*P34)</f>
        <v>0.51277888403822069</v>
      </c>
      <c r="S58" s="44">
        <f>N34-(P58*P34)</f>
        <v>0.51278706833967724</v>
      </c>
      <c r="T58" s="105">
        <f t="shared" si="11"/>
        <v>4.2967582646324942E-6</v>
      </c>
      <c r="U58" s="29"/>
      <c r="V58" s="29"/>
      <c r="W58" s="29"/>
      <c r="X58" s="29"/>
      <c r="Y58" s="29"/>
      <c r="Z58" s="29"/>
      <c r="AA58" s="29"/>
      <c r="AB58" s="29"/>
      <c r="AC58" s="29"/>
    </row>
    <row r="59" spans="1:29" x14ac:dyDescent="0.35">
      <c r="A59" s="21" t="s">
        <v>132</v>
      </c>
      <c r="B59" s="81" t="s">
        <v>62</v>
      </c>
      <c r="C59" s="26">
        <v>6.4889999999999999</v>
      </c>
      <c r="D59" s="26">
        <v>29.4</v>
      </c>
      <c r="E59" s="27">
        <v>0.05</v>
      </c>
      <c r="F59" s="93">
        <f t="shared" si="4"/>
        <v>6.8134499999999996</v>
      </c>
      <c r="G59" s="93">
        <f t="shared" si="5"/>
        <v>30.869999999999997</v>
      </c>
      <c r="H59" s="93">
        <f t="shared" si="6"/>
        <v>6.1645500000000002</v>
      </c>
      <c r="I59" s="93">
        <f t="shared" si="7"/>
        <v>27.93</v>
      </c>
      <c r="J59" s="89">
        <f t="shared" si="8"/>
        <v>0.24394736842105261</v>
      </c>
      <c r="K59" s="89">
        <f t="shared" si="9"/>
        <v>0.19969387755102044</v>
      </c>
      <c r="L59" s="27">
        <v>0.22071428571428572</v>
      </c>
      <c r="M59" s="89">
        <f t="shared" si="10"/>
        <v>9.5238095238095113</v>
      </c>
      <c r="N59" s="44">
        <v>0.13339342618976296</v>
      </c>
      <c r="O59" s="44">
        <f>J59*(Z35/B$17)*(B$18/U35)</f>
        <v>0.1474348394728959</v>
      </c>
      <c r="P59" s="44">
        <f>K59*(Z35/B$17)*(B$18/U35)</f>
        <v>0.12068929036216652</v>
      </c>
      <c r="Q59" s="44">
        <v>0.51271240963326059</v>
      </c>
      <c r="R59" s="44">
        <f>N35-(O59*P35)</f>
        <v>0.51270634748939325</v>
      </c>
      <c r="S59" s="44">
        <f>N35-(P59*P35)</f>
        <v>0.51271789443009286</v>
      </c>
      <c r="T59" s="105">
        <f t="shared" si="11"/>
        <v>6.0621438673358341E-6</v>
      </c>
      <c r="U59" s="29"/>
      <c r="V59" s="29"/>
      <c r="W59" s="29"/>
      <c r="X59" s="29"/>
      <c r="Y59" s="29"/>
      <c r="Z59" s="29"/>
      <c r="AA59" s="29"/>
      <c r="AB59" s="29"/>
      <c r="AC59" s="29"/>
    </row>
    <row r="60" spans="1:29" x14ac:dyDescent="0.35">
      <c r="A60" s="19"/>
      <c r="B60" s="81" t="s">
        <v>65</v>
      </c>
      <c r="C60" s="26">
        <v>8.4369999999999994</v>
      </c>
      <c r="D60" s="26">
        <v>40.44</v>
      </c>
      <c r="E60" s="27">
        <v>0.05</v>
      </c>
      <c r="F60" s="93">
        <f t="shared" si="4"/>
        <v>8.8588499999999986</v>
      </c>
      <c r="G60" s="93">
        <f t="shared" si="5"/>
        <v>42.461999999999996</v>
      </c>
      <c r="H60" s="93">
        <f t="shared" si="6"/>
        <v>8.0151500000000002</v>
      </c>
      <c r="I60" s="93">
        <f t="shared" si="7"/>
        <v>38.417999999999999</v>
      </c>
      <c r="J60" s="89">
        <f t="shared" si="8"/>
        <v>0.23059112915820706</v>
      </c>
      <c r="K60" s="89">
        <f t="shared" si="9"/>
        <v>0.18876053883472282</v>
      </c>
      <c r="L60" s="27">
        <v>0.20863006923837785</v>
      </c>
      <c r="M60" s="89">
        <f t="shared" si="10"/>
        <v>9.5238095238095184</v>
      </c>
      <c r="N60" s="44">
        <v>0.1260899214077478</v>
      </c>
      <c r="O60" s="44">
        <f>J60*(Z36/B$17)*(B$18/U36)</f>
        <v>0.1393625447138265</v>
      </c>
      <c r="P60" s="44">
        <f>K60*(Z36/B$17)*(B$18/U36)</f>
        <v>0.11408135746415279</v>
      </c>
      <c r="Q60" s="44">
        <v>0.512710562798532</v>
      </c>
      <c r="R60" s="44">
        <f>N36-(O60*P36)</f>
        <v>0.51270483256679844</v>
      </c>
      <c r="S60" s="44">
        <f>N36-(P60*P36)</f>
        <v>0.5127157472939099</v>
      </c>
      <c r="T60" s="105">
        <f t="shared" si="11"/>
        <v>5.7302317335583552E-6</v>
      </c>
      <c r="U60" s="29"/>
      <c r="V60" s="29"/>
      <c r="W60" s="29"/>
      <c r="X60" s="29"/>
      <c r="Y60" s="29"/>
      <c r="Z60" s="29"/>
      <c r="AA60" s="29"/>
      <c r="AB60" s="29"/>
      <c r="AC60" s="29"/>
    </row>
    <row r="61" spans="1:29" x14ac:dyDescent="0.35">
      <c r="A61" s="19"/>
      <c r="B61" s="81" t="s">
        <v>67</v>
      </c>
      <c r="C61" s="26">
        <v>3.7410000000000001</v>
      </c>
      <c r="D61" s="26">
        <v>15.86</v>
      </c>
      <c r="E61" s="27">
        <v>0.05</v>
      </c>
      <c r="F61" s="93">
        <f t="shared" si="4"/>
        <v>3.9280500000000003</v>
      </c>
      <c r="G61" s="93">
        <f t="shared" si="5"/>
        <v>16.652999999999999</v>
      </c>
      <c r="H61" s="93">
        <f t="shared" si="6"/>
        <v>3.5539499999999999</v>
      </c>
      <c r="I61" s="93">
        <f t="shared" si="7"/>
        <v>15.067</v>
      </c>
      <c r="J61" s="89">
        <f t="shared" si="8"/>
        <v>0.26070551536470432</v>
      </c>
      <c r="K61" s="89">
        <f t="shared" si="9"/>
        <v>0.21341199783822737</v>
      </c>
      <c r="L61" s="27">
        <v>0.23587641866330392</v>
      </c>
      <c r="M61" s="89">
        <f t="shared" si="10"/>
        <v>9.5238095238095184</v>
      </c>
      <c r="N61" s="44">
        <v>0.14255846603949363</v>
      </c>
      <c r="O61" s="44">
        <f>J61*(Z37/B$17)*(B$18/U37)</f>
        <v>0.15756462035944033</v>
      </c>
      <c r="P61" s="44">
        <f>K61*(Z37/B$17)*(B$18/U37)</f>
        <v>0.12898146927382756</v>
      </c>
      <c r="Q61" s="44">
        <v>0.51275245278155357</v>
      </c>
      <c r="R61" s="44">
        <f>N37-(O61*P37)</f>
        <v>0.51274597412698031</v>
      </c>
      <c r="S61" s="44">
        <f>N37-(P61*P37)</f>
        <v>0.51275831442140563</v>
      </c>
      <c r="T61" s="105">
        <f t="shared" si="11"/>
        <v>6.4786545732609113E-6</v>
      </c>
      <c r="U61" s="29"/>
      <c r="V61" s="29"/>
      <c r="W61" s="29"/>
      <c r="X61" s="29"/>
      <c r="Y61" s="29"/>
      <c r="Z61" s="29"/>
      <c r="AA61" s="29"/>
      <c r="AB61" s="29"/>
      <c r="AC61" s="29"/>
    </row>
    <row r="62" spans="1:29" x14ac:dyDescent="0.35">
      <c r="A62" s="20"/>
      <c r="B62" s="81" t="s">
        <v>69</v>
      </c>
      <c r="C62" s="26">
        <v>4.5730000000000004</v>
      </c>
      <c r="D62" s="26">
        <v>18.760000000000002</v>
      </c>
      <c r="E62" s="27">
        <v>0.05</v>
      </c>
      <c r="F62" s="93">
        <f t="shared" si="4"/>
        <v>4.8016500000000004</v>
      </c>
      <c r="G62" s="93">
        <f t="shared" si="5"/>
        <v>19.698</v>
      </c>
      <c r="H62" s="93">
        <f t="shared" si="6"/>
        <v>4.3443500000000004</v>
      </c>
      <c r="I62" s="93">
        <f t="shared" si="7"/>
        <v>17.822000000000003</v>
      </c>
      <c r="J62" s="89">
        <f t="shared" si="8"/>
        <v>0.2694226237234878</v>
      </c>
      <c r="K62" s="89">
        <f t="shared" si="9"/>
        <v>0.22054777134734493</v>
      </c>
      <c r="L62" s="27">
        <v>0.24376332622601279</v>
      </c>
      <c r="M62" s="89">
        <f t="shared" si="10"/>
        <v>9.5238095238095131</v>
      </c>
      <c r="N62" s="44">
        <v>0.14732322758798053</v>
      </c>
      <c r="O62" s="44">
        <f>J62*(Z38/B$17)*(B$18/U38)</f>
        <v>0.16283093575513635</v>
      </c>
      <c r="P62" s="44">
        <f>K62*(Z38/B$17)*(B$18/U38)</f>
        <v>0.13329244400817289</v>
      </c>
      <c r="Q62" s="44">
        <v>0.51269539567594613</v>
      </c>
      <c r="R62" s="44">
        <f>N38-(O62*P38)</f>
        <v>0.51268870048394055</v>
      </c>
      <c r="S62" s="44">
        <f>N38-(P62*P38)</f>
        <v>0.512701453230618</v>
      </c>
      <c r="T62" s="105">
        <f t="shared" si="11"/>
        <v>6.6951920055791092E-6</v>
      </c>
      <c r="U62" s="29"/>
      <c r="V62" s="29"/>
      <c r="W62" s="29"/>
      <c r="X62" s="29"/>
      <c r="Y62" s="29"/>
      <c r="Z62" s="29"/>
      <c r="AA62" s="29"/>
      <c r="AB62" s="29"/>
      <c r="AC62" s="29"/>
    </row>
    <row r="63" spans="1:29" x14ac:dyDescent="0.35">
      <c r="A63" s="21" t="s">
        <v>133</v>
      </c>
      <c r="B63" s="81" t="s">
        <v>71</v>
      </c>
      <c r="C63" s="26">
        <v>5.7060000000000004</v>
      </c>
      <c r="D63" s="26">
        <v>26.71</v>
      </c>
      <c r="E63" s="27">
        <v>0.05</v>
      </c>
      <c r="F63" s="93">
        <f t="shared" si="4"/>
        <v>5.9913000000000007</v>
      </c>
      <c r="G63" s="93">
        <f t="shared" si="5"/>
        <v>28.045500000000001</v>
      </c>
      <c r="H63" s="93">
        <f t="shared" si="6"/>
        <v>5.4207000000000001</v>
      </c>
      <c r="I63" s="93">
        <f t="shared" si="7"/>
        <v>25.374500000000001</v>
      </c>
      <c r="J63" s="89">
        <f t="shared" si="8"/>
        <v>0.23611499733984909</v>
      </c>
      <c r="K63" s="89">
        <f t="shared" si="9"/>
        <v>0.19328234476119163</v>
      </c>
      <c r="L63" s="27">
        <v>0.21362785473605392</v>
      </c>
      <c r="M63" s="89">
        <f t="shared" si="10"/>
        <v>9.5238095238095273</v>
      </c>
      <c r="N63" s="44">
        <v>0.12911098486671668</v>
      </c>
      <c r="O63" s="44">
        <f>J63*(Z39/B$17)*(B$18/U39)</f>
        <v>0.14270161485268687</v>
      </c>
      <c r="P63" s="44">
        <f>K63*(Z39/B$17)*(B$18/U39)</f>
        <v>0.11681470059369604</v>
      </c>
      <c r="Q63" s="44">
        <v>0.51274499704529319</v>
      </c>
      <c r="R63" s="44">
        <f>N39-(O63*P39)</f>
        <v>0.51274099673427143</v>
      </c>
      <c r="S63" s="44">
        <f>N39-(P63*P39)</f>
        <v>0.5127486163743129</v>
      </c>
      <c r="T63" s="105">
        <f t="shared" si="11"/>
        <v>4.0003110217678994E-6</v>
      </c>
      <c r="U63" s="29"/>
      <c r="V63" s="29"/>
      <c r="W63" s="29"/>
      <c r="X63" s="29"/>
      <c r="Y63" s="29"/>
      <c r="Z63" s="29"/>
      <c r="AA63" s="29"/>
      <c r="AB63" s="29"/>
      <c r="AC63" s="29"/>
    </row>
    <row r="64" spans="1:29" x14ac:dyDescent="0.35">
      <c r="A64" s="20"/>
      <c r="B64" s="81" t="s">
        <v>74</v>
      </c>
      <c r="C64" s="26">
        <v>13.68</v>
      </c>
      <c r="D64" s="26">
        <v>84.7</v>
      </c>
      <c r="E64" s="27">
        <v>0.05</v>
      </c>
      <c r="F64" s="93">
        <f t="shared" si="4"/>
        <v>14.363999999999999</v>
      </c>
      <c r="G64" s="93">
        <f t="shared" si="5"/>
        <v>88.935000000000002</v>
      </c>
      <c r="H64" s="93">
        <f t="shared" si="6"/>
        <v>12.996</v>
      </c>
      <c r="I64" s="93">
        <f t="shared" si="7"/>
        <v>80.465000000000003</v>
      </c>
      <c r="J64" s="89">
        <f t="shared" si="8"/>
        <v>0.17851239669421484</v>
      </c>
      <c r="K64" s="89">
        <f t="shared" si="9"/>
        <v>0.14612919547984482</v>
      </c>
      <c r="L64" s="27">
        <v>0.1615112160566706</v>
      </c>
      <c r="M64" s="89">
        <f t="shared" si="10"/>
        <v>9.5238095238095273</v>
      </c>
      <c r="N64" s="44">
        <v>9.7613836072128729E-2</v>
      </c>
      <c r="O64" s="44">
        <f>J64*(Z40/B$17)*(B$18/U40)</f>
        <v>0.10788897671130016</v>
      </c>
      <c r="P64" s="44">
        <f>K64*(Z40/B$17)*(B$18/U40)</f>
        <v>8.83172802557355E-2</v>
      </c>
      <c r="Q64" s="44">
        <v>0.51278726802034058</v>
      </c>
      <c r="R64" s="44">
        <f>N40-(O64*P40)</f>
        <v>0.51278424360142905</v>
      </c>
      <c r="S64" s="44">
        <f>N40-(P64*P40)</f>
        <v>0.51279000439935574</v>
      </c>
      <c r="T64" s="105">
        <f t="shared" si="11"/>
        <v>3.0244189115347098E-6</v>
      </c>
      <c r="U64" s="29"/>
      <c r="V64" s="29"/>
      <c r="W64" s="29"/>
      <c r="X64" s="29"/>
      <c r="Y64" s="29"/>
      <c r="Z64" s="29"/>
      <c r="AA64" s="29"/>
      <c r="AB64" s="29"/>
      <c r="AC64" s="29"/>
    </row>
    <row r="65" spans="1:31" ht="15" thickBot="1" x14ac:dyDescent="0.4">
      <c r="A65" s="22" t="s">
        <v>134</v>
      </c>
      <c r="B65" s="82" t="s">
        <v>75</v>
      </c>
      <c r="C65" s="50">
        <v>4.5129999999999999</v>
      </c>
      <c r="D65" s="50">
        <v>22.97</v>
      </c>
      <c r="E65" s="51">
        <v>0.05</v>
      </c>
      <c r="F65" s="94">
        <f t="shared" si="4"/>
        <v>4.7386499999999998</v>
      </c>
      <c r="G65" s="94">
        <f t="shared" si="5"/>
        <v>24.118499999999997</v>
      </c>
      <c r="H65" s="94">
        <f t="shared" si="6"/>
        <v>4.28735</v>
      </c>
      <c r="I65" s="94">
        <f t="shared" si="7"/>
        <v>21.8215</v>
      </c>
      <c r="J65" s="90">
        <f t="shared" si="8"/>
        <v>0.21715509932864377</v>
      </c>
      <c r="K65" s="90">
        <f t="shared" si="9"/>
        <v>0.17776188403093063</v>
      </c>
      <c r="L65" s="51">
        <v>0.19647366129734437</v>
      </c>
      <c r="M65" s="90">
        <f t="shared" si="10"/>
        <v>9.5238095238095184</v>
      </c>
      <c r="N65" s="53">
        <v>0.11874397914926065</v>
      </c>
      <c r="O65" s="53">
        <f>J65*(Z41/B$17)*(B$18/U41)</f>
        <v>0.13124334537549859</v>
      </c>
      <c r="P65" s="53">
        <f>K65*(Z41/B$17)*(B$18/U41)</f>
        <v>0.10743502875409296</v>
      </c>
      <c r="Q65" s="53">
        <v>0.51275539571941997</v>
      </c>
      <c r="R65" s="53">
        <f>N41-(O65*P41)</f>
        <v>0.51275049000567474</v>
      </c>
      <c r="S65" s="53">
        <f>N41-(P65*P41)</f>
        <v>0.51275983422233229</v>
      </c>
      <c r="T65" s="106">
        <f t="shared" si="11"/>
        <v>4.9057137452290789E-6</v>
      </c>
      <c r="U65" s="29"/>
      <c r="V65" s="29"/>
      <c r="W65" s="29"/>
      <c r="X65" s="29"/>
      <c r="Y65" s="29"/>
      <c r="Z65" s="29"/>
      <c r="AA65" s="29"/>
      <c r="AB65" s="29"/>
      <c r="AC65" s="29"/>
    </row>
    <row r="66" spans="1:31" x14ac:dyDescent="0.3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</sheetData>
  <mergeCells count="13">
    <mergeCell ref="K45:L45"/>
    <mergeCell ref="A52:A56"/>
    <mergeCell ref="A57:A58"/>
    <mergeCell ref="A59:A62"/>
    <mergeCell ref="A63:A64"/>
    <mergeCell ref="C45:D45"/>
    <mergeCell ref="F45:I45"/>
    <mergeCell ref="A23:A27"/>
    <mergeCell ref="A28:A32"/>
    <mergeCell ref="A33:A34"/>
    <mergeCell ref="A35:A38"/>
    <mergeCell ref="A39:A40"/>
    <mergeCell ref="A47:A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 age corrections</vt:lpstr>
      <vt:lpstr>Nd age corrections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</dc:creator>
  <cp:lastModifiedBy>erin</cp:lastModifiedBy>
  <dcterms:created xsi:type="dcterms:W3CDTF">2019-05-14T10:25:10Z</dcterms:created>
  <dcterms:modified xsi:type="dcterms:W3CDTF">2019-06-04T21:19:17Z</dcterms:modified>
</cp:coreProperties>
</file>