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ARCHAEOLOGY\MA Archaeology\MA Dissertation Writing\July Submission\"/>
    </mc:Choice>
  </mc:AlternateContent>
  <bookViews>
    <workbookView xWindow="0" yWindow="0" windowWidth="20490" windowHeight="6945"/>
  </bookViews>
  <sheets>
    <sheet name="1 Prehist GB - Darvill" sheetId="1" r:id="rId1"/>
    <sheet name="2 GB Prehistory - Piggott" sheetId="2" r:id="rId2"/>
    <sheet name="3 Mega monumts GBIre - Scarre" sheetId="4" r:id="rId3"/>
    <sheet name="4 Renfrew's GB Prehistory" sheetId="5" r:id="rId4"/>
    <sheet name="5 Hawkes - Prehistoric Britain" sheetId="10" r:id="rId5"/>
    <sheet name="6 Bradley The Prehis of GB.Ire" sheetId="3" r:id="rId6"/>
    <sheet name="7 Parker Pearson - BA GB" sheetId="11" r:id="rId7"/>
    <sheet name="8 Forde-J's Prehist GBIre" sheetId="6" r:id="rId8"/>
    <sheet name="9 Thomas Birth of Neo GB" sheetId="14" r:id="rId9"/>
    <sheet name="10 Malone Neo GB &amp; Ireland" sheetId="16" r:id="rId10"/>
    <sheet name="11 Pryor Britain BC" sheetId="17" r:id="rId11"/>
    <sheet name="12 Megaw Simpson Intro GB Prehi" sheetId="24" r:id="rId12"/>
    <sheet name="13 HunterRalston Arch of GB" sheetId="23" r:id="rId13"/>
    <sheet name="14 Fox Personality of GB" sheetId="22" r:id="rId14"/>
    <sheet name="Sample- Pollard (1997) Analysis" sheetId="26" r:id="rId15"/>
  </sheets>
  <definedNames>
    <definedName name="_xlnm._FilterDatabase" localSheetId="1" hidden="1">'2 GB Prehistory - Piggott'!$B$1:$S$1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5" i="26" l="1"/>
  <c r="C44" i="26"/>
  <c r="C43" i="26"/>
  <c r="C42" i="26"/>
  <c r="C489" i="22" l="1"/>
  <c r="C495" i="22" s="1"/>
  <c r="C428" i="22"/>
  <c r="C440" i="22" s="1"/>
  <c r="C416" i="22"/>
  <c r="C439" i="22" s="1"/>
  <c r="C385" i="22"/>
  <c r="C381" i="22"/>
  <c r="C375" i="22"/>
  <c r="C357" i="22"/>
  <c r="C352" i="22"/>
  <c r="C340" i="22"/>
  <c r="H303" i="22"/>
  <c r="H304" i="22"/>
  <c r="H305" i="22"/>
  <c r="H306" i="22"/>
  <c r="C407" i="22" s="1"/>
  <c r="H307" i="22"/>
  <c r="H308" i="22"/>
  <c r="C408" i="22" s="1"/>
  <c r="H309" i="22"/>
  <c r="C409" i="22" s="1"/>
  <c r="H310" i="22"/>
  <c r="H311" i="22"/>
  <c r="H312" i="22"/>
  <c r="H313" i="22"/>
  <c r="H314" i="22"/>
  <c r="H28" i="22"/>
  <c r="H41" i="22"/>
  <c r="H39" i="22"/>
  <c r="H37" i="22"/>
  <c r="H34" i="22"/>
  <c r="H74" i="22"/>
  <c r="H274" i="22"/>
  <c r="H283" i="22"/>
  <c r="H250" i="22"/>
  <c r="C448" i="22" s="1"/>
  <c r="C455" i="22" s="1"/>
  <c r="H159" i="22"/>
  <c r="H126" i="22"/>
  <c r="H187" i="22"/>
  <c r="C389" i="22" s="1"/>
  <c r="H320" i="22"/>
  <c r="H169" i="22"/>
  <c r="H152" i="22"/>
  <c r="H138" i="22"/>
  <c r="H122" i="22"/>
  <c r="H121" i="22"/>
  <c r="H174" i="22"/>
  <c r="H272" i="22"/>
  <c r="C444" i="22" s="1"/>
  <c r="C454" i="22" s="1"/>
  <c r="H157" i="22"/>
  <c r="H158" i="22"/>
  <c r="H260" i="22"/>
  <c r="H324" i="22"/>
  <c r="H278" i="22"/>
  <c r="H282" i="22"/>
  <c r="H281" i="22"/>
  <c r="H266" i="22"/>
  <c r="H54" i="22"/>
  <c r="H57" i="22"/>
  <c r="H56" i="22"/>
  <c r="H275" i="22"/>
  <c r="H182" i="22"/>
  <c r="H231" i="22"/>
  <c r="H183" i="22"/>
  <c r="H62" i="22"/>
  <c r="H168" i="22"/>
  <c r="H142" i="22"/>
  <c r="H109" i="22"/>
  <c r="H105" i="22"/>
  <c r="H80" i="22"/>
  <c r="H179" i="22"/>
  <c r="H91" i="22"/>
  <c r="H101" i="22"/>
  <c r="H115" i="22"/>
  <c r="H118" i="22"/>
  <c r="H111" i="22"/>
  <c r="H144" i="22"/>
  <c r="H99" i="22"/>
  <c r="H210" i="22"/>
  <c r="H112" i="22"/>
  <c r="H48" i="22"/>
  <c r="H130" i="22"/>
  <c r="H127" i="22"/>
  <c r="H129" i="22"/>
  <c r="H132" i="22"/>
  <c r="H133" i="22"/>
  <c r="H128" i="22"/>
  <c r="H52" i="22"/>
  <c r="H181" i="22"/>
  <c r="C387" i="22" s="1"/>
  <c r="H161" i="22"/>
  <c r="H45" i="22"/>
  <c r="H328" i="22"/>
  <c r="C494" i="22" s="1"/>
  <c r="H103" i="22"/>
  <c r="H277" i="22"/>
  <c r="H51" i="22"/>
  <c r="H50" i="22"/>
  <c r="H120" i="22"/>
  <c r="H137" i="22"/>
  <c r="C366" i="22" s="1"/>
  <c r="H78" i="22"/>
  <c r="H153" i="22"/>
  <c r="H163" i="22"/>
  <c r="H140" i="22"/>
  <c r="H162" i="22"/>
  <c r="H65" i="22"/>
  <c r="H35" i="22"/>
  <c r="H36" i="22"/>
  <c r="H18" i="22"/>
  <c r="H271" i="22"/>
  <c r="H298" i="22"/>
  <c r="H25" i="22"/>
  <c r="H215" i="22"/>
  <c r="H40" i="22"/>
  <c r="H66" i="22"/>
  <c r="H220" i="22"/>
  <c r="H184" i="22"/>
  <c r="H186" i="22"/>
  <c r="H125" i="22"/>
  <c r="C363" i="22" s="1"/>
  <c r="H146" i="22"/>
  <c r="H124" i="22"/>
  <c r="H141" i="22"/>
  <c r="H234" i="22"/>
  <c r="H164" i="22"/>
  <c r="C379" i="22" s="1"/>
  <c r="H117" i="22"/>
  <c r="H116" i="22"/>
  <c r="H216" i="22"/>
  <c r="C380" i="22" s="1"/>
  <c r="H211" i="22"/>
  <c r="H219" i="22"/>
  <c r="H213" i="22"/>
  <c r="H79" i="22"/>
  <c r="H254" i="22"/>
  <c r="H60" i="22"/>
  <c r="H59" i="22"/>
  <c r="H73" i="22"/>
  <c r="H72" i="22"/>
  <c r="H208" i="22"/>
  <c r="H245" i="22"/>
  <c r="H244" i="22"/>
  <c r="H95" i="22"/>
  <c r="C354" i="22" s="1"/>
  <c r="H156" i="22"/>
  <c r="H155" i="22"/>
  <c r="H259" i="22"/>
  <c r="H258" i="22"/>
  <c r="H206" i="22"/>
  <c r="H199" i="22"/>
  <c r="H251" i="22"/>
  <c r="H223" i="22"/>
  <c r="H87" i="22"/>
  <c r="H98" i="22"/>
  <c r="H88" i="22"/>
  <c r="H10" i="22"/>
  <c r="H19" i="22"/>
  <c r="C445" i="22" s="1"/>
  <c r="C453" i="22" s="1"/>
  <c r="H265" i="22"/>
  <c r="H69" i="22"/>
  <c r="H77" i="22"/>
  <c r="H170" i="22"/>
  <c r="H81" i="22"/>
  <c r="H90" i="22"/>
  <c r="H92" i="22"/>
  <c r="H93" i="22"/>
  <c r="H192" i="22"/>
  <c r="H224" i="22"/>
  <c r="H289" i="22"/>
  <c r="H89" i="22"/>
  <c r="H84" i="22"/>
  <c r="H104" i="22"/>
  <c r="C356" i="22" s="1"/>
  <c r="H97" i="22"/>
  <c r="H23" i="22"/>
  <c r="H21" i="22"/>
  <c r="C336" i="23"/>
  <c r="H334" i="22"/>
  <c r="H333" i="22"/>
  <c r="H332" i="22"/>
  <c r="H331" i="22"/>
  <c r="H330" i="22"/>
  <c r="C492" i="22" s="1"/>
  <c r="H329" i="22"/>
  <c r="H327" i="22"/>
  <c r="C472" i="22" s="1"/>
  <c r="H326" i="22"/>
  <c r="C470" i="22" s="1"/>
  <c r="C493" i="22" s="1"/>
  <c r="H325" i="22"/>
  <c r="C468" i="22" s="1"/>
  <c r="H323" i="22"/>
  <c r="H322" i="22"/>
  <c r="H321" i="22"/>
  <c r="H319" i="22"/>
  <c r="C426" i="22" s="1"/>
  <c r="H318" i="22"/>
  <c r="C425" i="22" s="1"/>
  <c r="H317" i="22"/>
  <c r="H316" i="22"/>
  <c r="C420" i="22" s="1"/>
  <c r="H315" i="22"/>
  <c r="C415" i="22" s="1"/>
  <c r="H302" i="22"/>
  <c r="H301" i="22"/>
  <c r="C438" i="22" s="1"/>
  <c r="H300" i="22"/>
  <c r="H299" i="22"/>
  <c r="H297" i="22"/>
  <c r="H296" i="22"/>
  <c r="H295" i="22"/>
  <c r="H294" i="22"/>
  <c r="H293" i="22"/>
  <c r="C403" i="22" s="1"/>
  <c r="H292" i="22"/>
  <c r="H291" i="22"/>
  <c r="H290" i="22"/>
  <c r="H288" i="22"/>
  <c r="H287" i="22"/>
  <c r="H286" i="22"/>
  <c r="H285" i="22"/>
  <c r="H284" i="22"/>
  <c r="H280" i="22"/>
  <c r="H279" i="22"/>
  <c r="H276" i="22"/>
  <c r="C447" i="22" s="1"/>
  <c r="C452" i="22" s="1"/>
  <c r="H273" i="22"/>
  <c r="H270" i="22"/>
  <c r="C442" i="22" s="1"/>
  <c r="H269" i="22"/>
  <c r="C443" i="22" s="1"/>
  <c r="H268" i="22"/>
  <c r="H267" i="22"/>
  <c r="H264" i="22"/>
  <c r="H263" i="22"/>
  <c r="H262" i="22"/>
  <c r="H261" i="22"/>
  <c r="H257" i="22"/>
  <c r="H256" i="22"/>
  <c r="H255" i="22"/>
  <c r="H253" i="22"/>
  <c r="H252" i="22"/>
  <c r="H249" i="22"/>
  <c r="H248" i="22"/>
  <c r="H247" i="22"/>
  <c r="H246" i="22"/>
  <c r="H243" i="22"/>
  <c r="H242" i="22"/>
  <c r="H241" i="22"/>
  <c r="C360" i="22" s="1"/>
  <c r="H240" i="22"/>
  <c r="H239" i="22"/>
  <c r="H238" i="22"/>
  <c r="H237" i="22"/>
  <c r="H236" i="22"/>
  <c r="H235" i="22"/>
  <c r="H233" i="22"/>
  <c r="H232" i="22"/>
  <c r="H230" i="22"/>
  <c r="H229" i="22"/>
  <c r="H228" i="22"/>
  <c r="C394" i="22" s="1"/>
  <c r="H227" i="22"/>
  <c r="C391" i="22" s="1"/>
  <c r="H226" i="22"/>
  <c r="H225" i="22"/>
  <c r="H222" i="22"/>
  <c r="H221" i="22"/>
  <c r="H218" i="22"/>
  <c r="H217" i="22"/>
  <c r="H214" i="22"/>
  <c r="H212" i="22"/>
  <c r="H209" i="22"/>
  <c r="H207" i="22"/>
  <c r="H205" i="22"/>
  <c r="H204" i="22"/>
  <c r="H203" i="22"/>
  <c r="H202" i="22"/>
  <c r="H201" i="22"/>
  <c r="H200" i="22"/>
  <c r="H198" i="22"/>
  <c r="H197" i="22"/>
  <c r="H196" i="22"/>
  <c r="H195" i="22"/>
  <c r="H194" i="22"/>
  <c r="H193" i="22"/>
  <c r="C344" i="22" s="1"/>
  <c r="H191" i="22"/>
  <c r="C386" i="22" s="1"/>
  <c r="H190" i="22"/>
  <c r="C351" i="22" s="1"/>
  <c r="H189" i="22"/>
  <c r="H188" i="22"/>
  <c r="H185" i="22"/>
  <c r="H180" i="22"/>
  <c r="H178" i="22"/>
  <c r="H177" i="22"/>
  <c r="H176" i="22"/>
  <c r="H175" i="22"/>
  <c r="C390" i="22" s="1"/>
  <c r="H173" i="22"/>
  <c r="C383" i="22" s="1"/>
  <c r="H172" i="22"/>
  <c r="H171" i="22"/>
  <c r="H167" i="22"/>
  <c r="H166" i="22"/>
  <c r="H165" i="22"/>
  <c r="H160" i="22"/>
  <c r="C376" i="22" s="1"/>
  <c r="H154" i="22"/>
  <c r="H151" i="22"/>
  <c r="H150" i="22"/>
  <c r="H149" i="22"/>
  <c r="C372" i="22" s="1"/>
  <c r="H148" i="22"/>
  <c r="H147" i="22"/>
  <c r="H145" i="22"/>
  <c r="C370" i="22" s="1"/>
  <c r="H143" i="22"/>
  <c r="H139" i="22"/>
  <c r="H136" i="22"/>
  <c r="C365" i="22" s="1"/>
  <c r="H135" i="22"/>
  <c r="H134" i="22"/>
  <c r="H131" i="22"/>
  <c r="H123" i="22"/>
  <c r="H119" i="22"/>
  <c r="C361" i="22" s="1"/>
  <c r="H114" i="22"/>
  <c r="H113" i="22"/>
  <c r="H110" i="22"/>
  <c r="H108" i="22"/>
  <c r="C358" i="22" s="1"/>
  <c r="H107" i="22"/>
  <c r="H106" i="22"/>
  <c r="H102" i="22"/>
  <c r="H100" i="22"/>
  <c r="C355" i="22" s="1"/>
  <c r="H96" i="22"/>
  <c r="H94" i="22"/>
  <c r="H86" i="22"/>
  <c r="H85" i="22"/>
  <c r="H83" i="22"/>
  <c r="H82" i="22"/>
  <c r="C350" i="22" s="1"/>
  <c r="H76" i="22"/>
  <c r="H75" i="22"/>
  <c r="H71" i="22"/>
  <c r="H70" i="22"/>
  <c r="H68" i="22"/>
  <c r="H67" i="22"/>
  <c r="H64" i="22"/>
  <c r="H63" i="22"/>
  <c r="C347" i="22" s="1"/>
  <c r="H61" i="22"/>
  <c r="H58" i="22"/>
  <c r="C346" i="22" s="1"/>
  <c r="H55" i="22"/>
  <c r="H53" i="22"/>
  <c r="C345" i="22" s="1"/>
  <c r="H49" i="22"/>
  <c r="C343" i="22" s="1"/>
  <c r="C398" i="22" s="1"/>
  <c r="H47" i="22"/>
  <c r="H46" i="22"/>
  <c r="H44" i="22"/>
  <c r="H43" i="22"/>
  <c r="H42" i="22"/>
  <c r="C338" i="22" s="1"/>
  <c r="H38" i="22"/>
  <c r="H33" i="22"/>
  <c r="H32" i="22"/>
  <c r="H31" i="22"/>
  <c r="H30" i="22"/>
  <c r="H29" i="22"/>
  <c r="H27" i="22"/>
  <c r="H26" i="22"/>
  <c r="H24" i="22"/>
  <c r="H22" i="22"/>
  <c r="H20" i="22"/>
  <c r="C500" i="22" s="1"/>
  <c r="H17" i="22"/>
  <c r="H16" i="22"/>
  <c r="H15" i="22"/>
  <c r="H14" i="22"/>
  <c r="H13" i="22"/>
  <c r="H12" i="22"/>
  <c r="C378" i="22" s="1"/>
  <c r="H11" i="22"/>
  <c r="H9" i="22"/>
  <c r="C373" i="22" s="1"/>
  <c r="H8" i="22"/>
  <c r="C371" i="22" s="1"/>
  <c r="H7" i="22"/>
  <c r="H6" i="22"/>
  <c r="C369" i="22" s="1"/>
  <c r="H5" i="22"/>
  <c r="H4" i="22"/>
  <c r="C348" i="22" s="1"/>
  <c r="H3" i="22"/>
  <c r="H2" i="22"/>
  <c r="C342" i="22" s="1"/>
  <c r="H187" i="23"/>
  <c r="H190" i="23"/>
  <c r="H191" i="23"/>
  <c r="H192" i="23"/>
  <c r="C339" i="23" s="1"/>
  <c r="H153" i="23"/>
  <c r="C325" i="23" s="1"/>
  <c r="H200" i="23"/>
  <c r="C345" i="23" s="1"/>
  <c r="H189" i="23"/>
  <c r="H227" i="23"/>
  <c r="H221" i="23"/>
  <c r="H168" i="23"/>
  <c r="H242" i="23"/>
  <c r="H241" i="23"/>
  <c r="H226" i="23"/>
  <c r="C363" i="23" s="1"/>
  <c r="H229" i="23"/>
  <c r="H228" i="23"/>
  <c r="H176" i="23"/>
  <c r="H198" i="23"/>
  <c r="H202" i="23"/>
  <c r="H230" i="23"/>
  <c r="C364" i="23" s="1"/>
  <c r="H231" i="23"/>
  <c r="H296" i="23"/>
  <c r="H145" i="23"/>
  <c r="H148" i="23"/>
  <c r="H174" i="23"/>
  <c r="H203" i="23"/>
  <c r="H206" i="23"/>
  <c r="H274" i="23"/>
  <c r="H217" i="23"/>
  <c r="H222" i="23"/>
  <c r="C357" i="23" s="1"/>
  <c r="H208" i="23"/>
  <c r="H205" i="23"/>
  <c r="H219" i="23"/>
  <c r="H207" i="23"/>
  <c r="H180" i="23"/>
  <c r="C332" i="23" s="1"/>
  <c r="H179" i="23"/>
  <c r="H197" i="23"/>
  <c r="H196" i="23"/>
  <c r="H238" i="23"/>
  <c r="H237" i="23"/>
  <c r="H282" i="23"/>
  <c r="H178" i="23"/>
  <c r="H17" i="23"/>
  <c r="H75" i="23"/>
  <c r="H177" i="23"/>
  <c r="H156" i="23"/>
  <c r="H126" i="23"/>
  <c r="H109" i="23"/>
  <c r="H114" i="23"/>
  <c r="H113" i="23"/>
  <c r="C405" i="23" s="1"/>
  <c r="H93" i="23"/>
  <c r="H26" i="23"/>
  <c r="H165" i="23"/>
  <c r="H157" i="23"/>
  <c r="H86" i="23"/>
  <c r="H85" i="23"/>
  <c r="H123" i="23"/>
  <c r="H90" i="23"/>
  <c r="H122" i="23"/>
  <c r="C422" i="23" s="1"/>
  <c r="H315" i="23"/>
  <c r="H288" i="23"/>
  <c r="H267" i="23"/>
  <c r="H175" i="23"/>
  <c r="H244" i="23"/>
  <c r="H245" i="23"/>
  <c r="H182" i="23"/>
  <c r="H161" i="23"/>
  <c r="H137" i="23"/>
  <c r="H98" i="23"/>
  <c r="H287" i="23"/>
  <c r="H284" i="23"/>
  <c r="H201" i="23"/>
  <c r="C346" i="23" s="1"/>
  <c r="H152" i="23"/>
  <c r="H295" i="23"/>
  <c r="H194" i="23"/>
  <c r="H193" i="23"/>
  <c r="H185" i="23"/>
  <c r="H64" i="23"/>
  <c r="C399" i="22" l="1"/>
  <c r="C436" i="22"/>
  <c r="C496" i="22"/>
  <c r="C401" i="22"/>
  <c r="C397" i="22"/>
  <c r="C504" i="22"/>
  <c r="C507" i="22" s="1"/>
  <c r="C451" i="22"/>
  <c r="C437" i="22"/>
  <c r="C435" i="22" s="1"/>
  <c r="C511" i="22" s="1"/>
  <c r="C349" i="22"/>
  <c r="C400" i="22" s="1"/>
  <c r="C498" i="22"/>
  <c r="C491" i="22" s="1"/>
  <c r="C513" i="22" s="1"/>
  <c r="C450" i="22"/>
  <c r="C512" i="22" s="1"/>
  <c r="C396" i="22" l="1"/>
  <c r="C395" i="22"/>
  <c r="H28" i="24"/>
  <c r="H29" i="24"/>
  <c r="H314" i="23"/>
  <c r="H313" i="23"/>
  <c r="H312" i="23"/>
  <c r="H311" i="23"/>
  <c r="C462" i="23" s="1"/>
  <c r="C474" i="23" s="1"/>
  <c r="H310" i="23"/>
  <c r="C461" i="23" s="1"/>
  <c r="H309" i="23"/>
  <c r="H308" i="23"/>
  <c r="H307" i="23"/>
  <c r="H306" i="23"/>
  <c r="H305" i="23"/>
  <c r="H304" i="23"/>
  <c r="H303" i="23"/>
  <c r="H302" i="23"/>
  <c r="H301" i="23"/>
  <c r="H300" i="23"/>
  <c r="H299" i="23"/>
  <c r="H298" i="23"/>
  <c r="H297" i="23"/>
  <c r="C398" i="23" s="1"/>
  <c r="H294" i="23"/>
  <c r="H293" i="23"/>
  <c r="H292" i="23"/>
  <c r="H291" i="23"/>
  <c r="H290" i="23"/>
  <c r="H289" i="23"/>
  <c r="H286" i="23"/>
  <c r="H285" i="23"/>
  <c r="H283" i="23"/>
  <c r="H281" i="23"/>
  <c r="H280" i="23"/>
  <c r="H279" i="23"/>
  <c r="H278" i="23"/>
  <c r="H277" i="23"/>
  <c r="H276" i="23"/>
  <c r="H275" i="23"/>
  <c r="H273" i="23"/>
  <c r="H272" i="23"/>
  <c r="C424" i="23" s="1"/>
  <c r="C432" i="23" s="1"/>
  <c r="H271" i="23"/>
  <c r="H270" i="23"/>
  <c r="H269" i="23"/>
  <c r="H268" i="23"/>
  <c r="C434" i="23" s="1"/>
  <c r="H266" i="23"/>
  <c r="H265" i="23"/>
  <c r="H264" i="23"/>
  <c r="H263" i="23"/>
  <c r="H262" i="23"/>
  <c r="H261" i="23"/>
  <c r="H260" i="23"/>
  <c r="H259" i="23"/>
  <c r="H258" i="23"/>
  <c r="H257" i="23"/>
  <c r="H256" i="23"/>
  <c r="H255" i="23"/>
  <c r="H254" i="23"/>
  <c r="H253" i="23"/>
  <c r="H252" i="23"/>
  <c r="H251" i="23"/>
  <c r="H250" i="23"/>
  <c r="H249" i="23"/>
  <c r="H248" i="23"/>
  <c r="H247" i="23"/>
  <c r="H246" i="23"/>
  <c r="H243" i="23"/>
  <c r="C371" i="23" s="1"/>
  <c r="H240" i="23"/>
  <c r="H239" i="23"/>
  <c r="H236" i="23"/>
  <c r="H235" i="23"/>
  <c r="H234" i="23"/>
  <c r="H233" i="23"/>
  <c r="H232" i="23"/>
  <c r="H225" i="23"/>
  <c r="H224" i="23"/>
  <c r="H223" i="23"/>
  <c r="H220" i="23"/>
  <c r="H218" i="23"/>
  <c r="H216" i="23"/>
  <c r="H215" i="23"/>
  <c r="H214" i="23"/>
  <c r="H213" i="23"/>
  <c r="H212" i="23"/>
  <c r="H211" i="23"/>
  <c r="H210" i="23"/>
  <c r="H209" i="23"/>
  <c r="H204" i="23"/>
  <c r="C347" i="23" s="1"/>
  <c r="H199" i="23"/>
  <c r="H195" i="23"/>
  <c r="H188" i="23"/>
  <c r="H186" i="23"/>
  <c r="H184" i="23"/>
  <c r="C335" i="23" s="1"/>
  <c r="H183" i="23"/>
  <c r="H181" i="23"/>
  <c r="C333" i="23" s="1"/>
  <c r="H173" i="23"/>
  <c r="H172" i="23"/>
  <c r="H171" i="23"/>
  <c r="H170" i="23"/>
  <c r="H169" i="23"/>
  <c r="H167" i="23"/>
  <c r="H166" i="23"/>
  <c r="H164" i="23"/>
  <c r="H163" i="23"/>
  <c r="H162" i="23"/>
  <c r="H160" i="23"/>
  <c r="C328" i="23" s="1"/>
  <c r="H159" i="23"/>
  <c r="H158" i="23"/>
  <c r="H155" i="23"/>
  <c r="H154" i="23"/>
  <c r="H151" i="23"/>
  <c r="H150" i="23"/>
  <c r="H149" i="23"/>
  <c r="C322" i="23" s="1"/>
  <c r="H147" i="23"/>
  <c r="C320" i="23" s="1"/>
  <c r="H146" i="23"/>
  <c r="H144" i="23"/>
  <c r="C318" i="23" s="1"/>
  <c r="H143" i="23"/>
  <c r="H142" i="23"/>
  <c r="H141" i="23"/>
  <c r="H140" i="23"/>
  <c r="H139" i="23"/>
  <c r="H138" i="23"/>
  <c r="H136" i="23"/>
  <c r="H135" i="23"/>
  <c r="C463" i="23" s="1"/>
  <c r="H134" i="23"/>
  <c r="C459" i="23" s="1"/>
  <c r="C478" i="23" s="1"/>
  <c r="H133" i="23"/>
  <c r="C452" i="23" s="1"/>
  <c r="H132" i="23"/>
  <c r="C450" i="23" s="1"/>
  <c r="C475" i="23" s="1"/>
  <c r="H131" i="23"/>
  <c r="H130" i="23"/>
  <c r="C449" i="23" s="1"/>
  <c r="C477" i="23" s="1"/>
  <c r="H129" i="23"/>
  <c r="C442" i="23" s="1"/>
  <c r="H128" i="23"/>
  <c r="C439" i="23" s="1"/>
  <c r="H127" i="23"/>
  <c r="C428" i="23" s="1"/>
  <c r="C433" i="23" s="1"/>
  <c r="H125" i="23"/>
  <c r="H124" i="23"/>
  <c r="H121" i="23"/>
  <c r="C410" i="23" s="1"/>
  <c r="H120" i="23"/>
  <c r="H119" i="23"/>
  <c r="H118" i="23"/>
  <c r="H117" i="23"/>
  <c r="H116" i="23"/>
  <c r="H115" i="23"/>
  <c r="H112" i="23"/>
  <c r="H111" i="23"/>
  <c r="H110" i="23"/>
  <c r="C401" i="23" s="1"/>
  <c r="H108" i="23"/>
  <c r="H107" i="23"/>
  <c r="H106" i="23"/>
  <c r="H105" i="23"/>
  <c r="H104" i="23"/>
  <c r="H103" i="23"/>
  <c r="H102" i="23"/>
  <c r="H101" i="23"/>
  <c r="H100" i="23"/>
  <c r="H99" i="23"/>
  <c r="H97" i="23"/>
  <c r="H96" i="23"/>
  <c r="H95" i="23"/>
  <c r="C397" i="23" s="1"/>
  <c r="H94" i="23"/>
  <c r="H92" i="23"/>
  <c r="H91" i="23"/>
  <c r="C395" i="23" s="1"/>
  <c r="H89" i="23"/>
  <c r="H88" i="23"/>
  <c r="H87" i="23"/>
  <c r="C387" i="23" s="1"/>
  <c r="C417" i="23" s="1"/>
  <c r="H84" i="23"/>
  <c r="C383" i="23" s="1"/>
  <c r="H83" i="23"/>
  <c r="C373" i="23" s="1"/>
  <c r="H82" i="23"/>
  <c r="H81" i="23"/>
  <c r="H80" i="23"/>
  <c r="H79" i="23"/>
  <c r="C368" i="23" s="1"/>
  <c r="H78" i="23"/>
  <c r="C367" i="23" s="1"/>
  <c r="H77" i="23"/>
  <c r="H76" i="23"/>
  <c r="H74" i="23"/>
  <c r="H73" i="23"/>
  <c r="H72" i="23"/>
  <c r="H71" i="23"/>
  <c r="H70" i="23"/>
  <c r="H69" i="23"/>
  <c r="H68" i="23"/>
  <c r="H67" i="23"/>
  <c r="H66" i="23"/>
  <c r="H65" i="23"/>
  <c r="H63" i="23"/>
  <c r="H62" i="23"/>
  <c r="H61" i="23"/>
  <c r="H60" i="23"/>
  <c r="H59" i="23"/>
  <c r="H58" i="23"/>
  <c r="H57" i="23"/>
  <c r="H56" i="23"/>
  <c r="H55" i="23"/>
  <c r="H54" i="23"/>
  <c r="H53" i="23"/>
  <c r="H52" i="23"/>
  <c r="C362" i="23" s="1"/>
  <c r="H51" i="23"/>
  <c r="H50" i="23"/>
  <c r="H49" i="23"/>
  <c r="H48" i="23"/>
  <c r="H47" i="23"/>
  <c r="H46" i="23"/>
  <c r="H45" i="23"/>
  <c r="H44" i="23"/>
  <c r="H43" i="23"/>
  <c r="H42" i="23"/>
  <c r="H41" i="23"/>
  <c r="H40" i="23"/>
  <c r="H39" i="23"/>
  <c r="H38" i="23"/>
  <c r="H37" i="23"/>
  <c r="C353" i="23" s="1"/>
  <c r="H36" i="23"/>
  <c r="H35" i="23"/>
  <c r="H34" i="23"/>
  <c r="H33" i="23"/>
  <c r="C344" i="23" s="1"/>
  <c r="H32" i="23"/>
  <c r="H31" i="23"/>
  <c r="H30" i="23"/>
  <c r="C338" i="23" s="1"/>
  <c r="H29" i="23"/>
  <c r="H28" i="23"/>
  <c r="H27" i="23"/>
  <c r="C334" i="23" s="1"/>
  <c r="H25" i="23"/>
  <c r="H24" i="23"/>
  <c r="H23" i="23"/>
  <c r="H22" i="23"/>
  <c r="H21" i="23"/>
  <c r="H20" i="23"/>
  <c r="H19" i="23"/>
  <c r="H18" i="23"/>
  <c r="H16" i="23"/>
  <c r="H15" i="23"/>
  <c r="C330" i="23" s="1"/>
  <c r="H14" i="23"/>
  <c r="H13" i="23"/>
  <c r="H12" i="23"/>
  <c r="H11" i="23"/>
  <c r="C327" i="23" s="1"/>
  <c r="H10" i="23"/>
  <c r="C326" i="23" s="1"/>
  <c r="H9" i="23"/>
  <c r="H8" i="23"/>
  <c r="H7" i="23"/>
  <c r="H6" i="23"/>
  <c r="H5" i="23"/>
  <c r="H4" i="23"/>
  <c r="H3" i="23"/>
  <c r="C324" i="23" s="1"/>
  <c r="H2" i="23"/>
  <c r="C319" i="23" s="1"/>
  <c r="H505" i="24"/>
  <c r="H414" i="24"/>
  <c r="H469" i="24"/>
  <c r="H429" i="24"/>
  <c r="H423" i="24"/>
  <c r="H382" i="24"/>
  <c r="H101" i="24"/>
  <c r="H102" i="24"/>
  <c r="H255" i="24"/>
  <c r="H258" i="24"/>
  <c r="H196" i="24"/>
  <c r="H195" i="24"/>
  <c r="H266" i="24"/>
  <c r="C663" i="24" s="1"/>
  <c r="C677" i="24" s="1"/>
  <c r="H169" i="24"/>
  <c r="H166" i="24"/>
  <c r="H173" i="24"/>
  <c r="H186" i="24"/>
  <c r="H191" i="24"/>
  <c r="H31" i="24"/>
  <c r="H257" i="24"/>
  <c r="H122" i="24"/>
  <c r="H172" i="24"/>
  <c r="H140" i="24"/>
  <c r="H110" i="24"/>
  <c r="C351" i="23" l="1"/>
  <c r="C355" i="23"/>
  <c r="C400" i="23"/>
  <c r="C416" i="23" s="1"/>
  <c r="C415" i="23" s="1"/>
  <c r="C492" i="23" s="1"/>
  <c r="C380" i="23"/>
  <c r="C352" i="23"/>
  <c r="C360" i="23"/>
  <c r="C425" i="23"/>
  <c r="C435" i="23" s="1"/>
  <c r="C431" i="23" s="1"/>
  <c r="C493" i="23" s="1"/>
  <c r="C406" i="23"/>
  <c r="C358" i="23"/>
  <c r="C331" i="23"/>
  <c r="C473" i="23"/>
  <c r="C379" i="23"/>
  <c r="C354" i="23"/>
  <c r="C419" i="23"/>
  <c r="C479" i="23"/>
  <c r="C392" i="23"/>
  <c r="C418" i="23" s="1"/>
  <c r="C377" i="23"/>
  <c r="C329" i="23"/>
  <c r="C381" i="23" s="1"/>
  <c r="C337" i="23"/>
  <c r="C342" i="23"/>
  <c r="C403" i="23"/>
  <c r="C420" i="23" s="1"/>
  <c r="C481" i="23"/>
  <c r="C378" i="23"/>
  <c r="C485" i="23"/>
  <c r="C488" i="23" s="1"/>
  <c r="C365" i="23"/>
  <c r="C502" i="22"/>
  <c r="C508" i="22" s="1"/>
  <c r="C505" i="22"/>
  <c r="C510" i="22"/>
  <c r="H479" i="24"/>
  <c r="H112" i="24"/>
  <c r="H136" i="24"/>
  <c r="H119" i="24"/>
  <c r="H174" i="24"/>
  <c r="H70" i="24"/>
  <c r="C376" i="23" l="1"/>
  <c r="C472" i="23"/>
  <c r="C494" i="23" s="1"/>
  <c r="C375" i="23"/>
  <c r="H356" i="24"/>
  <c r="H290" i="24"/>
  <c r="H297" i="24"/>
  <c r="H296" i="24"/>
  <c r="H285" i="24"/>
  <c r="H359" i="24"/>
  <c r="H357" i="24"/>
  <c r="H340" i="24"/>
  <c r="H412" i="24"/>
  <c r="H419" i="24"/>
  <c r="H411" i="24"/>
  <c r="H462" i="24"/>
  <c r="H421" i="24"/>
  <c r="H478" i="24"/>
  <c r="H467" i="24"/>
  <c r="H439" i="24"/>
  <c r="C582" i="24" s="1"/>
  <c r="H440" i="24"/>
  <c r="H424" i="24"/>
  <c r="H438" i="24"/>
  <c r="H331" i="24"/>
  <c r="H333" i="24"/>
  <c r="H332" i="24"/>
  <c r="H114" i="24"/>
  <c r="H334" i="24"/>
  <c r="H326" i="24"/>
  <c r="H303" i="24"/>
  <c r="H330" i="24"/>
  <c r="H187" i="24"/>
  <c r="C589" i="24" s="1"/>
  <c r="H60" i="24"/>
  <c r="H298" i="24"/>
  <c r="H220" i="24"/>
  <c r="H300" i="24"/>
  <c r="H167" i="24"/>
  <c r="H25" i="24"/>
  <c r="H21" i="24"/>
  <c r="H15" i="24"/>
  <c r="H111" i="24"/>
  <c r="H6" i="24"/>
  <c r="H84" i="24"/>
  <c r="H205" i="24"/>
  <c r="H456" i="24"/>
  <c r="H458" i="24"/>
  <c r="H465" i="24"/>
  <c r="H373" i="24"/>
  <c r="H393" i="24"/>
  <c r="H396" i="24"/>
  <c r="H484" i="24"/>
  <c r="H497" i="24"/>
  <c r="C655" i="24" s="1"/>
  <c r="H490" i="24"/>
  <c r="H451" i="24"/>
  <c r="H474" i="24"/>
  <c r="H431" i="24"/>
  <c r="H400" i="24"/>
  <c r="H315" i="24"/>
  <c r="H337" i="24"/>
  <c r="H348" i="24"/>
  <c r="H352" i="24"/>
  <c r="H349" i="24"/>
  <c r="H350" i="24"/>
  <c r="H249" i="24"/>
  <c r="H251" i="24"/>
  <c r="H182" i="24"/>
  <c r="H180" i="24"/>
  <c r="H42" i="24"/>
  <c r="H221" i="24"/>
  <c r="H219" i="24"/>
  <c r="H236" i="24"/>
  <c r="H98" i="24"/>
  <c r="H152" i="24"/>
  <c r="H153" i="24"/>
  <c r="H150" i="24"/>
  <c r="H146" i="24"/>
  <c r="H158" i="24"/>
  <c r="H507" i="24"/>
  <c r="H372" i="24"/>
  <c r="H283" i="24"/>
  <c r="H313" i="24"/>
  <c r="H317" i="24"/>
  <c r="H291" i="24"/>
  <c r="H305" i="24"/>
  <c r="H210" i="24"/>
  <c r="H85" i="24"/>
  <c r="H162" i="24"/>
  <c r="H338" i="24"/>
  <c r="H120" i="24"/>
  <c r="H371" i="24"/>
  <c r="H289" i="24"/>
  <c r="H292" i="24"/>
  <c r="H312" i="24"/>
  <c r="H14" i="24"/>
  <c r="H246" i="24"/>
  <c r="C639" i="24" s="1"/>
  <c r="H513" i="24"/>
  <c r="C669" i="24" s="1"/>
  <c r="C675" i="24" s="1"/>
  <c r="H512" i="24"/>
  <c r="H511" i="24"/>
  <c r="H510" i="24"/>
  <c r="H509" i="24"/>
  <c r="H508" i="24"/>
  <c r="H506" i="24"/>
  <c r="H504" i="24"/>
  <c r="C662" i="24" s="1"/>
  <c r="H503" i="24"/>
  <c r="H502" i="24"/>
  <c r="H501" i="24"/>
  <c r="H500" i="24"/>
  <c r="H499" i="24"/>
  <c r="C659" i="24" s="1"/>
  <c r="H498" i="24"/>
  <c r="H496" i="24"/>
  <c r="C651" i="24" s="1"/>
  <c r="H495" i="24"/>
  <c r="H494" i="24"/>
  <c r="H493" i="24"/>
  <c r="H492" i="24"/>
  <c r="H491" i="24"/>
  <c r="C642" i="24" s="1"/>
  <c r="H489" i="24"/>
  <c r="H488" i="24"/>
  <c r="H487" i="24"/>
  <c r="H486" i="24"/>
  <c r="H485" i="24"/>
  <c r="H483" i="24"/>
  <c r="H482" i="24"/>
  <c r="H481" i="24"/>
  <c r="H480" i="24"/>
  <c r="C609" i="24" s="1"/>
  <c r="H477" i="24"/>
  <c r="H476" i="24"/>
  <c r="H475" i="24"/>
  <c r="H473" i="24"/>
  <c r="H472" i="24"/>
  <c r="C600" i="24" s="1"/>
  <c r="H471" i="24"/>
  <c r="H470" i="24"/>
  <c r="H468" i="24"/>
  <c r="H466" i="24"/>
  <c r="H464" i="24"/>
  <c r="C594" i="24" s="1"/>
  <c r="H463" i="24"/>
  <c r="H461" i="24"/>
  <c r="H460" i="24"/>
  <c r="H459" i="24"/>
  <c r="C596" i="24" s="1"/>
  <c r="H457" i="24"/>
  <c r="H455" i="24"/>
  <c r="H454" i="24"/>
  <c r="H453" i="24"/>
  <c r="H452" i="24"/>
  <c r="H450" i="24"/>
  <c r="C591" i="24" s="1"/>
  <c r="H449" i="24"/>
  <c r="C590" i="24" s="1"/>
  <c r="H448" i="24"/>
  <c r="H447" i="24"/>
  <c r="H446" i="24"/>
  <c r="H445" i="24"/>
  <c r="H444" i="24"/>
  <c r="H443" i="24"/>
  <c r="H442" i="24"/>
  <c r="H441" i="24"/>
  <c r="H437" i="24"/>
  <c r="H436" i="24"/>
  <c r="H435" i="24"/>
  <c r="H434" i="24"/>
  <c r="H433" i="24"/>
  <c r="H432" i="24"/>
  <c r="H430" i="24"/>
  <c r="H428" i="24"/>
  <c r="H427" i="24"/>
  <c r="H426" i="24"/>
  <c r="H425" i="24"/>
  <c r="H422" i="24"/>
  <c r="H420" i="24"/>
  <c r="H418" i="24"/>
  <c r="H417" i="24"/>
  <c r="H416" i="24"/>
  <c r="H415" i="24"/>
  <c r="H413" i="24"/>
  <c r="H410" i="24"/>
  <c r="H409" i="24"/>
  <c r="H408" i="24"/>
  <c r="H407" i="24"/>
  <c r="H406" i="24"/>
  <c r="C626" i="24" s="1"/>
  <c r="H405" i="24"/>
  <c r="H404" i="24"/>
  <c r="H403" i="24"/>
  <c r="H402" i="24"/>
  <c r="H401" i="24"/>
  <c r="H399" i="24"/>
  <c r="H398" i="24"/>
  <c r="H397" i="24"/>
  <c r="H395" i="24"/>
  <c r="H394" i="24"/>
  <c r="H392" i="24"/>
  <c r="H391" i="24"/>
  <c r="H390" i="24"/>
  <c r="H389" i="24"/>
  <c r="H388" i="24"/>
  <c r="H387" i="24"/>
  <c r="H386" i="24"/>
  <c r="H385" i="24"/>
  <c r="H384" i="24"/>
  <c r="H383" i="24"/>
  <c r="H381" i="24"/>
  <c r="H380" i="24"/>
  <c r="C572" i="24" s="1"/>
  <c r="H379" i="24"/>
  <c r="H378" i="24"/>
  <c r="H377" i="24"/>
  <c r="H376" i="24"/>
  <c r="H375" i="24"/>
  <c r="H374" i="24"/>
  <c r="H370" i="24"/>
  <c r="H369" i="24"/>
  <c r="H368" i="24"/>
  <c r="H367" i="24"/>
  <c r="H366" i="24"/>
  <c r="H365" i="24"/>
  <c r="H364" i="24"/>
  <c r="H363" i="24"/>
  <c r="H362" i="24"/>
  <c r="H361" i="24"/>
  <c r="H360" i="24"/>
  <c r="H358" i="24"/>
  <c r="H355" i="24"/>
  <c r="H354" i="24"/>
  <c r="C566" i="24" s="1"/>
  <c r="H353" i="24"/>
  <c r="H351" i="24"/>
  <c r="H347" i="24"/>
  <c r="H346" i="24"/>
  <c r="H345" i="24"/>
  <c r="C568" i="24" s="1"/>
  <c r="H344" i="24"/>
  <c r="H343" i="24"/>
  <c r="H342" i="24"/>
  <c r="H341" i="24"/>
  <c r="H339" i="24"/>
  <c r="H336" i="24"/>
  <c r="H335" i="24"/>
  <c r="H329" i="24"/>
  <c r="H328" i="24"/>
  <c r="H327" i="24"/>
  <c r="H325" i="24"/>
  <c r="H324" i="24"/>
  <c r="H323" i="24"/>
  <c r="H322" i="24"/>
  <c r="C551" i="24" s="1"/>
  <c r="H321" i="24"/>
  <c r="H320" i="24"/>
  <c r="H319" i="24"/>
  <c r="C546" i="24" s="1"/>
  <c r="H318" i="24"/>
  <c r="C544" i="24" s="1"/>
  <c r="H316" i="24"/>
  <c r="H314" i="24"/>
  <c r="C541" i="24" s="1"/>
  <c r="H311" i="24"/>
  <c r="H310" i="24"/>
  <c r="H309" i="24"/>
  <c r="H308" i="24"/>
  <c r="C530" i="24" s="1"/>
  <c r="H307" i="24"/>
  <c r="C529" i="24" s="1"/>
  <c r="H306" i="24"/>
  <c r="H304" i="24"/>
  <c r="H302" i="24"/>
  <c r="H301" i="24"/>
  <c r="H299" i="24"/>
  <c r="H295" i="24"/>
  <c r="H294" i="24"/>
  <c r="H293" i="24"/>
  <c r="H288" i="24"/>
  <c r="H287" i="24"/>
  <c r="H286" i="24"/>
  <c r="H284" i="24"/>
  <c r="H282" i="24"/>
  <c r="H281" i="24"/>
  <c r="H280" i="24"/>
  <c r="H279" i="24"/>
  <c r="H278" i="24"/>
  <c r="H277" i="24"/>
  <c r="H276" i="24"/>
  <c r="H275" i="24"/>
  <c r="H274" i="24"/>
  <c r="H273" i="24"/>
  <c r="H272" i="24"/>
  <c r="H271" i="24"/>
  <c r="H270" i="24"/>
  <c r="H269" i="24"/>
  <c r="H268" i="24"/>
  <c r="H267" i="24"/>
  <c r="H265" i="24"/>
  <c r="H264" i="24"/>
  <c r="H263" i="24"/>
  <c r="H262" i="24"/>
  <c r="H261" i="24"/>
  <c r="H260" i="24"/>
  <c r="H259" i="24"/>
  <c r="H256" i="24"/>
  <c r="H254" i="24"/>
  <c r="C650" i="24" s="1"/>
  <c r="H253" i="24"/>
  <c r="H252" i="24"/>
  <c r="C647" i="24" s="1"/>
  <c r="H250" i="24"/>
  <c r="H248" i="24"/>
  <c r="H247" i="24"/>
  <c r="H245" i="24"/>
  <c r="C638" i="24" s="1"/>
  <c r="H244" i="24"/>
  <c r="C637" i="24" s="1"/>
  <c r="H243" i="24"/>
  <c r="H242" i="24"/>
  <c r="H241" i="24"/>
  <c r="H240" i="24"/>
  <c r="H239" i="24"/>
  <c r="H238" i="24"/>
  <c r="H237" i="24"/>
  <c r="H235" i="24"/>
  <c r="H234" i="24"/>
  <c r="H233" i="24"/>
  <c r="H232" i="24"/>
  <c r="H231" i="24"/>
  <c r="H230" i="24"/>
  <c r="H229" i="24"/>
  <c r="H228" i="24"/>
  <c r="H227" i="24"/>
  <c r="H226" i="24"/>
  <c r="H225" i="24"/>
  <c r="H224" i="24"/>
  <c r="H223" i="24"/>
  <c r="H222" i="24"/>
  <c r="H218" i="24"/>
  <c r="C608" i="24" s="1"/>
  <c r="H217" i="24"/>
  <c r="H216" i="24"/>
  <c r="H215" i="24"/>
  <c r="H214" i="24"/>
  <c r="H213" i="24"/>
  <c r="H212" i="24"/>
  <c r="H211" i="24"/>
  <c r="H209" i="24"/>
  <c r="H208" i="24"/>
  <c r="H207" i="24"/>
  <c r="C599" i="24" s="1"/>
  <c r="H206" i="24"/>
  <c r="H204" i="24"/>
  <c r="H203" i="24"/>
  <c r="H202" i="24"/>
  <c r="H201" i="24"/>
  <c r="H200" i="24"/>
  <c r="H199" i="24"/>
  <c r="H198" i="24"/>
  <c r="H197" i="24"/>
  <c r="H194" i="24"/>
  <c r="H193" i="24"/>
  <c r="H192" i="24"/>
  <c r="C595" i="24" s="1"/>
  <c r="H190" i="24"/>
  <c r="H189" i="24"/>
  <c r="C593" i="24" s="1"/>
  <c r="H188" i="24"/>
  <c r="C592" i="24" s="1"/>
  <c r="H185" i="24"/>
  <c r="H184" i="24"/>
  <c r="H183" i="24"/>
  <c r="H181" i="24"/>
  <c r="H179" i="24"/>
  <c r="H178" i="24"/>
  <c r="H177" i="24"/>
  <c r="H176" i="24"/>
  <c r="H175" i="24"/>
  <c r="C585" i="24" s="1"/>
  <c r="H171" i="24"/>
  <c r="H170" i="24"/>
  <c r="H168" i="24"/>
  <c r="H165" i="24"/>
  <c r="H164" i="24"/>
  <c r="H163" i="24"/>
  <c r="H161" i="24"/>
  <c r="H160" i="24"/>
  <c r="H159" i="24"/>
  <c r="H157" i="24"/>
  <c r="H156" i="24"/>
  <c r="H155" i="24"/>
  <c r="H154" i="24"/>
  <c r="H151" i="24"/>
  <c r="H149" i="24"/>
  <c r="H148" i="24"/>
  <c r="H147" i="24"/>
  <c r="H145" i="24"/>
  <c r="H144" i="24"/>
  <c r="H143" i="24"/>
  <c r="H142" i="24"/>
  <c r="H141" i="24"/>
  <c r="H139" i="24"/>
  <c r="H138" i="24"/>
  <c r="H137" i="24"/>
  <c r="H135" i="24"/>
  <c r="H134" i="24"/>
  <c r="H133" i="24"/>
  <c r="H132" i="24"/>
  <c r="H131" i="24"/>
  <c r="H130" i="24"/>
  <c r="H129" i="24"/>
  <c r="H128" i="24"/>
  <c r="H127" i="24"/>
  <c r="H126" i="24"/>
  <c r="H125" i="24"/>
  <c r="H124" i="24"/>
  <c r="H123" i="24"/>
  <c r="H121" i="24"/>
  <c r="H118" i="24"/>
  <c r="H117" i="24"/>
  <c r="H116" i="24"/>
  <c r="H115" i="24"/>
  <c r="H113" i="24"/>
  <c r="H109" i="24"/>
  <c r="H108" i="24"/>
  <c r="H107" i="24"/>
  <c r="H106" i="24"/>
  <c r="H105" i="24"/>
  <c r="H104" i="24"/>
  <c r="H103" i="24"/>
  <c r="H100" i="24"/>
  <c r="C562" i="24" s="1"/>
  <c r="H99" i="24"/>
  <c r="C561" i="24" s="1"/>
  <c r="H97" i="24"/>
  <c r="H96" i="24"/>
  <c r="H95" i="24"/>
  <c r="H94" i="24"/>
  <c r="H93" i="24"/>
  <c r="H92" i="24"/>
  <c r="H91" i="24"/>
  <c r="H90" i="24"/>
  <c r="H89" i="24"/>
  <c r="H88" i="24"/>
  <c r="H87" i="24"/>
  <c r="C558" i="24" s="1"/>
  <c r="H86" i="24"/>
  <c r="H83" i="24"/>
  <c r="H82" i="24"/>
  <c r="H81" i="24"/>
  <c r="H80" i="24"/>
  <c r="H79" i="24"/>
  <c r="H78" i="24"/>
  <c r="H77" i="24"/>
  <c r="H76" i="24"/>
  <c r="H75" i="24"/>
  <c r="H74" i="24"/>
  <c r="H73" i="24"/>
  <c r="H72" i="24"/>
  <c r="H71" i="24"/>
  <c r="H69" i="24"/>
  <c r="H68" i="24"/>
  <c r="H67" i="24"/>
  <c r="H66" i="24"/>
  <c r="H65" i="24"/>
  <c r="H64" i="24"/>
  <c r="C542" i="24" s="1"/>
  <c r="H63" i="24"/>
  <c r="C540" i="24" s="1"/>
  <c r="H62" i="24"/>
  <c r="C539" i="24" s="1"/>
  <c r="H61" i="24"/>
  <c r="H59" i="24"/>
  <c r="H58" i="24"/>
  <c r="H57" i="24"/>
  <c r="H56" i="24"/>
  <c r="H55" i="24"/>
  <c r="H54" i="24"/>
  <c r="H53" i="24"/>
  <c r="H52" i="24"/>
  <c r="H51" i="24"/>
  <c r="H50" i="24"/>
  <c r="H49" i="24"/>
  <c r="H48" i="24"/>
  <c r="H47" i="24"/>
  <c r="H46" i="24"/>
  <c r="H45" i="24"/>
  <c r="H44" i="24"/>
  <c r="H43" i="24"/>
  <c r="H41" i="24"/>
  <c r="H40" i="24"/>
  <c r="H39" i="24"/>
  <c r="H38" i="24"/>
  <c r="H37" i="24"/>
  <c r="H36" i="24"/>
  <c r="H35" i="24"/>
  <c r="H34" i="24"/>
  <c r="H33" i="24"/>
  <c r="H32" i="24"/>
  <c r="H30" i="24"/>
  <c r="H27" i="24"/>
  <c r="H26" i="24"/>
  <c r="H24" i="24"/>
  <c r="H23" i="24"/>
  <c r="H22" i="24"/>
  <c r="H20" i="24"/>
  <c r="H19" i="24"/>
  <c r="H18" i="24"/>
  <c r="H17" i="24"/>
  <c r="H16" i="24"/>
  <c r="H13" i="24"/>
  <c r="H12" i="24"/>
  <c r="H11" i="24"/>
  <c r="C524" i="24" s="1"/>
  <c r="H10" i="24"/>
  <c r="C522" i="24" s="1"/>
  <c r="H9" i="24"/>
  <c r="H8" i="24"/>
  <c r="H7" i="24"/>
  <c r="H5" i="24"/>
  <c r="H4" i="24"/>
  <c r="H3" i="24"/>
  <c r="H2" i="24"/>
  <c r="C515" i="24" s="1"/>
  <c r="H74" i="17"/>
  <c r="C616" i="24" l="1"/>
  <c r="C516" i="24"/>
  <c r="C526" i="24"/>
  <c r="C528" i="24"/>
  <c r="C548" i="24"/>
  <c r="C550" i="24"/>
  <c r="C555" i="24"/>
  <c r="C559" i="24"/>
  <c r="C569" i="24"/>
  <c r="C517" i="24"/>
  <c r="C573" i="24" s="1"/>
  <c r="C552" i="24"/>
  <c r="C586" i="24"/>
  <c r="C636" i="24"/>
  <c r="C570" i="24"/>
  <c r="C557" i="24"/>
  <c r="C578" i="24"/>
  <c r="C680" i="24"/>
  <c r="C527" i="24"/>
  <c r="C560" i="24"/>
  <c r="C581" i="24"/>
  <c r="C583" i="24"/>
  <c r="C617" i="24" s="1"/>
  <c r="C601" i="24"/>
  <c r="C618" i="24" s="1"/>
  <c r="C640" i="24"/>
  <c r="C649" i="24"/>
  <c r="C673" i="24" s="1"/>
  <c r="C521" i="24"/>
  <c r="C531" i="24"/>
  <c r="C577" i="24" s="1"/>
  <c r="C627" i="24"/>
  <c r="C634" i="24" s="1"/>
  <c r="C604" i="24"/>
  <c r="C643" i="24"/>
  <c r="C665" i="24"/>
  <c r="C525" i="24"/>
  <c r="C565" i="24"/>
  <c r="C483" i="23"/>
  <c r="C489" i="23" s="1"/>
  <c r="C629" i="24"/>
  <c r="C692" i="24" s="1"/>
  <c r="C576" i="24"/>
  <c r="C564" i="24"/>
  <c r="C575" i="24" s="1"/>
  <c r="C587" i="24"/>
  <c r="C615" i="24" s="1"/>
  <c r="C598" i="24"/>
  <c r="C622" i="24"/>
  <c r="C633" i="24" s="1"/>
  <c r="C674" i="24"/>
  <c r="C660" i="24"/>
  <c r="C534" i="24"/>
  <c r="C623" i="24"/>
  <c r="C632" i="24" s="1"/>
  <c r="C625" i="24"/>
  <c r="C631" i="24" s="1"/>
  <c r="C656" i="24"/>
  <c r="C676" i="24" s="1"/>
  <c r="C621" i="24"/>
  <c r="C630" i="24" s="1"/>
  <c r="C535" i="24"/>
  <c r="C491" i="23"/>
  <c r="C486" i="23"/>
  <c r="H260" i="17"/>
  <c r="H251" i="17"/>
  <c r="H250" i="17"/>
  <c r="H249" i="17"/>
  <c r="H245" i="17"/>
  <c r="H241" i="17"/>
  <c r="H209" i="17"/>
  <c r="H188" i="17"/>
  <c r="C315" i="17" s="1"/>
  <c r="H170" i="17"/>
  <c r="H185" i="17"/>
  <c r="H149" i="17"/>
  <c r="H150" i="17"/>
  <c r="H155" i="17"/>
  <c r="H37" i="17"/>
  <c r="H111" i="17"/>
  <c r="H99" i="17"/>
  <c r="H100" i="17"/>
  <c r="H103" i="17"/>
  <c r="H101" i="17"/>
  <c r="H102" i="17"/>
  <c r="H104" i="17"/>
  <c r="H36" i="17"/>
  <c r="H261" i="17"/>
  <c r="H254" i="17"/>
  <c r="H70" i="17"/>
  <c r="H193" i="17"/>
  <c r="H120" i="17"/>
  <c r="H119" i="17"/>
  <c r="H118" i="17"/>
  <c r="H117" i="17"/>
  <c r="H121" i="17"/>
  <c r="H275" i="17"/>
  <c r="H227" i="17"/>
  <c r="H182" i="17"/>
  <c r="H132" i="17"/>
  <c r="H137" i="17"/>
  <c r="H143" i="17"/>
  <c r="H43" i="17"/>
  <c r="H42" i="17"/>
  <c r="H44" i="17"/>
  <c r="H45" i="17"/>
  <c r="H12" i="17"/>
  <c r="H29" i="17"/>
  <c r="H165" i="17"/>
  <c r="H220" i="17"/>
  <c r="H162" i="17"/>
  <c r="H157" i="17"/>
  <c r="H158" i="17"/>
  <c r="H156" i="17"/>
  <c r="H83" i="17"/>
  <c r="H169" i="17"/>
  <c r="H167" i="17"/>
  <c r="C300" i="17" s="1"/>
  <c r="H32" i="17"/>
  <c r="C299" i="17" s="1"/>
  <c r="H221" i="17"/>
  <c r="H110" i="17"/>
  <c r="C401" i="17" s="1"/>
  <c r="H131" i="17"/>
  <c r="H205" i="17"/>
  <c r="H204" i="17"/>
  <c r="H86" i="17"/>
  <c r="H108" i="17"/>
  <c r="H216" i="17"/>
  <c r="C330" i="17" s="1"/>
  <c r="H152" i="17"/>
  <c r="H200" i="17"/>
  <c r="H196" i="17"/>
  <c r="H134" i="17"/>
  <c r="C282" i="17" s="1"/>
  <c r="H138" i="17"/>
  <c r="H136" i="17"/>
  <c r="H175" i="17"/>
  <c r="H141" i="17"/>
  <c r="H211" i="17"/>
  <c r="H177" i="17"/>
  <c r="H172" i="17"/>
  <c r="H181" i="17"/>
  <c r="H183" i="17"/>
  <c r="H180" i="17"/>
  <c r="H179" i="17"/>
  <c r="H147" i="17"/>
  <c r="H203" i="17"/>
  <c r="H194" i="17"/>
  <c r="H233" i="17"/>
  <c r="H186" i="17"/>
  <c r="H174" i="17"/>
  <c r="H173" i="17"/>
  <c r="H178" i="17"/>
  <c r="H176" i="17"/>
  <c r="H135" i="17"/>
  <c r="H133" i="17"/>
  <c r="H159" i="17"/>
  <c r="C292" i="17" s="1"/>
  <c r="E949" i="16"/>
  <c r="E952" i="16"/>
  <c r="E959" i="16"/>
  <c r="E962" i="16"/>
  <c r="E963" i="16"/>
  <c r="E966" i="16"/>
  <c r="E971" i="16"/>
  <c r="E973" i="16"/>
  <c r="E976" i="16"/>
  <c r="E977" i="16"/>
  <c r="E983" i="16"/>
  <c r="E993" i="16"/>
  <c r="E997" i="16"/>
  <c r="E999" i="16"/>
  <c r="E1001" i="16"/>
  <c r="H276" i="17"/>
  <c r="H274" i="17"/>
  <c r="H273" i="17"/>
  <c r="H272" i="17"/>
  <c r="H271" i="17"/>
  <c r="H270" i="17"/>
  <c r="H269" i="17"/>
  <c r="H268" i="17"/>
  <c r="H267" i="17"/>
  <c r="H266" i="17"/>
  <c r="H265" i="17"/>
  <c r="H264" i="17"/>
  <c r="H263" i="17"/>
  <c r="H262" i="17"/>
  <c r="H259" i="17"/>
  <c r="H258" i="17"/>
  <c r="C356" i="17" s="1"/>
  <c r="H85" i="17"/>
  <c r="C353" i="17" s="1"/>
  <c r="C379" i="17" s="1"/>
  <c r="H257" i="17"/>
  <c r="H256" i="17"/>
  <c r="H255" i="17"/>
  <c r="H253" i="17"/>
  <c r="H252" i="17"/>
  <c r="H248" i="17"/>
  <c r="H247" i="17"/>
  <c r="H246" i="17"/>
  <c r="C394" i="17" s="1"/>
  <c r="H244" i="17"/>
  <c r="H243" i="17"/>
  <c r="H242" i="17"/>
  <c r="H240" i="17"/>
  <c r="H239" i="17"/>
  <c r="H238" i="17"/>
  <c r="H237" i="17"/>
  <c r="H236" i="17"/>
  <c r="H235" i="17"/>
  <c r="H234" i="17"/>
  <c r="H232" i="17"/>
  <c r="H231" i="17"/>
  <c r="H230" i="17"/>
  <c r="H229" i="17"/>
  <c r="H228" i="17"/>
  <c r="H226" i="17"/>
  <c r="H225" i="17"/>
  <c r="H224" i="17"/>
  <c r="H223" i="17"/>
  <c r="H222" i="17"/>
  <c r="H219" i="17"/>
  <c r="H218" i="17"/>
  <c r="H217" i="17"/>
  <c r="H215" i="17"/>
  <c r="H214" i="17"/>
  <c r="C332" i="17" s="1"/>
  <c r="H213" i="17"/>
  <c r="C327" i="17" s="1"/>
  <c r="H212" i="17"/>
  <c r="H210" i="17"/>
  <c r="H208" i="17"/>
  <c r="H207" i="17"/>
  <c r="H206" i="17"/>
  <c r="H202" i="17"/>
  <c r="H199" i="17"/>
  <c r="H198" i="17"/>
  <c r="H197" i="17"/>
  <c r="H195" i="17"/>
  <c r="H201" i="17"/>
  <c r="H192" i="17"/>
  <c r="H191" i="17"/>
  <c r="H190" i="17"/>
  <c r="H189" i="17"/>
  <c r="H187" i="17"/>
  <c r="H184" i="17"/>
  <c r="H171" i="17"/>
  <c r="H168" i="17"/>
  <c r="C303" i="17" s="1"/>
  <c r="H166" i="17"/>
  <c r="C298" i="17" s="1"/>
  <c r="H164" i="17"/>
  <c r="H163" i="17"/>
  <c r="H161" i="17"/>
  <c r="C295" i="17" s="1"/>
  <c r="H160" i="17"/>
  <c r="H154" i="17"/>
  <c r="H153" i="17"/>
  <c r="H151" i="17"/>
  <c r="H148" i="17"/>
  <c r="H146" i="17"/>
  <c r="H145" i="17"/>
  <c r="C287" i="17" s="1"/>
  <c r="H144" i="17"/>
  <c r="H142" i="17"/>
  <c r="H140" i="17"/>
  <c r="H139" i="17"/>
  <c r="H130" i="17"/>
  <c r="H129" i="17"/>
  <c r="H128" i="17"/>
  <c r="H127" i="17"/>
  <c r="H126" i="17"/>
  <c r="H125" i="17"/>
  <c r="H124" i="17"/>
  <c r="H123" i="17"/>
  <c r="H122" i="17"/>
  <c r="H116" i="17"/>
  <c r="H115" i="17"/>
  <c r="H114" i="17"/>
  <c r="C422" i="17" s="1"/>
  <c r="C434" i="17" s="1"/>
  <c r="H113" i="17"/>
  <c r="H112" i="17"/>
  <c r="H109" i="17"/>
  <c r="H107" i="17"/>
  <c r="H106" i="17"/>
  <c r="C388" i="17" s="1"/>
  <c r="H105" i="17"/>
  <c r="C385" i="17" s="1"/>
  <c r="H98" i="17"/>
  <c r="H97" i="17"/>
  <c r="C364" i="17" s="1"/>
  <c r="C381" i="17" s="1"/>
  <c r="H96" i="17"/>
  <c r="H95" i="17"/>
  <c r="H94" i="17"/>
  <c r="H93" i="17"/>
  <c r="H92" i="17"/>
  <c r="H91" i="17"/>
  <c r="H90" i="17"/>
  <c r="H89" i="17"/>
  <c r="H88" i="17"/>
  <c r="H87" i="17"/>
  <c r="H84" i="17"/>
  <c r="H82" i="17"/>
  <c r="H81" i="17"/>
  <c r="H80" i="17"/>
  <c r="H79" i="17"/>
  <c r="H78" i="17"/>
  <c r="H77" i="17"/>
  <c r="H76" i="17"/>
  <c r="H75" i="17"/>
  <c r="H73" i="17"/>
  <c r="H72" i="17"/>
  <c r="H71" i="17"/>
  <c r="H69" i="17"/>
  <c r="H68" i="17"/>
  <c r="H67" i="17"/>
  <c r="H66" i="17"/>
  <c r="H65" i="17"/>
  <c r="H64" i="17"/>
  <c r="H63" i="17"/>
  <c r="H62" i="17"/>
  <c r="H61" i="17"/>
  <c r="H60" i="17"/>
  <c r="H59" i="17"/>
  <c r="H58" i="17"/>
  <c r="H57" i="17"/>
  <c r="H56" i="17"/>
  <c r="H55" i="17"/>
  <c r="H54" i="17"/>
  <c r="H53" i="17"/>
  <c r="H52" i="17"/>
  <c r="H51" i="17"/>
  <c r="H50" i="17"/>
  <c r="H49" i="17"/>
  <c r="H48" i="17"/>
  <c r="H47" i="17"/>
  <c r="H46" i="17"/>
  <c r="H41" i="17"/>
  <c r="H40" i="17"/>
  <c r="H39" i="17"/>
  <c r="H38" i="17"/>
  <c r="C313" i="17" s="1"/>
  <c r="H35" i="17"/>
  <c r="C312" i="17" s="1"/>
  <c r="H34" i="17"/>
  <c r="C306" i="17" s="1"/>
  <c r="H33" i="17"/>
  <c r="C305" i="17" s="1"/>
  <c r="H31" i="17"/>
  <c r="H30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1" i="17"/>
  <c r="C286" i="17" s="1"/>
  <c r="H10" i="17"/>
  <c r="H9" i="17"/>
  <c r="H8" i="17"/>
  <c r="H7" i="17"/>
  <c r="H6" i="17"/>
  <c r="H5" i="17"/>
  <c r="H4" i="17"/>
  <c r="H3" i="17"/>
  <c r="C284" i="17" s="1"/>
  <c r="H2" i="17"/>
  <c r="C278" i="17" s="1"/>
  <c r="H922" i="16"/>
  <c r="C1092" i="16" s="1"/>
  <c r="H730" i="16"/>
  <c r="H653" i="16"/>
  <c r="H656" i="16"/>
  <c r="H655" i="16"/>
  <c r="H660" i="16"/>
  <c r="H590" i="16"/>
  <c r="H818" i="16"/>
  <c r="H622" i="16"/>
  <c r="H790" i="16"/>
  <c r="H521" i="16"/>
  <c r="H319" i="16"/>
  <c r="H874" i="16"/>
  <c r="C1042" i="16" s="1"/>
  <c r="H642" i="16"/>
  <c r="H121" i="16"/>
  <c r="H135" i="16"/>
  <c r="H127" i="16"/>
  <c r="H272" i="16"/>
  <c r="H273" i="16"/>
  <c r="H473" i="16"/>
  <c r="H487" i="16"/>
  <c r="H601" i="16"/>
  <c r="H877" i="16"/>
  <c r="H280" i="16"/>
  <c r="H692" i="16"/>
  <c r="H536" i="16"/>
  <c r="H176" i="16"/>
  <c r="H120" i="16"/>
  <c r="H310" i="16"/>
  <c r="H349" i="16"/>
  <c r="C1024" i="16" s="1"/>
  <c r="H348" i="16"/>
  <c r="H551" i="16"/>
  <c r="H457" i="16"/>
  <c r="H406" i="16"/>
  <c r="H404" i="16"/>
  <c r="H57" i="16"/>
  <c r="H47" i="16"/>
  <c r="C445" i="17" l="1"/>
  <c r="C294" i="17"/>
  <c r="C678" i="24"/>
  <c r="C671" i="24" s="1"/>
  <c r="C693" i="24" s="1"/>
  <c r="C614" i="24"/>
  <c r="C613" i="24" s="1"/>
  <c r="C691" i="24" s="1"/>
  <c r="C288" i="17"/>
  <c r="C339" i="17" s="1"/>
  <c r="C383" i="17"/>
  <c r="C297" i="17"/>
  <c r="C326" i="17"/>
  <c r="C398" i="17"/>
  <c r="C433" i="17" s="1"/>
  <c r="C280" i="17"/>
  <c r="C684" i="24"/>
  <c r="C687" i="24" s="1"/>
  <c r="C579" i="24"/>
  <c r="C574" i="24" s="1"/>
  <c r="C290" i="17"/>
  <c r="C341" i="17" s="1"/>
  <c r="C323" i="17"/>
  <c r="C361" i="17"/>
  <c r="C377" i="17" s="1"/>
  <c r="C376" i="17" s="1"/>
  <c r="C452" i="17" s="1"/>
  <c r="C395" i="17"/>
  <c r="C293" i="17"/>
  <c r="C419" i="17"/>
  <c r="C438" i="17" s="1"/>
  <c r="C289" i="17"/>
  <c r="C291" i="17"/>
  <c r="C319" i="17"/>
  <c r="C329" i="17"/>
  <c r="C338" i="17" s="1"/>
  <c r="C421" i="17"/>
  <c r="C435" i="17" s="1"/>
  <c r="C439" i="17" s="1"/>
  <c r="C441" i="17"/>
  <c r="C279" i="17"/>
  <c r="C350" i="17"/>
  <c r="C378" i="17" s="1"/>
  <c r="C308" i="17"/>
  <c r="C316" i="17"/>
  <c r="C672" i="24"/>
  <c r="H755" i="16"/>
  <c r="H683" i="16"/>
  <c r="H682" i="16"/>
  <c r="H909" i="16"/>
  <c r="H782" i="16"/>
  <c r="H525" i="16"/>
  <c r="H226" i="16"/>
  <c r="H834" i="16"/>
  <c r="C1020" i="16" s="1"/>
  <c r="H704" i="16"/>
  <c r="H293" i="16"/>
  <c r="H750" i="16"/>
  <c r="H489" i="16"/>
  <c r="H89" i="16"/>
  <c r="H814" i="16"/>
  <c r="H632" i="16"/>
  <c r="H490" i="16"/>
  <c r="H307" i="16"/>
  <c r="H645" i="16"/>
  <c r="H603" i="16"/>
  <c r="C948" i="16" s="1"/>
  <c r="E948" i="16" s="1"/>
  <c r="H648" i="16"/>
  <c r="H697" i="16"/>
  <c r="H614" i="16"/>
  <c r="H679" i="16"/>
  <c r="H825" i="16"/>
  <c r="H915" i="16"/>
  <c r="H869" i="16"/>
  <c r="H868" i="16"/>
  <c r="H292" i="16"/>
  <c r="H427" i="16"/>
  <c r="H419" i="16"/>
  <c r="H301" i="16"/>
  <c r="H35" i="16"/>
  <c r="H73" i="16"/>
  <c r="H402" i="16"/>
  <c r="H344" i="16"/>
  <c r="H343" i="16"/>
  <c r="H629" i="16"/>
  <c r="H79" i="16"/>
  <c r="H37" i="16"/>
  <c r="H799" i="16"/>
  <c r="H620" i="16"/>
  <c r="H352" i="16"/>
  <c r="H935" i="16"/>
  <c r="H902" i="16"/>
  <c r="H875" i="16"/>
  <c r="H863" i="16"/>
  <c r="H779" i="16"/>
  <c r="H778" i="16"/>
  <c r="H777" i="16"/>
  <c r="H681" i="16"/>
  <c r="H621" i="16"/>
  <c r="H529" i="16"/>
  <c r="H259" i="16"/>
  <c r="H248" i="16"/>
  <c r="H454" i="16"/>
  <c r="H479" i="16"/>
  <c r="H264" i="16"/>
  <c r="H511" i="16"/>
  <c r="H408" i="16"/>
  <c r="H104" i="16"/>
  <c r="H558" i="16"/>
  <c r="H210" i="16"/>
  <c r="C990" i="16" s="1"/>
  <c r="E990" i="16" s="1"/>
  <c r="H52" i="16"/>
  <c r="H701" i="16"/>
  <c r="H700" i="16"/>
  <c r="H468" i="16"/>
  <c r="H658" i="16"/>
  <c r="H91" i="16"/>
  <c r="H237" i="16"/>
  <c r="H585" i="16"/>
  <c r="H526" i="16"/>
  <c r="H523" i="16"/>
  <c r="H534" i="16"/>
  <c r="H533" i="16"/>
  <c r="H934" i="16"/>
  <c r="H919" i="16"/>
  <c r="H921" i="16"/>
  <c r="H920" i="16"/>
  <c r="H918" i="16"/>
  <c r="H917" i="16"/>
  <c r="H567" i="16"/>
  <c r="H928" i="16"/>
  <c r="H927" i="16"/>
  <c r="H926" i="16"/>
  <c r="H583" i="16"/>
  <c r="H560" i="16"/>
  <c r="H365" i="16"/>
  <c r="H364" i="16"/>
  <c r="H363" i="16"/>
  <c r="H359" i="16"/>
  <c r="H845" i="16"/>
  <c r="H436" i="16"/>
  <c r="H380" i="16"/>
  <c r="H332" i="16"/>
  <c r="H826" i="16"/>
  <c r="C685" i="24" l="1"/>
  <c r="C690" i="24"/>
  <c r="C682" i="24"/>
  <c r="C688" i="24" s="1"/>
  <c r="C340" i="17"/>
  <c r="C432" i="17"/>
  <c r="C454" i="17" s="1"/>
  <c r="C393" i="17"/>
  <c r="C392" i="17"/>
  <c r="C391" i="17" s="1"/>
  <c r="C453" i="17" s="1"/>
  <c r="C448" i="17"/>
  <c r="C342" i="17"/>
  <c r="C337" i="17" s="1"/>
  <c r="C336" i="17"/>
  <c r="H378" i="16"/>
  <c r="H387" i="16"/>
  <c r="H394" i="16"/>
  <c r="H329" i="16"/>
  <c r="H866" i="16"/>
  <c r="C1035" i="16" s="1"/>
  <c r="H827" i="16"/>
  <c r="H375" i="16"/>
  <c r="H376" i="16"/>
  <c r="H372" i="16"/>
  <c r="H824" i="16"/>
  <c r="H807" i="16"/>
  <c r="H822" i="16"/>
  <c r="C1016" i="16" s="1"/>
  <c r="H820" i="16"/>
  <c r="H829" i="16"/>
  <c r="H410" i="16"/>
  <c r="H353" i="16"/>
  <c r="H345" i="16"/>
  <c r="H338" i="16"/>
  <c r="H325" i="16"/>
  <c r="H433" i="16"/>
  <c r="H420" i="16"/>
  <c r="H417" i="16"/>
  <c r="H424" i="16"/>
  <c r="H421" i="16"/>
  <c r="H416" i="16"/>
  <c r="H937" i="16"/>
  <c r="H929" i="16"/>
  <c r="H930" i="16"/>
  <c r="H924" i="16"/>
  <c r="H887" i="16"/>
  <c r="H882" i="16"/>
  <c r="H813" i="16"/>
  <c r="H836" i="16"/>
  <c r="H833" i="16"/>
  <c r="H832" i="16"/>
  <c r="H774" i="16"/>
  <c r="H770" i="16"/>
  <c r="C1056" i="16" s="1"/>
  <c r="H769" i="16"/>
  <c r="H752" i="16"/>
  <c r="C451" i="17" l="1"/>
  <c r="C443" i="17"/>
  <c r="C449" i="17" s="1"/>
  <c r="C446" i="17"/>
  <c r="C1097" i="16"/>
  <c r="H518" i="16"/>
  <c r="C1075" i="16" s="1"/>
  <c r="H587" i="16"/>
  <c r="H586" i="16"/>
  <c r="H524" i="16"/>
  <c r="H508" i="16"/>
  <c r="H450" i="16"/>
  <c r="H471" i="16"/>
  <c r="H467" i="16"/>
  <c r="H499" i="16"/>
  <c r="H576" i="16"/>
  <c r="C1095" i="16" s="1"/>
  <c r="H580" i="16"/>
  <c r="H532" i="16"/>
  <c r="H29" i="16"/>
  <c r="H31" i="16"/>
  <c r="H36" i="16"/>
  <c r="H766" i="16"/>
  <c r="H136" i="16"/>
  <c r="H298" i="16"/>
  <c r="H299" i="16"/>
  <c r="H40" i="16"/>
  <c r="H304" i="16"/>
  <c r="H189" i="16"/>
  <c r="H594" i="16"/>
  <c r="H726" i="16"/>
  <c r="H646" i="16"/>
  <c r="H610" i="16"/>
  <c r="H609" i="16"/>
  <c r="H604" i="16"/>
  <c r="H776" i="16"/>
  <c r="H873" i="16"/>
  <c r="H864" i="16"/>
  <c r="H8" i="16"/>
  <c r="C950" i="16" s="1"/>
  <c r="E950" i="16" s="1"/>
  <c r="H171" i="16"/>
  <c r="H25" i="16"/>
  <c r="H213" i="16"/>
  <c r="H181" i="16"/>
  <c r="H88" i="16"/>
  <c r="H54" i="16"/>
  <c r="H810" i="16"/>
  <c r="H235" i="16"/>
  <c r="H793" i="16"/>
  <c r="H665" i="16"/>
  <c r="H872" i="16"/>
  <c r="H865" i="16"/>
  <c r="H437" i="16"/>
  <c r="H438" i="16"/>
  <c r="H440" i="16"/>
  <c r="H314" i="16"/>
  <c r="H313" i="16"/>
  <c r="H290" i="16"/>
  <c r="H635" i="16"/>
  <c r="H727" i="16"/>
  <c r="H707" i="16"/>
  <c r="H705" i="16"/>
  <c r="H673" i="16"/>
  <c r="H657" i="16"/>
  <c r="H677" i="16"/>
  <c r="H643" i="16"/>
  <c r="H758" i="16"/>
  <c r="H768" i="16"/>
  <c r="H260" i="16"/>
  <c r="H481" i="16"/>
  <c r="H449" i="16"/>
  <c r="H442" i="16"/>
  <c r="C1052" i="16" s="1"/>
  <c r="H477" i="16"/>
  <c r="H482" i="16"/>
  <c r="H470" i="16"/>
  <c r="H23" i="16"/>
  <c r="H19" i="16"/>
  <c r="H108" i="16"/>
  <c r="H14" i="16"/>
  <c r="H634" i="16"/>
  <c r="H167" i="16"/>
  <c r="H130" i="16"/>
  <c r="H148" i="16"/>
  <c r="H27" i="16"/>
  <c r="H24" i="16"/>
  <c r="H625" i="16"/>
  <c r="H86" i="16"/>
  <c r="H715" i="16"/>
  <c r="H409" i="16"/>
  <c r="H219" i="16"/>
  <c r="H712" i="16"/>
  <c r="H675" i="16"/>
  <c r="H633" i="16"/>
  <c r="H97" i="16"/>
  <c r="H628" i="16"/>
  <c r="H641" i="16"/>
  <c r="H81" i="16"/>
  <c r="H44" i="16"/>
  <c r="H65" i="16"/>
  <c r="H20" i="16"/>
  <c r="H434" i="16"/>
  <c r="H423" i="16"/>
  <c r="H667" i="16"/>
  <c r="H177" i="16"/>
  <c r="H666" i="16"/>
  <c r="H179" i="16"/>
  <c r="H672" i="16"/>
  <c r="H527" i="16"/>
  <c r="H51" i="16"/>
  <c r="H154" i="16"/>
  <c r="H855" i="16"/>
  <c r="H905" i="16"/>
  <c r="H907" i="16"/>
  <c r="C1073" i="16" s="1"/>
  <c r="H494" i="16"/>
  <c r="H505" i="16"/>
  <c r="H492" i="16"/>
  <c r="H530" i="16"/>
  <c r="H388" i="16"/>
  <c r="H105" i="16"/>
  <c r="H931" i="16"/>
  <c r="C1099" i="16" s="1"/>
  <c r="H904" i="16"/>
  <c r="H856" i="16"/>
  <c r="H854" i="16"/>
  <c r="H852" i="16"/>
  <c r="H862" i="16"/>
  <c r="C1032" i="16" s="1"/>
  <c r="H842" i="16"/>
  <c r="H841" i="16"/>
  <c r="H812" i="16"/>
  <c r="H765" i="16"/>
  <c r="H764" i="16"/>
  <c r="H649" i="16"/>
  <c r="H546" i="16"/>
  <c r="H543" i="16"/>
  <c r="H542" i="16"/>
  <c r="H484" i="16"/>
  <c r="H485" i="16"/>
  <c r="H75" i="16"/>
  <c r="H76" i="16"/>
  <c r="H222" i="16"/>
  <c r="H59" i="16" l="1"/>
  <c r="H573" i="16"/>
  <c r="H539" i="16"/>
  <c r="H355" i="16"/>
  <c r="H445" i="16"/>
  <c r="H123" i="16"/>
  <c r="H68" i="16"/>
  <c r="H138" i="16"/>
  <c r="H15" i="16"/>
  <c r="H491" i="16"/>
  <c r="H572" i="16"/>
  <c r="H549" i="16"/>
  <c r="H548" i="16"/>
  <c r="H545" i="16"/>
  <c r="H540" i="16"/>
  <c r="H541" i="16"/>
  <c r="H544" i="16"/>
  <c r="H367" i="16"/>
  <c r="H357" i="16"/>
  <c r="H606" i="16"/>
  <c r="H117" i="16"/>
  <c r="H270" i="16"/>
  <c r="H131" i="16"/>
  <c r="H212" i="16"/>
  <c r="H447" i="16"/>
  <c r="H276" i="16"/>
  <c r="H612" i="16"/>
  <c r="H911" i="16"/>
  <c r="H916" i="16"/>
  <c r="H555" i="16"/>
  <c r="H428" i="16"/>
  <c r="H366" i="16"/>
  <c r="H429" i="16"/>
  <c r="H303" i="16"/>
  <c r="H412" i="16"/>
  <c r="H255" i="16"/>
  <c r="H685" i="16"/>
  <c r="H709" i="16"/>
  <c r="H710" i="16"/>
  <c r="H708" i="16"/>
  <c r="H225" i="16" l="1"/>
  <c r="H262" i="16"/>
  <c r="H229" i="16"/>
  <c r="H651" i="16"/>
  <c r="H714" i="16"/>
  <c r="H674" i="16"/>
  <c r="H788" i="16"/>
  <c r="H688" i="16"/>
  <c r="H903" i="16"/>
  <c r="C1085" i="16" s="1"/>
  <c r="H895" i="16"/>
  <c r="C1077" i="16" s="1"/>
  <c r="H741" i="16"/>
  <c r="H140" i="16"/>
  <c r="C569" i="14"/>
  <c r="H199" i="14"/>
  <c r="H943" i="16"/>
  <c r="C1100" i="16" s="1"/>
  <c r="H942" i="16"/>
  <c r="H941" i="16"/>
  <c r="H940" i="16"/>
  <c r="H939" i="16"/>
  <c r="H938" i="16"/>
  <c r="H936" i="16"/>
  <c r="H933" i="16"/>
  <c r="H932" i="16"/>
  <c r="H886" i="16"/>
  <c r="H925" i="16"/>
  <c r="H923" i="16"/>
  <c r="C1093" i="16" s="1"/>
  <c r="H914" i="16"/>
  <c r="H913" i="16"/>
  <c r="H912" i="16"/>
  <c r="H910" i="16"/>
  <c r="H908" i="16"/>
  <c r="H906" i="16"/>
  <c r="H901" i="16"/>
  <c r="C1082" i="16" s="1"/>
  <c r="H900" i="16"/>
  <c r="C1081" i="16" s="1"/>
  <c r="H899" i="16"/>
  <c r="H898" i="16"/>
  <c r="C1079" i="16" s="1"/>
  <c r="H897" i="16"/>
  <c r="H896" i="16"/>
  <c r="H894" i="16"/>
  <c r="H893" i="16"/>
  <c r="H892" i="16"/>
  <c r="H891" i="16"/>
  <c r="H890" i="16"/>
  <c r="H889" i="16"/>
  <c r="H888" i="16"/>
  <c r="H885" i="16"/>
  <c r="H884" i="16"/>
  <c r="H883" i="16"/>
  <c r="H881" i="16"/>
  <c r="H880" i="16"/>
  <c r="H879" i="16"/>
  <c r="H878" i="16"/>
  <c r="H876" i="16"/>
  <c r="H871" i="16"/>
  <c r="H870" i="16"/>
  <c r="H867" i="16"/>
  <c r="H861" i="16"/>
  <c r="H860" i="16"/>
  <c r="H859" i="16"/>
  <c r="C1026" i="16" s="1"/>
  <c r="H858" i="16"/>
  <c r="H857" i="16"/>
  <c r="H853" i="16"/>
  <c r="H851" i="16"/>
  <c r="H850" i="16"/>
  <c r="H849" i="16"/>
  <c r="H848" i="16"/>
  <c r="H847" i="16"/>
  <c r="H846" i="16"/>
  <c r="H844" i="16"/>
  <c r="H843" i="16"/>
  <c r="H840" i="16"/>
  <c r="H839" i="16"/>
  <c r="H838" i="16"/>
  <c r="H837" i="16"/>
  <c r="H835" i="16"/>
  <c r="H831" i="16"/>
  <c r="H830" i="16"/>
  <c r="H828" i="16"/>
  <c r="H811" i="16"/>
  <c r="H809" i="16"/>
  <c r="H808" i="16"/>
  <c r="H806" i="16"/>
  <c r="H823" i="16"/>
  <c r="H816" i="16"/>
  <c r="H821" i="16"/>
  <c r="H819" i="16"/>
  <c r="H817" i="16"/>
  <c r="H815" i="16"/>
  <c r="H805" i="16"/>
  <c r="H804" i="16"/>
  <c r="H803" i="16"/>
  <c r="H802" i="16"/>
  <c r="H801" i="16"/>
  <c r="H800" i="16"/>
  <c r="H798" i="16"/>
  <c r="H797" i="16"/>
  <c r="H796" i="16"/>
  <c r="H795" i="16"/>
  <c r="H794" i="16"/>
  <c r="H792" i="16"/>
  <c r="H791" i="16"/>
  <c r="H789" i="16"/>
  <c r="H787" i="16"/>
  <c r="H786" i="16"/>
  <c r="H785" i="16"/>
  <c r="H784" i="16"/>
  <c r="H783" i="16"/>
  <c r="H781" i="16"/>
  <c r="H780" i="16"/>
  <c r="C1053" i="16" s="1"/>
  <c r="H775" i="16"/>
  <c r="H773" i="16"/>
  <c r="H772" i="16"/>
  <c r="H771" i="16"/>
  <c r="H767" i="16"/>
  <c r="H763" i="16"/>
  <c r="H762" i="16"/>
  <c r="H761" i="16"/>
  <c r="H760" i="16"/>
  <c r="H759" i="16"/>
  <c r="H757" i="16"/>
  <c r="H756" i="16"/>
  <c r="H754" i="16"/>
  <c r="H751" i="16"/>
  <c r="H753" i="16"/>
  <c r="H749" i="16"/>
  <c r="C974" i="16" s="1"/>
  <c r="E974" i="16" s="1"/>
  <c r="H748" i="16"/>
  <c r="H747" i="16"/>
  <c r="H746" i="16"/>
  <c r="H745" i="16"/>
  <c r="H744" i="16"/>
  <c r="H743" i="16"/>
  <c r="H742" i="16"/>
  <c r="C1003" i="16" s="1"/>
  <c r="H740" i="16"/>
  <c r="H739" i="16"/>
  <c r="H738" i="16"/>
  <c r="H737" i="16"/>
  <c r="H736" i="16"/>
  <c r="H735" i="16"/>
  <c r="H734" i="16"/>
  <c r="H733" i="16"/>
  <c r="H732" i="16"/>
  <c r="H731" i="16"/>
  <c r="H729" i="16"/>
  <c r="H728" i="16"/>
  <c r="H725" i="16"/>
  <c r="H724" i="16"/>
  <c r="H723" i="16"/>
  <c r="H722" i="16"/>
  <c r="H721" i="16"/>
  <c r="H720" i="16"/>
  <c r="H719" i="16"/>
  <c r="H718" i="16"/>
  <c r="H717" i="16"/>
  <c r="H716" i="16"/>
  <c r="H713" i="16"/>
  <c r="C968" i="16" s="1"/>
  <c r="E968" i="16" s="1"/>
  <c r="H711" i="16"/>
  <c r="H706" i="16"/>
  <c r="H703" i="16"/>
  <c r="H702" i="16"/>
  <c r="C998" i="16" s="1"/>
  <c r="E998" i="16" s="1"/>
  <c r="H699" i="16"/>
  <c r="H698" i="16"/>
  <c r="H696" i="16"/>
  <c r="H695" i="16"/>
  <c r="H694" i="16"/>
  <c r="H693" i="16"/>
  <c r="H691" i="16"/>
  <c r="H690" i="16"/>
  <c r="H689" i="16"/>
  <c r="H687" i="16"/>
  <c r="H686" i="16"/>
  <c r="H684" i="16"/>
  <c r="H680" i="16"/>
  <c r="H678" i="16"/>
  <c r="H676" i="16"/>
  <c r="H671" i="16"/>
  <c r="H670" i="16"/>
  <c r="H669" i="16"/>
  <c r="H668" i="16"/>
  <c r="H664" i="16"/>
  <c r="H663" i="16"/>
  <c r="C984" i="16" s="1"/>
  <c r="E984" i="16" s="1"/>
  <c r="H662" i="16"/>
  <c r="H659" i="16"/>
  <c r="H661" i="16"/>
  <c r="C981" i="16" s="1"/>
  <c r="H654" i="16"/>
  <c r="H652" i="16"/>
  <c r="H650" i="16"/>
  <c r="C970" i="16" s="1"/>
  <c r="E970" i="16" s="1"/>
  <c r="H647" i="16"/>
  <c r="H644" i="16"/>
  <c r="H640" i="16"/>
  <c r="H639" i="16"/>
  <c r="H638" i="16"/>
  <c r="H637" i="16"/>
  <c r="H636" i="16"/>
  <c r="H631" i="16"/>
  <c r="H630" i="16"/>
  <c r="H627" i="16"/>
  <c r="H626" i="16"/>
  <c r="H624" i="16"/>
  <c r="H623" i="16"/>
  <c r="H619" i="16"/>
  <c r="H618" i="16"/>
  <c r="H617" i="16"/>
  <c r="H616" i="16"/>
  <c r="H615" i="16"/>
  <c r="H613" i="16"/>
  <c r="H611" i="16"/>
  <c r="H608" i="16"/>
  <c r="H607" i="16"/>
  <c r="H605" i="16"/>
  <c r="H602" i="16"/>
  <c r="H600" i="16"/>
  <c r="H599" i="16"/>
  <c r="H598" i="16"/>
  <c r="H597" i="16"/>
  <c r="H596" i="16"/>
  <c r="H595" i="16"/>
  <c r="H593" i="16"/>
  <c r="H592" i="16"/>
  <c r="H591" i="16"/>
  <c r="H589" i="16"/>
  <c r="H588" i="16"/>
  <c r="C1098" i="16" s="1"/>
  <c r="H584" i="16"/>
  <c r="H582" i="16"/>
  <c r="H581" i="16"/>
  <c r="H579" i="16"/>
  <c r="H578" i="16"/>
  <c r="H577" i="16"/>
  <c r="H575" i="16"/>
  <c r="H574" i="16"/>
  <c r="H571" i="16"/>
  <c r="H570" i="16"/>
  <c r="H569" i="16"/>
  <c r="H568" i="16"/>
  <c r="H566" i="16"/>
  <c r="H565" i="16"/>
  <c r="H564" i="16"/>
  <c r="H563" i="16"/>
  <c r="H562" i="16"/>
  <c r="H561" i="16"/>
  <c r="H559" i="16"/>
  <c r="H557" i="16"/>
  <c r="C1091" i="16" s="1"/>
  <c r="H556" i="16"/>
  <c r="H554" i="16"/>
  <c r="H553" i="16"/>
  <c r="C1090" i="16" s="1"/>
  <c r="H552" i="16"/>
  <c r="C1089" i="16" s="1"/>
  <c r="H550" i="16"/>
  <c r="C1088" i="16" s="1"/>
  <c r="C1108" i="16" s="1"/>
  <c r="H547" i="16"/>
  <c r="H538" i="16"/>
  <c r="H537" i="16"/>
  <c r="C1087" i="16" s="1"/>
  <c r="H535" i="16"/>
  <c r="C1083" i="16" s="1"/>
  <c r="H531" i="16"/>
  <c r="H528" i="16"/>
  <c r="C1080" i="16" s="1"/>
  <c r="H522" i="16"/>
  <c r="H520" i="16"/>
  <c r="H519" i="16"/>
  <c r="H517" i="16"/>
  <c r="H516" i="16"/>
  <c r="H515" i="16"/>
  <c r="H514" i="16"/>
  <c r="H513" i="16"/>
  <c r="H512" i="16"/>
  <c r="H510" i="16"/>
  <c r="H509" i="16"/>
  <c r="H507" i="16"/>
  <c r="H506" i="16"/>
  <c r="C1070" i="16" s="1"/>
  <c r="H504" i="16"/>
  <c r="C1069" i="16" s="1"/>
  <c r="H503" i="16"/>
  <c r="H502" i="16"/>
  <c r="H501" i="16"/>
  <c r="C1068" i="16" s="1"/>
  <c r="H500" i="16"/>
  <c r="H498" i="16"/>
  <c r="H497" i="16"/>
  <c r="H496" i="16"/>
  <c r="H495" i="16"/>
  <c r="H493" i="16"/>
  <c r="H488" i="16"/>
  <c r="H486" i="16"/>
  <c r="H483" i="16"/>
  <c r="H480" i="16"/>
  <c r="H478" i="16"/>
  <c r="H476" i="16"/>
  <c r="H475" i="16"/>
  <c r="H474" i="16"/>
  <c r="H472" i="16"/>
  <c r="H469" i="16"/>
  <c r="H466" i="16"/>
  <c r="H465" i="16"/>
  <c r="H464" i="16"/>
  <c r="H463" i="16"/>
  <c r="H462" i="16"/>
  <c r="H461" i="16"/>
  <c r="H460" i="16"/>
  <c r="H459" i="16"/>
  <c r="H458" i="16"/>
  <c r="H456" i="16"/>
  <c r="H455" i="16"/>
  <c r="H453" i="16"/>
  <c r="H452" i="16"/>
  <c r="H451" i="16"/>
  <c r="H448" i="16"/>
  <c r="H446" i="16"/>
  <c r="H444" i="16"/>
  <c r="H443" i="16"/>
  <c r="H297" i="16"/>
  <c r="H441" i="16"/>
  <c r="C1043" i="16" s="1"/>
  <c r="H312" i="16"/>
  <c r="H311" i="16"/>
  <c r="H439" i="16"/>
  <c r="C1041" i="16" s="1"/>
  <c r="H435" i="16"/>
  <c r="H432" i="16"/>
  <c r="H431" i="16"/>
  <c r="H430" i="16"/>
  <c r="H426" i="16"/>
  <c r="H425" i="16"/>
  <c r="H422" i="16"/>
  <c r="H418" i="16"/>
  <c r="H415" i="16"/>
  <c r="H414" i="16"/>
  <c r="H413" i="16"/>
  <c r="H411" i="16"/>
  <c r="H407" i="16"/>
  <c r="H405" i="16"/>
  <c r="H403" i="16"/>
  <c r="H401" i="16"/>
  <c r="H400" i="16"/>
  <c r="H399" i="16"/>
  <c r="H398" i="16"/>
  <c r="H397" i="16"/>
  <c r="H396" i="16"/>
  <c r="H395" i="16"/>
  <c r="H393" i="16"/>
  <c r="H392" i="16"/>
  <c r="H391" i="16"/>
  <c r="H390" i="16"/>
  <c r="H389" i="16"/>
  <c r="H386" i="16"/>
  <c r="H385" i="16"/>
  <c r="H384" i="16"/>
  <c r="H383" i="16"/>
  <c r="H382" i="16"/>
  <c r="H381" i="16"/>
  <c r="H379" i="16"/>
  <c r="H377" i="16"/>
  <c r="H374" i="16"/>
  <c r="H373" i="16"/>
  <c r="H371" i="16"/>
  <c r="H370" i="16"/>
  <c r="H369" i="16"/>
  <c r="H368" i="16"/>
  <c r="H362" i="16"/>
  <c r="H361" i="16"/>
  <c r="H360" i="16"/>
  <c r="H358" i="16"/>
  <c r="H356" i="16"/>
  <c r="H354" i="16"/>
  <c r="H351" i="16"/>
  <c r="H350" i="16"/>
  <c r="H347" i="16"/>
  <c r="H346" i="16"/>
  <c r="H342" i="16"/>
  <c r="H341" i="16"/>
  <c r="H340" i="16"/>
  <c r="H337" i="16"/>
  <c r="H339" i="16"/>
  <c r="H336" i="16"/>
  <c r="H335" i="16"/>
  <c r="H334" i="16"/>
  <c r="H333" i="16"/>
  <c r="H331" i="16"/>
  <c r="H330" i="16"/>
  <c r="H328" i="16"/>
  <c r="H327" i="16"/>
  <c r="H326" i="16"/>
  <c r="H324" i="16"/>
  <c r="C1017" i="16" s="1"/>
  <c r="H323" i="16"/>
  <c r="H322" i="16"/>
  <c r="H321" i="16"/>
  <c r="H320" i="16"/>
  <c r="H318" i="16"/>
  <c r="H317" i="16"/>
  <c r="H316" i="16"/>
  <c r="H315" i="16"/>
  <c r="H309" i="16"/>
  <c r="H308" i="16"/>
  <c r="H306" i="16"/>
  <c r="H305" i="16"/>
  <c r="H302" i="16"/>
  <c r="H300" i="16"/>
  <c r="C1002" i="16" s="1"/>
  <c r="E1002" i="16" s="1"/>
  <c r="H296" i="16"/>
  <c r="H295" i="16"/>
  <c r="H294" i="16"/>
  <c r="H291" i="16"/>
  <c r="H289" i="16"/>
  <c r="H288" i="16"/>
  <c r="H287" i="16"/>
  <c r="H286" i="16"/>
  <c r="H285" i="16"/>
  <c r="H284" i="16"/>
  <c r="H283" i="16"/>
  <c r="H282" i="16"/>
  <c r="H281" i="16"/>
  <c r="H279" i="16"/>
  <c r="H278" i="16"/>
  <c r="H277" i="16"/>
  <c r="H275" i="16"/>
  <c r="H274" i="16"/>
  <c r="H271" i="16"/>
  <c r="H269" i="16"/>
  <c r="H268" i="16"/>
  <c r="H267" i="16"/>
  <c r="H266" i="16"/>
  <c r="H265" i="16"/>
  <c r="H263" i="16"/>
  <c r="H261" i="16"/>
  <c r="H258" i="16"/>
  <c r="H257" i="16"/>
  <c r="H256" i="16"/>
  <c r="H254" i="16"/>
  <c r="H253" i="16"/>
  <c r="H252" i="16"/>
  <c r="H251" i="16"/>
  <c r="H250" i="16"/>
  <c r="H249" i="16"/>
  <c r="H247" i="16"/>
  <c r="H246" i="16"/>
  <c r="H245" i="16"/>
  <c r="H244" i="16"/>
  <c r="H243" i="16"/>
  <c r="H242" i="16"/>
  <c r="H241" i="16"/>
  <c r="H240" i="16"/>
  <c r="H239" i="16"/>
  <c r="H238" i="16"/>
  <c r="H236" i="16"/>
  <c r="H234" i="16"/>
  <c r="H233" i="16"/>
  <c r="H232" i="16"/>
  <c r="H231" i="16"/>
  <c r="H230" i="16"/>
  <c r="H228" i="16"/>
  <c r="H227" i="16"/>
  <c r="H224" i="16"/>
  <c r="H223" i="16"/>
  <c r="H221" i="16"/>
  <c r="H220" i="16"/>
  <c r="H218" i="16"/>
  <c r="H217" i="16"/>
  <c r="H216" i="16"/>
  <c r="H215" i="16"/>
  <c r="H214" i="16"/>
  <c r="H211" i="16"/>
  <c r="C991" i="16" s="1"/>
  <c r="E991" i="16" s="1"/>
  <c r="H209" i="16"/>
  <c r="H208" i="16"/>
  <c r="H207" i="16"/>
  <c r="H206" i="16"/>
  <c r="H205" i="16"/>
  <c r="H204" i="16"/>
  <c r="H203" i="16"/>
  <c r="H202" i="16"/>
  <c r="H201" i="16"/>
  <c r="H200" i="16"/>
  <c r="H199" i="16"/>
  <c r="H198" i="16"/>
  <c r="H197" i="16"/>
  <c r="H196" i="16"/>
  <c r="H195" i="16"/>
  <c r="H194" i="16"/>
  <c r="H193" i="16"/>
  <c r="H192" i="16"/>
  <c r="H191" i="16"/>
  <c r="H190" i="16"/>
  <c r="H188" i="16"/>
  <c r="C986" i="16" s="1"/>
  <c r="E986" i="16" s="1"/>
  <c r="H187" i="16"/>
  <c r="H186" i="16"/>
  <c r="H185" i="16"/>
  <c r="H184" i="16"/>
  <c r="H183" i="16"/>
  <c r="H182" i="16"/>
  <c r="H180" i="16"/>
  <c r="H178" i="16"/>
  <c r="H175" i="16"/>
  <c r="H174" i="16"/>
  <c r="H173" i="16"/>
  <c r="H172" i="16"/>
  <c r="H170" i="16"/>
  <c r="H169" i="16"/>
  <c r="H168" i="16"/>
  <c r="H166" i="16"/>
  <c r="H165" i="16"/>
  <c r="H164" i="16"/>
  <c r="H163" i="16"/>
  <c r="H162" i="16"/>
  <c r="H161" i="16"/>
  <c r="H160" i="16"/>
  <c r="H159" i="16"/>
  <c r="H158" i="16"/>
  <c r="H157" i="16"/>
  <c r="H156" i="16"/>
  <c r="H155" i="16"/>
  <c r="H153" i="16"/>
  <c r="H152" i="16"/>
  <c r="H151" i="16"/>
  <c r="H150" i="16"/>
  <c r="C975" i="16" s="1"/>
  <c r="E975" i="16" s="1"/>
  <c r="H149" i="16"/>
  <c r="H147" i="16"/>
  <c r="H146" i="16"/>
  <c r="H145" i="16"/>
  <c r="H144" i="16"/>
  <c r="H143" i="16"/>
  <c r="C967" i="16" s="1"/>
  <c r="E967" i="16" s="1"/>
  <c r="H142" i="16"/>
  <c r="H141" i="16"/>
  <c r="H139" i="16"/>
  <c r="H137" i="16"/>
  <c r="H134" i="16"/>
  <c r="H133" i="16"/>
  <c r="H132" i="16"/>
  <c r="H129" i="16"/>
  <c r="H128" i="16"/>
  <c r="H126" i="16"/>
  <c r="H125" i="16"/>
  <c r="H124" i="16"/>
  <c r="H122" i="16"/>
  <c r="H119" i="16"/>
  <c r="H118" i="16"/>
  <c r="C961" i="16" s="1"/>
  <c r="E961" i="16" s="1"/>
  <c r="H116" i="16"/>
  <c r="H115" i="16"/>
  <c r="H114" i="16"/>
  <c r="H113" i="16"/>
  <c r="H112" i="16"/>
  <c r="H111" i="16"/>
  <c r="H110" i="16"/>
  <c r="H109" i="16"/>
  <c r="H107" i="16"/>
  <c r="H106" i="16"/>
  <c r="H103" i="16"/>
  <c r="H102" i="16"/>
  <c r="H101" i="16"/>
  <c r="H100" i="16"/>
  <c r="H99" i="16"/>
  <c r="H98" i="16"/>
  <c r="H96" i="16"/>
  <c r="H95" i="16"/>
  <c r="H94" i="16"/>
  <c r="H93" i="16"/>
  <c r="H92" i="16"/>
  <c r="H90" i="16"/>
  <c r="H87" i="16"/>
  <c r="H85" i="16"/>
  <c r="H84" i="16"/>
  <c r="H83" i="16"/>
  <c r="H82" i="16"/>
  <c r="H80" i="16"/>
  <c r="H78" i="16"/>
  <c r="H77" i="16"/>
  <c r="H74" i="16"/>
  <c r="H72" i="16"/>
  <c r="H71" i="16"/>
  <c r="H70" i="16"/>
  <c r="H69" i="16"/>
  <c r="H67" i="16"/>
  <c r="H66" i="16"/>
  <c r="H64" i="16"/>
  <c r="H63" i="16"/>
  <c r="H62" i="16"/>
  <c r="H61" i="16"/>
  <c r="H60" i="16"/>
  <c r="H58" i="16"/>
  <c r="H56" i="16"/>
  <c r="H55" i="16"/>
  <c r="H53" i="16"/>
  <c r="H50" i="16"/>
  <c r="H49" i="16"/>
  <c r="H48" i="16"/>
  <c r="H46" i="16"/>
  <c r="H45" i="16"/>
  <c r="H43" i="16"/>
  <c r="H42" i="16"/>
  <c r="H41" i="16"/>
  <c r="H39" i="16"/>
  <c r="H38" i="16"/>
  <c r="H34" i="16"/>
  <c r="H33" i="16"/>
  <c r="H32" i="16"/>
  <c r="H30" i="16"/>
  <c r="H28" i="16"/>
  <c r="C953" i="16" s="1"/>
  <c r="H26" i="16"/>
  <c r="H22" i="16"/>
  <c r="H21" i="16"/>
  <c r="H18" i="16"/>
  <c r="H17" i="16"/>
  <c r="H16" i="16"/>
  <c r="H13" i="16"/>
  <c r="H12" i="16"/>
  <c r="H11" i="16"/>
  <c r="H10" i="16"/>
  <c r="H9" i="16"/>
  <c r="H7" i="16"/>
  <c r="H6" i="16"/>
  <c r="H5" i="16"/>
  <c r="H4" i="16"/>
  <c r="H3" i="16"/>
  <c r="H2" i="16"/>
  <c r="H378" i="14"/>
  <c r="H332" i="14"/>
  <c r="H390" i="14"/>
  <c r="H423" i="14"/>
  <c r="H407" i="14"/>
  <c r="H406" i="14"/>
  <c r="H300" i="14"/>
  <c r="H304" i="14"/>
  <c r="H307" i="14"/>
  <c r="H187" i="14"/>
  <c r="H247" i="14"/>
  <c r="H249" i="14"/>
  <c r="H252" i="14"/>
  <c r="H184" i="14"/>
  <c r="H186" i="14"/>
  <c r="H154" i="14"/>
  <c r="H128" i="14"/>
  <c r="H143" i="14"/>
  <c r="H37" i="14"/>
  <c r="H61" i="14"/>
  <c r="H60" i="14"/>
  <c r="H36" i="14"/>
  <c r="H78" i="14"/>
  <c r="H77" i="14"/>
  <c r="H246" i="14"/>
  <c r="H12" i="14"/>
  <c r="H8" i="14"/>
  <c r="H111" i="14"/>
  <c r="H156" i="14"/>
  <c r="H164" i="14"/>
  <c r="H381" i="14"/>
  <c r="H430" i="14"/>
  <c r="H480" i="14"/>
  <c r="H342" i="14"/>
  <c r="H369" i="14"/>
  <c r="H402" i="14"/>
  <c r="H398" i="14"/>
  <c r="H421" i="14"/>
  <c r="H113" i="14"/>
  <c r="H116" i="14"/>
  <c r="H115" i="14"/>
  <c r="H114" i="14"/>
  <c r="H121" i="14"/>
  <c r="H109" i="14"/>
  <c r="H108" i="14"/>
  <c r="H118" i="14"/>
  <c r="H119" i="14"/>
  <c r="H117" i="14"/>
  <c r="H126" i="14"/>
  <c r="H125" i="14"/>
  <c r="H124" i="14"/>
  <c r="H123" i="14"/>
  <c r="H53" i="14"/>
  <c r="C503" i="14" s="1"/>
  <c r="H234" i="14"/>
  <c r="C567" i="14" s="1"/>
  <c r="H178" i="14"/>
  <c r="H175" i="14"/>
  <c r="H174" i="14"/>
  <c r="H224" i="14"/>
  <c r="H177" i="14"/>
  <c r="H57" i="14"/>
  <c r="H132" i="14"/>
  <c r="H134" i="14"/>
  <c r="H83" i="14"/>
  <c r="H172" i="14"/>
  <c r="H64" i="14"/>
  <c r="H162" i="14"/>
  <c r="H167" i="14"/>
  <c r="H250" i="14"/>
  <c r="H265" i="14"/>
  <c r="H18" i="14"/>
  <c r="H242" i="14"/>
  <c r="C582" i="14" s="1"/>
  <c r="H201" i="14"/>
  <c r="H200" i="14"/>
  <c r="H193" i="14"/>
  <c r="H230" i="14"/>
  <c r="H238" i="14"/>
  <c r="H435" i="14"/>
  <c r="H296" i="14"/>
  <c r="H320" i="14"/>
  <c r="C1067" i="16" l="1"/>
  <c r="C1096" i="16"/>
  <c r="C946" i="16"/>
  <c r="C947" i="16"/>
  <c r="E947" i="16" s="1"/>
  <c r="C956" i="16"/>
  <c r="E956" i="16" s="1"/>
  <c r="C958" i="16"/>
  <c r="E958" i="16" s="1"/>
  <c r="C965" i="16"/>
  <c r="E965" i="16" s="1"/>
  <c r="C978" i="16"/>
  <c r="E978" i="16" s="1"/>
  <c r="C979" i="16"/>
  <c r="E979" i="16" s="1"/>
  <c r="C992" i="16"/>
  <c r="E992" i="16" s="1"/>
  <c r="C995" i="16"/>
  <c r="E995" i="16" s="1"/>
  <c r="C1019" i="16"/>
  <c r="C1074" i="16"/>
  <c r="C1047" i="16"/>
  <c r="C1106" i="16"/>
  <c r="C1104" i="16"/>
  <c r="E953" i="16"/>
  <c r="C1061" i="16"/>
  <c r="C1105" i="16"/>
  <c r="C1111" i="16"/>
  <c r="E981" i="16"/>
  <c r="C957" i="16"/>
  <c r="E957" i="16" s="1"/>
  <c r="C982" i="16"/>
  <c r="E982" i="16" s="1"/>
  <c r="C985" i="16"/>
  <c r="E985" i="16" s="1"/>
  <c r="C1000" i="16"/>
  <c r="E1000" i="16" s="1"/>
  <c r="C1015" i="16"/>
  <c r="C1049" i="16" s="1"/>
  <c r="C1018" i="16"/>
  <c r="C1025" i="16"/>
  <c r="C1033" i="16"/>
  <c r="C1050" i="16" s="1"/>
  <c r="C1036" i="16"/>
  <c r="C1040" i="16"/>
  <c r="C1078" i="16"/>
  <c r="C951" i="16"/>
  <c r="E951" i="16" s="1"/>
  <c r="C954" i="16"/>
  <c r="E954" i="16" s="1"/>
  <c r="C964" i="16"/>
  <c r="E964" i="16" s="1"/>
  <c r="C969" i="16"/>
  <c r="E969" i="16" s="1"/>
  <c r="C972" i="16"/>
  <c r="E972" i="16" s="1"/>
  <c r="C988" i="16"/>
  <c r="E988" i="16" s="1"/>
  <c r="C989" i="16"/>
  <c r="E989" i="16" s="1"/>
  <c r="C996" i="16"/>
  <c r="E996" i="16" s="1"/>
  <c r="C1027" i="16"/>
  <c r="C1030" i="16"/>
  <c r="C1055" i="16"/>
  <c r="C1063" i="16" s="1"/>
  <c r="C1057" i="16"/>
  <c r="C1062" i="16" s="1"/>
  <c r="C1072" i="16"/>
  <c r="C960" i="16"/>
  <c r="E960" i="16" s="1"/>
  <c r="C994" i="16"/>
  <c r="E994" i="16" s="1"/>
  <c r="C955" i="16"/>
  <c r="E955" i="16" s="1"/>
  <c r="C980" i="16"/>
  <c r="E980" i="16" s="1"/>
  <c r="C987" i="16"/>
  <c r="E987" i="16" s="1"/>
  <c r="C1013" i="16"/>
  <c r="C1046" i="16" s="1"/>
  <c r="C1045" i="16" s="1"/>
  <c r="C1122" i="16" s="1"/>
  <c r="C1022" i="16"/>
  <c r="C1031" i="16"/>
  <c r="C1014" i="16"/>
  <c r="C1048" i="16" s="1"/>
  <c r="C1054" i="16"/>
  <c r="C1064" i="16" s="1"/>
  <c r="C1058" i="16"/>
  <c r="C1065" i="16" s="1"/>
  <c r="C1071" i="16"/>
  <c r="C1103" i="16" s="1"/>
  <c r="C1076" i="16"/>
  <c r="C1107" i="16" s="1"/>
  <c r="H157" i="14"/>
  <c r="C1010" i="16" l="1"/>
  <c r="C1009" i="16"/>
  <c r="C1115" i="16"/>
  <c r="C1118" i="16" s="1"/>
  <c r="C1007" i="16"/>
  <c r="C1006" i="16"/>
  <c r="C1109" i="16"/>
  <c r="C1102" i="16" s="1"/>
  <c r="C1124" i="16" s="1"/>
  <c r="C1008" i="16"/>
  <c r="C1005" i="16" s="1"/>
  <c r="E946" i="16"/>
  <c r="C1004" i="16"/>
  <c r="C1060" i="16"/>
  <c r="C1123" i="16" s="1"/>
  <c r="H207" i="14"/>
  <c r="H212" i="14"/>
  <c r="H66" i="14"/>
  <c r="H91" i="14"/>
  <c r="H74" i="14"/>
  <c r="H90" i="14"/>
  <c r="H67" i="14"/>
  <c r="H165" i="14"/>
  <c r="H355" i="14"/>
  <c r="H54" i="14"/>
  <c r="H203" i="14"/>
  <c r="H259" i="14"/>
  <c r="H24" i="14"/>
  <c r="C1113" i="16" l="1"/>
  <c r="C1121" i="16"/>
  <c r="C1116" i="16"/>
  <c r="H451" i="14"/>
  <c r="H442" i="14"/>
  <c r="H3" i="14"/>
  <c r="H208" i="14"/>
  <c r="H13" i="14"/>
  <c r="H50" i="14"/>
  <c r="H194" i="14"/>
  <c r="C548" i="14" s="1"/>
  <c r="H444" i="14"/>
  <c r="H441" i="14"/>
  <c r="C554" i="14" s="1"/>
  <c r="H217" i="14"/>
  <c r="H216" i="14"/>
  <c r="H237" i="14"/>
  <c r="H223" i="14"/>
  <c r="H469" i="14"/>
  <c r="H462" i="14"/>
  <c r="H366" i="14"/>
  <c r="H315" i="14"/>
  <c r="H365" i="14"/>
  <c r="H424" i="14"/>
  <c r="H434" i="14"/>
  <c r="H393" i="14"/>
  <c r="H464" i="14"/>
  <c r="H471" i="14"/>
  <c r="H371" i="14"/>
  <c r="H94" i="14"/>
  <c r="H241" i="14"/>
  <c r="C534" i="14" s="1"/>
  <c r="H275" i="14"/>
  <c r="C615" i="14" s="1"/>
  <c r="C632" i="14" s="1"/>
  <c r="H283" i="14"/>
  <c r="C623" i="14" s="1"/>
  <c r="C630" i="14" s="1"/>
  <c r="H269" i="14"/>
  <c r="C606" i="14" s="1"/>
  <c r="H344" i="14"/>
  <c r="H360" i="14"/>
  <c r="H433" i="14"/>
  <c r="H432" i="14"/>
  <c r="H439" i="14"/>
  <c r="H438" i="14"/>
  <c r="H437" i="14"/>
  <c r="H436" i="14"/>
  <c r="H330" i="14"/>
  <c r="H363" i="14"/>
  <c r="H326" i="14"/>
  <c r="H328" i="14"/>
  <c r="H331" i="14"/>
  <c r="H334" i="14"/>
  <c r="H261" i="14"/>
  <c r="H206" i="14"/>
  <c r="H214" i="14"/>
  <c r="H215" i="14"/>
  <c r="H100" i="14"/>
  <c r="H99" i="14"/>
  <c r="H98" i="14"/>
  <c r="H101" i="14"/>
  <c r="H102" i="14"/>
  <c r="H95" i="14"/>
  <c r="H136" i="14"/>
  <c r="H211" i="14"/>
  <c r="H209" i="14"/>
  <c r="H236" i="14"/>
  <c r="H472" i="14"/>
  <c r="H403" i="14"/>
  <c r="H396" i="14"/>
  <c r="H262" i="14"/>
  <c r="H51" i="14"/>
  <c r="H452" i="14"/>
  <c r="H339" i="14"/>
  <c r="H130" i="14"/>
  <c r="H221" i="14"/>
  <c r="H139" i="14"/>
  <c r="H137" i="14"/>
  <c r="H52" i="14"/>
  <c r="H190" i="14"/>
  <c r="H82" i="14"/>
  <c r="H384" i="14"/>
  <c r="H383" i="14"/>
  <c r="H391" i="14"/>
  <c r="H345" i="14"/>
  <c r="H340" i="14"/>
  <c r="H311" i="14"/>
  <c r="C500" i="14" s="1"/>
  <c r="H375" i="14"/>
  <c r="H160" i="14"/>
  <c r="H173" i="14"/>
  <c r="H19" i="14"/>
  <c r="H17" i="14"/>
  <c r="H16" i="14"/>
  <c r="H4" i="14"/>
  <c r="H140" i="14"/>
  <c r="H144" i="14"/>
  <c r="H145" i="14"/>
  <c r="H2" i="14"/>
  <c r="H377" i="14"/>
  <c r="H337" i="14"/>
  <c r="H6" i="14"/>
  <c r="C487" i="14" s="1"/>
  <c r="H155" i="14"/>
  <c r="H49" i="14"/>
  <c r="H43" i="14"/>
  <c r="H44" i="14"/>
  <c r="H68" i="14"/>
  <c r="C509" i="14" s="1"/>
  <c r="H168" i="14"/>
  <c r="C532" i="14" s="1"/>
  <c r="H322" i="14"/>
  <c r="H176" i="14"/>
  <c r="H354" i="14"/>
  <c r="C559" i="14" l="1"/>
  <c r="C528" i="14"/>
  <c r="C1119" i="16"/>
  <c r="H31" i="14"/>
  <c r="H149" i="14"/>
  <c r="H15" i="14"/>
  <c r="H46" i="14"/>
  <c r="H40" i="14"/>
  <c r="H48" i="14"/>
  <c r="H41" i="14"/>
  <c r="H38" i="14"/>
  <c r="H39" i="14"/>
  <c r="H47" i="14"/>
  <c r="H282" i="14"/>
  <c r="H257" i="14"/>
  <c r="H183" i="14"/>
  <c r="H182" i="14"/>
  <c r="H191" i="14"/>
  <c r="H185" i="14"/>
  <c r="H473" i="14"/>
  <c r="H104" i="14"/>
  <c r="H447" i="14"/>
  <c r="H440" i="14"/>
  <c r="H298" i="14"/>
  <c r="H297" i="14"/>
  <c r="H324" i="14"/>
  <c r="H466" i="14"/>
  <c r="H428" i="14"/>
  <c r="H450" i="14"/>
  <c r="H412" i="14"/>
  <c r="H372" i="14"/>
  <c r="H385" i="14"/>
  <c r="H361" i="14"/>
  <c r="H336" i="14"/>
  <c r="H481" i="14"/>
  <c r="H479" i="14"/>
  <c r="H478" i="14"/>
  <c r="H477" i="14"/>
  <c r="H476" i="14"/>
  <c r="H475" i="14"/>
  <c r="H474" i="14"/>
  <c r="H470" i="14"/>
  <c r="H468" i="14"/>
  <c r="C609" i="14" s="1"/>
  <c r="H467" i="14"/>
  <c r="H465" i="14"/>
  <c r="C602" i="14" s="1"/>
  <c r="H463" i="14"/>
  <c r="H461" i="14"/>
  <c r="C596" i="14" s="1"/>
  <c r="H460" i="14"/>
  <c r="H459" i="14"/>
  <c r="H458" i="14"/>
  <c r="H457" i="14"/>
  <c r="C566" i="14" s="1"/>
  <c r="H456" i="14"/>
  <c r="H455" i="14"/>
  <c r="H454" i="14"/>
  <c r="C562" i="14" s="1"/>
  <c r="H453" i="14"/>
  <c r="H449" i="14"/>
  <c r="H448" i="14"/>
  <c r="H446" i="14"/>
  <c r="H445" i="14"/>
  <c r="H443" i="14"/>
  <c r="H431" i="14"/>
  <c r="H429" i="14"/>
  <c r="H427" i="14"/>
  <c r="H426" i="14"/>
  <c r="H425" i="14"/>
  <c r="H422" i="14"/>
  <c r="H420" i="14"/>
  <c r="H419" i="14"/>
  <c r="H418" i="14"/>
  <c r="H417" i="14"/>
  <c r="H416" i="14"/>
  <c r="H415" i="14"/>
  <c r="H414" i="14"/>
  <c r="H413" i="14"/>
  <c r="H411" i="14"/>
  <c r="H410" i="14"/>
  <c r="H409" i="14"/>
  <c r="H408" i="14"/>
  <c r="H405" i="14"/>
  <c r="H404" i="14"/>
  <c r="H401" i="14"/>
  <c r="H400" i="14"/>
  <c r="H399" i="14"/>
  <c r="H397" i="14"/>
  <c r="H395" i="14"/>
  <c r="H394" i="14"/>
  <c r="H392" i="14"/>
  <c r="C590" i="14" s="1"/>
  <c r="H389" i="14"/>
  <c r="H388" i="14"/>
  <c r="H387" i="14"/>
  <c r="H386" i="14"/>
  <c r="H382" i="14"/>
  <c r="H380" i="14"/>
  <c r="H379" i="14"/>
  <c r="H376" i="14"/>
  <c r="H374" i="14"/>
  <c r="H373" i="14"/>
  <c r="H370" i="14"/>
  <c r="H368" i="14"/>
  <c r="H367" i="14"/>
  <c r="H364" i="14"/>
  <c r="H362" i="14"/>
  <c r="H359" i="14"/>
  <c r="H358" i="14"/>
  <c r="H357" i="14"/>
  <c r="H356" i="14"/>
  <c r="H353" i="14"/>
  <c r="H352" i="14"/>
  <c r="H351" i="14"/>
  <c r="H350" i="14"/>
  <c r="H349" i="14"/>
  <c r="H348" i="14"/>
  <c r="H347" i="14"/>
  <c r="H346" i="14"/>
  <c r="H343" i="14"/>
  <c r="H341" i="14"/>
  <c r="H338" i="14"/>
  <c r="H335" i="14"/>
  <c r="H333" i="14"/>
  <c r="H329" i="14"/>
  <c r="H327" i="14"/>
  <c r="H325" i="14"/>
  <c r="H323" i="14"/>
  <c r="H321" i="14"/>
  <c r="H319" i="14"/>
  <c r="H318" i="14"/>
  <c r="H317" i="14"/>
  <c r="H316" i="14"/>
  <c r="H314" i="14"/>
  <c r="C502" i="14" s="1"/>
  <c r="H313" i="14"/>
  <c r="H312" i="14"/>
  <c r="C498" i="14" s="1"/>
  <c r="H310" i="14"/>
  <c r="C499" i="14" s="1"/>
  <c r="H309" i="14"/>
  <c r="H308" i="14"/>
  <c r="H306" i="14"/>
  <c r="H305" i="14"/>
  <c r="H303" i="14"/>
  <c r="H302" i="14"/>
  <c r="H301" i="14"/>
  <c r="H299" i="14"/>
  <c r="H295" i="14"/>
  <c r="H294" i="14"/>
  <c r="H293" i="14"/>
  <c r="H292" i="14"/>
  <c r="H291" i="14"/>
  <c r="H290" i="14"/>
  <c r="H289" i="14"/>
  <c r="H288" i="14"/>
  <c r="H287" i="14"/>
  <c r="H286" i="14"/>
  <c r="H285" i="14"/>
  <c r="H284" i="14"/>
  <c r="H281" i="14"/>
  <c r="H280" i="14"/>
  <c r="H279" i="14"/>
  <c r="H278" i="14"/>
  <c r="H277" i="14"/>
  <c r="H276" i="14"/>
  <c r="C617" i="14" s="1"/>
  <c r="H274" i="14"/>
  <c r="C614" i="14" s="1"/>
  <c r="H273" i="14"/>
  <c r="H272" i="14"/>
  <c r="H271" i="14"/>
  <c r="H270" i="14"/>
  <c r="H268" i="14"/>
  <c r="C605" i="14" s="1"/>
  <c r="H267" i="14"/>
  <c r="C603" i="14" s="1"/>
  <c r="H266" i="14"/>
  <c r="C600" i="14" s="1"/>
  <c r="H264" i="14"/>
  <c r="H263" i="14"/>
  <c r="H260" i="14"/>
  <c r="H258" i="14"/>
  <c r="H256" i="14"/>
  <c r="H255" i="14"/>
  <c r="H254" i="14"/>
  <c r="H253" i="14"/>
  <c r="C586" i="14" s="1"/>
  <c r="H251" i="14"/>
  <c r="C585" i="14" s="1"/>
  <c r="H248" i="14"/>
  <c r="H245" i="14"/>
  <c r="H244" i="14"/>
  <c r="H243" i="14"/>
  <c r="C584" i="14" s="1"/>
  <c r="H240" i="14"/>
  <c r="H239" i="14"/>
  <c r="H235" i="14"/>
  <c r="C568" i="14" s="1"/>
  <c r="H233" i="14"/>
  <c r="H232" i="14"/>
  <c r="H231" i="14"/>
  <c r="H229" i="14"/>
  <c r="H228" i="14"/>
  <c r="H227" i="14"/>
  <c r="H226" i="14"/>
  <c r="H225" i="14"/>
  <c r="H222" i="14"/>
  <c r="C558" i="14" s="1"/>
  <c r="H220" i="14"/>
  <c r="C556" i="14" s="1"/>
  <c r="H219" i="14"/>
  <c r="H218" i="14"/>
  <c r="C555" i="14" s="1"/>
  <c r="H213" i="14"/>
  <c r="C553" i="14" s="1"/>
  <c r="H210" i="14"/>
  <c r="C552" i="14" s="1"/>
  <c r="H205" i="14"/>
  <c r="H204" i="14"/>
  <c r="H202" i="14"/>
  <c r="H198" i="14"/>
  <c r="H197" i="14"/>
  <c r="H196" i="14"/>
  <c r="H195" i="14"/>
  <c r="C549" i="14" s="1"/>
  <c r="H192" i="14"/>
  <c r="H189" i="14"/>
  <c r="H188" i="14"/>
  <c r="H181" i="14"/>
  <c r="H180" i="14"/>
  <c r="H179" i="14"/>
  <c r="C546" i="14" s="1"/>
  <c r="H171" i="14"/>
  <c r="H170" i="14"/>
  <c r="H169" i="14"/>
  <c r="H166" i="14"/>
  <c r="H163" i="14"/>
  <c r="H161" i="14"/>
  <c r="H159" i="14"/>
  <c r="H158" i="14"/>
  <c r="H153" i="14"/>
  <c r="H152" i="14"/>
  <c r="H151" i="14"/>
  <c r="H150" i="14"/>
  <c r="H148" i="14"/>
  <c r="H147" i="14"/>
  <c r="H146" i="14"/>
  <c r="H142" i="14"/>
  <c r="H141" i="14"/>
  <c r="H138" i="14"/>
  <c r="H135" i="14"/>
  <c r="H133" i="14"/>
  <c r="H131" i="14"/>
  <c r="H129" i="14"/>
  <c r="C527" i="14" s="1"/>
  <c r="H127" i="14"/>
  <c r="H122" i="14"/>
  <c r="H120" i="14"/>
  <c r="H112" i="14"/>
  <c r="H110" i="14"/>
  <c r="H107" i="14"/>
  <c r="H106" i="14"/>
  <c r="H105" i="14"/>
  <c r="C523" i="14" s="1"/>
  <c r="H103" i="14"/>
  <c r="C522" i="14" s="1"/>
  <c r="H97" i="14"/>
  <c r="H96" i="14"/>
  <c r="C520" i="14" s="1"/>
  <c r="H93" i="14"/>
  <c r="C519" i="14" s="1"/>
  <c r="H92" i="14"/>
  <c r="H89" i="14"/>
  <c r="H88" i="14"/>
  <c r="H87" i="14"/>
  <c r="C518" i="14" s="1"/>
  <c r="H86" i="14"/>
  <c r="H85" i="14"/>
  <c r="H84" i="14"/>
  <c r="H81" i="14"/>
  <c r="H80" i="14"/>
  <c r="H79" i="14"/>
  <c r="H76" i="14"/>
  <c r="H75" i="14"/>
  <c r="C515" i="14" s="1"/>
  <c r="H73" i="14"/>
  <c r="H72" i="14"/>
  <c r="H71" i="14"/>
  <c r="H70" i="14"/>
  <c r="H69" i="14"/>
  <c r="H65" i="14"/>
  <c r="H63" i="14"/>
  <c r="H62" i="14"/>
  <c r="H59" i="14"/>
  <c r="H58" i="14"/>
  <c r="H56" i="14"/>
  <c r="H55" i="14"/>
  <c r="C504" i="14" s="1"/>
  <c r="H45" i="14"/>
  <c r="H42" i="14"/>
  <c r="H35" i="14"/>
  <c r="H34" i="14"/>
  <c r="H33" i="14"/>
  <c r="H32" i="14"/>
  <c r="H30" i="14"/>
  <c r="H29" i="14"/>
  <c r="H28" i="14"/>
  <c r="H27" i="14"/>
  <c r="H26" i="14"/>
  <c r="H25" i="14"/>
  <c r="C494" i="14" s="1"/>
  <c r="H23" i="14"/>
  <c r="H22" i="14"/>
  <c r="H21" i="14"/>
  <c r="C492" i="14" s="1"/>
  <c r="H20" i="14"/>
  <c r="H14" i="14"/>
  <c r="C490" i="14" s="1"/>
  <c r="H11" i="14"/>
  <c r="H10" i="14"/>
  <c r="H9" i="14"/>
  <c r="H7" i="14"/>
  <c r="H5" i="14"/>
  <c r="H466" i="6"/>
  <c r="H579" i="6"/>
  <c r="H553" i="6"/>
  <c r="H552" i="6"/>
  <c r="H504" i="6"/>
  <c r="H498" i="6"/>
  <c r="H506" i="6"/>
  <c r="H508" i="6"/>
  <c r="H507" i="6"/>
  <c r="H436" i="6"/>
  <c r="H435" i="6"/>
  <c r="H432" i="6"/>
  <c r="H416" i="6"/>
  <c r="H467" i="6"/>
  <c r="H299" i="6"/>
  <c r="H244" i="6"/>
  <c r="H283" i="6"/>
  <c r="H346" i="6"/>
  <c r="H317" i="6"/>
  <c r="H80" i="6"/>
  <c r="H69" i="6"/>
  <c r="H286" i="6"/>
  <c r="H284" i="6"/>
  <c r="H339" i="6"/>
  <c r="H342" i="6"/>
  <c r="H343" i="6"/>
  <c r="H78" i="6"/>
  <c r="H68" i="6"/>
  <c r="H33" i="6"/>
  <c r="H75" i="6"/>
  <c r="H578" i="6"/>
  <c r="H570" i="6"/>
  <c r="C703" i="6" s="1"/>
  <c r="H574" i="6"/>
  <c r="H572" i="6"/>
  <c r="H563" i="6"/>
  <c r="H564" i="6"/>
  <c r="C706" i="6" s="1"/>
  <c r="H562" i="6"/>
  <c r="H589" i="6"/>
  <c r="H237" i="6"/>
  <c r="H234" i="6"/>
  <c r="H542" i="6"/>
  <c r="H282" i="6"/>
  <c r="H281" i="6"/>
  <c r="H280" i="6"/>
  <c r="H279" i="6"/>
  <c r="H253" i="6"/>
  <c r="H240" i="6"/>
  <c r="H235" i="6"/>
  <c r="H258" i="6"/>
  <c r="H260" i="6"/>
  <c r="H241" i="6"/>
  <c r="H261" i="6"/>
  <c r="C664" i="6" s="1"/>
  <c r="H252" i="6"/>
  <c r="H427" i="6"/>
  <c r="H426" i="6"/>
  <c r="H425" i="6"/>
  <c r="H424" i="6"/>
  <c r="H423" i="6"/>
  <c r="H422" i="6"/>
  <c r="H429" i="6"/>
  <c r="H471" i="6"/>
  <c r="H468" i="6"/>
  <c r="H43" i="6"/>
  <c r="H38" i="6"/>
  <c r="H50" i="6"/>
  <c r="H39" i="6"/>
  <c r="H37" i="6"/>
  <c r="H41" i="6"/>
  <c r="H45" i="6"/>
  <c r="H46" i="6"/>
  <c r="H223" i="6"/>
  <c r="H220" i="6"/>
  <c r="H214" i="6"/>
  <c r="H228" i="6"/>
  <c r="H63" i="6"/>
  <c r="H60" i="6"/>
  <c r="H57" i="6"/>
  <c r="H58" i="6"/>
  <c r="H502" i="6"/>
  <c r="H503" i="6"/>
  <c r="H510" i="6"/>
  <c r="C688" i="6" s="1"/>
  <c r="H511" i="6"/>
  <c r="H512" i="6"/>
  <c r="H505" i="6"/>
  <c r="H451" i="6"/>
  <c r="H438" i="6"/>
  <c r="H412" i="6"/>
  <c r="H134" i="6"/>
  <c r="H340" i="6"/>
  <c r="H308" i="6"/>
  <c r="H305" i="6"/>
  <c r="H304" i="6"/>
  <c r="H306" i="6"/>
  <c r="H303" i="6"/>
  <c r="H344" i="6"/>
  <c r="H345" i="6"/>
  <c r="H347" i="6"/>
  <c r="H336" i="6"/>
  <c r="H320" i="6"/>
  <c r="H130" i="6"/>
  <c r="H129" i="6"/>
  <c r="H100" i="6"/>
  <c r="H88" i="6"/>
  <c r="H29" i="6"/>
  <c r="H28" i="6"/>
  <c r="H453" i="6"/>
  <c r="H434" i="6"/>
  <c r="H433" i="6"/>
  <c r="H415" i="6"/>
  <c r="H417" i="6"/>
  <c r="H413" i="6"/>
  <c r="H142" i="6"/>
  <c r="H31" i="6"/>
  <c r="H26" i="6"/>
  <c r="H70" i="6"/>
  <c r="H76" i="6"/>
  <c r="H79" i="6"/>
  <c r="H2" i="6"/>
  <c r="H6" i="6"/>
  <c r="H5" i="6"/>
  <c r="H4" i="6"/>
  <c r="H486" i="6"/>
  <c r="H341" i="6"/>
  <c r="H329" i="6"/>
  <c r="H328" i="6"/>
  <c r="H327" i="6"/>
  <c r="H326" i="6"/>
  <c r="H307" i="6"/>
  <c r="H319" i="6"/>
  <c r="H259" i="6"/>
  <c r="H255" i="6"/>
  <c r="C656" i="6" s="1"/>
  <c r="H245" i="6"/>
  <c r="H236" i="6"/>
  <c r="H55" i="6"/>
  <c r="H117" i="6"/>
  <c r="H133" i="6"/>
  <c r="C624" i="6" s="1"/>
  <c r="H144" i="6"/>
  <c r="H152" i="6"/>
  <c r="H181" i="6"/>
  <c r="H229" i="6"/>
  <c r="C640" i="6" s="1"/>
  <c r="H22" i="6"/>
  <c r="H81" i="6"/>
  <c r="H83" i="6"/>
  <c r="H32" i="6"/>
  <c r="H11" i="6"/>
  <c r="H12" i="6"/>
  <c r="H10" i="6"/>
  <c r="H114" i="6"/>
  <c r="H312" i="6"/>
  <c r="H85" i="6"/>
  <c r="H112" i="6"/>
  <c r="H457" i="6"/>
  <c r="H445" i="6"/>
  <c r="H414" i="6"/>
  <c r="H136" i="6"/>
  <c r="H149" i="6"/>
  <c r="H115" i="6"/>
  <c r="H143" i="6"/>
  <c r="C628" i="6" s="1"/>
  <c r="H18" i="6"/>
  <c r="H459" i="6"/>
  <c r="H176" i="6"/>
  <c r="H170" i="6"/>
  <c r="H172" i="6"/>
  <c r="H174" i="6"/>
  <c r="H178" i="6"/>
  <c r="H205" i="6"/>
  <c r="H499" i="6"/>
  <c r="H472" i="6"/>
  <c r="H462" i="6"/>
  <c r="H193" i="6"/>
  <c r="H195" i="6"/>
  <c r="H196" i="6"/>
  <c r="H185" i="6"/>
  <c r="H190" i="6"/>
  <c r="H189" i="6"/>
  <c r="H188" i="6"/>
  <c r="H187" i="6"/>
  <c r="H155" i="6"/>
  <c r="H93" i="6"/>
  <c r="H92" i="6"/>
  <c r="H91" i="6"/>
  <c r="C508" i="14" l="1"/>
  <c r="C561" i="14"/>
  <c r="C495" i="14"/>
  <c r="C493" i="14"/>
  <c r="C501" i="14"/>
  <c r="C514" i="14"/>
  <c r="C530" i="14"/>
  <c r="C593" i="14"/>
  <c r="C591" i="14"/>
  <c r="C545" i="14"/>
  <c r="C610" i="14"/>
  <c r="C631" i="14" s="1"/>
  <c r="C491" i="14"/>
  <c r="C542" i="14" s="1"/>
  <c r="C524" i="14"/>
  <c r="C529" i="14"/>
  <c r="C571" i="14"/>
  <c r="C578" i="14" s="1"/>
  <c r="C587" i="14"/>
  <c r="C594" i="14" s="1"/>
  <c r="C485" i="14"/>
  <c r="C540" i="14"/>
  <c r="C589" i="14"/>
  <c r="C647" i="14" s="1"/>
  <c r="C592" i="14"/>
  <c r="C618" i="14"/>
  <c r="C488" i="14"/>
  <c r="C516" i="14"/>
  <c r="C539" i="14" s="1"/>
  <c r="C547" i="14"/>
  <c r="C579" i="14" s="1"/>
  <c r="C550" i="14"/>
  <c r="C577" i="14" s="1"/>
  <c r="C635" i="14"/>
  <c r="C505" i="14"/>
  <c r="C497" i="14"/>
  <c r="C541" i="14" s="1"/>
  <c r="C576" i="14"/>
  <c r="C563" i="14"/>
  <c r="C580" i="14" s="1"/>
  <c r="C627" i="14"/>
  <c r="C608" i="14"/>
  <c r="C628" i="14" s="1"/>
  <c r="C633" i="14" s="1"/>
  <c r="C626" i="14" s="1"/>
  <c r="C648" i="14" s="1"/>
  <c r="C621" i="14"/>
  <c r="C629" i="14" s="1"/>
  <c r="H132" i="6"/>
  <c r="H127" i="6"/>
  <c r="H137" i="6"/>
  <c r="H454" i="6"/>
  <c r="H141" i="6"/>
  <c r="H140" i="6"/>
  <c r="H536" i="6"/>
  <c r="H15" i="6"/>
  <c r="H16" i="6"/>
  <c r="H14" i="6"/>
  <c r="H13" i="6"/>
  <c r="C595" i="6" s="1"/>
  <c r="H365" i="6"/>
  <c r="H364" i="6"/>
  <c r="H363" i="6"/>
  <c r="H391" i="6"/>
  <c r="H393" i="6"/>
  <c r="H377" i="6"/>
  <c r="H376" i="6"/>
  <c r="H384" i="6"/>
  <c r="H383" i="6"/>
  <c r="H382" i="6"/>
  <c r="H362" i="6"/>
  <c r="C713" i="6" s="1"/>
  <c r="H368" i="6"/>
  <c r="H239" i="6"/>
  <c r="H242" i="6"/>
  <c r="C653" i="6" s="1"/>
  <c r="H243" i="6"/>
  <c r="H251" i="6"/>
  <c r="H122" i="6"/>
  <c r="H298" i="6"/>
  <c r="C575" i="14" l="1"/>
  <c r="C646" i="14" s="1"/>
  <c r="C639" i="14"/>
  <c r="C642" i="14" s="1"/>
  <c r="C537" i="14"/>
  <c r="C543" i="14"/>
  <c r="C538" i="14" s="1"/>
  <c r="H287" i="6"/>
  <c r="C668" i="6" s="1"/>
  <c r="H232" i="6"/>
  <c r="H291" i="6"/>
  <c r="H290" i="6"/>
  <c r="H289" i="6"/>
  <c r="H288" i="6"/>
  <c r="H554" i="6"/>
  <c r="C670" i="6" s="1"/>
  <c r="H535" i="6"/>
  <c r="H44" i="6"/>
  <c r="H549" i="6"/>
  <c r="H548" i="6"/>
  <c r="H35" i="6"/>
  <c r="H469" i="6"/>
  <c r="H501" i="6"/>
  <c r="H210" i="6"/>
  <c r="C645" i="14" l="1"/>
  <c r="C640" i="14"/>
  <c r="C637" i="14"/>
  <c r="C643" i="14" s="1"/>
  <c r="H212" i="6"/>
  <c r="H226" i="6"/>
  <c r="H216" i="6"/>
  <c r="H222" i="6"/>
  <c r="H221" i="6"/>
  <c r="H215" i="6"/>
  <c r="H56" i="6"/>
  <c r="H61" i="6"/>
  <c r="H337" i="6"/>
  <c r="H338" i="6"/>
  <c r="H313" i="6"/>
  <c r="H310" i="6"/>
  <c r="H314" i="6"/>
  <c r="H316" i="6"/>
  <c r="H21" i="6"/>
  <c r="H20" i="6"/>
  <c r="H399" i="6"/>
  <c r="H361" i="6"/>
  <c r="H354" i="6"/>
  <c r="H358" i="6"/>
  <c r="C709" i="6" s="1"/>
  <c r="H351" i="6"/>
  <c r="H356" i="6"/>
  <c r="H491" i="6"/>
  <c r="H569" i="6"/>
  <c r="H568" i="6"/>
  <c r="H396" i="6"/>
  <c r="H389" i="6"/>
  <c r="H388" i="6"/>
  <c r="H387" i="6"/>
  <c r="H379" i="6"/>
  <c r="H378" i="6"/>
  <c r="H386" i="6"/>
  <c r="H385" i="6"/>
  <c r="H374" i="6"/>
  <c r="H373" i="6"/>
  <c r="H246" i="6"/>
  <c r="H556" i="6"/>
  <c r="H324" i="6"/>
  <c r="H321" i="6"/>
  <c r="H17" i="6"/>
  <c r="C596" i="6" s="1"/>
  <c r="H59" i="6"/>
  <c r="H64" i="6"/>
  <c r="H348" i="6"/>
  <c r="C692" i="6" s="1"/>
  <c r="H315" i="6"/>
  <c r="H461" i="6"/>
  <c r="H458" i="6"/>
  <c r="H99" i="6"/>
  <c r="H219" i="6"/>
  <c r="H167" i="6"/>
  <c r="H145" i="6"/>
  <c r="C629" i="6" s="1"/>
  <c r="H146" i="6"/>
  <c r="H447" i="6"/>
  <c r="C617" i="6" s="1"/>
  <c r="H409" i="6"/>
  <c r="H101" i="6"/>
  <c r="H359" i="6"/>
  <c r="H67" i="6"/>
  <c r="H52" i="6"/>
  <c r="H208" i="6"/>
  <c r="H292" i="6"/>
  <c r="H293" i="6"/>
  <c r="H294" i="6"/>
  <c r="H120" i="6"/>
  <c r="H209" i="6"/>
  <c r="H74" i="6"/>
  <c r="H301" i="6"/>
  <c r="H514" i="6"/>
  <c r="H519" i="6"/>
  <c r="H478" i="6"/>
  <c r="H204" i="6"/>
  <c r="H584" i="6"/>
  <c r="H527" i="6"/>
  <c r="H524" i="6"/>
  <c r="H509" i="6"/>
  <c r="H296" i="6"/>
  <c r="H371" i="6"/>
  <c r="C720" i="6" s="1"/>
  <c r="H367" i="6"/>
  <c r="H360" i="6"/>
  <c r="C711" i="6" s="1"/>
  <c r="H289" i="11"/>
  <c r="H285" i="11"/>
  <c r="C426" i="11" s="1"/>
  <c r="H268" i="11"/>
  <c r="H588" i="6"/>
  <c r="H587" i="6"/>
  <c r="H586" i="6"/>
  <c r="H585" i="6"/>
  <c r="H583" i="6"/>
  <c r="H582" i="6"/>
  <c r="H581" i="6"/>
  <c r="H580" i="6"/>
  <c r="H565" i="6"/>
  <c r="H577" i="6"/>
  <c r="H576" i="6"/>
  <c r="H575" i="6"/>
  <c r="C714" i="6" s="1"/>
  <c r="H573" i="6"/>
  <c r="H571" i="6"/>
  <c r="H567" i="6"/>
  <c r="H566" i="6"/>
  <c r="H561" i="6"/>
  <c r="H560" i="6"/>
  <c r="H559" i="6"/>
  <c r="H558" i="6"/>
  <c r="H555" i="6"/>
  <c r="H551" i="6"/>
  <c r="H557" i="6"/>
  <c r="C675" i="6" s="1"/>
  <c r="H550" i="6"/>
  <c r="H547" i="6"/>
  <c r="H546" i="6"/>
  <c r="H545" i="6"/>
  <c r="H544" i="6"/>
  <c r="H543" i="6"/>
  <c r="H541" i="6"/>
  <c r="H540" i="6"/>
  <c r="H539" i="6"/>
  <c r="H538" i="6"/>
  <c r="H537" i="6"/>
  <c r="H534" i="6"/>
  <c r="H533" i="6"/>
  <c r="H532" i="6"/>
  <c r="H531" i="6"/>
  <c r="H530" i="6"/>
  <c r="H529" i="6"/>
  <c r="H528" i="6"/>
  <c r="H526" i="6"/>
  <c r="H525" i="6"/>
  <c r="H523" i="6"/>
  <c r="H522" i="6"/>
  <c r="H521" i="6"/>
  <c r="H520" i="6"/>
  <c r="H518" i="6"/>
  <c r="H517" i="6"/>
  <c r="H516" i="6"/>
  <c r="H515" i="6"/>
  <c r="H513" i="6"/>
  <c r="H500" i="6"/>
  <c r="H497" i="6"/>
  <c r="H496" i="6"/>
  <c r="H495" i="6"/>
  <c r="C695" i="6" s="1"/>
  <c r="H494" i="6"/>
  <c r="H493" i="6"/>
  <c r="H492" i="6"/>
  <c r="H490" i="6"/>
  <c r="H489" i="6"/>
  <c r="H488" i="6"/>
  <c r="H487" i="6"/>
  <c r="H485" i="6"/>
  <c r="H484" i="6"/>
  <c r="H483" i="6"/>
  <c r="H482" i="6"/>
  <c r="H481" i="6"/>
  <c r="H480" i="6"/>
  <c r="H479" i="6"/>
  <c r="H477" i="6"/>
  <c r="H476" i="6"/>
  <c r="H475" i="6"/>
  <c r="H474" i="6"/>
  <c r="H473" i="6"/>
  <c r="H470" i="6"/>
  <c r="H465" i="6"/>
  <c r="H464" i="6"/>
  <c r="H463" i="6"/>
  <c r="H460" i="6"/>
  <c r="H456" i="6"/>
  <c r="H455" i="6"/>
  <c r="H452" i="6"/>
  <c r="H450" i="6"/>
  <c r="H449" i="6"/>
  <c r="C621" i="6" s="1"/>
  <c r="H448" i="6"/>
  <c r="H446" i="6"/>
  <c r="H444" i="6"/>
  <c r="H443" i="6"/>
  <c r="C611" i="6" s="1"/>
  <c r="H442" i="6"/>
  <c r="H441" i="6"/>
  <c r="H440" i="6"/>
  <c r="C604" i="6" s="1"/>
  <c r="H439" i="6"/>
  <c r="H437" i="6"/>
  <c r="H431" i="6"/>
  <c r="H430" i="6"/>
  <c r="H428" i="6"/>
  <c r="H421" i="6"/>
  <c r="H420" i="6"/>
  <c r="H419" i="6"/>
  <c r="H418" i="6"/>
  <c r="H411" i="6"/>
  <c r="H410" i="6"/>
  <c r="C593" i="6" s="1"/>
  <c r="H408" i="6"/>
  <c r="H407" i="6"/>
  <c r="H406" i="6"/>
  <c r="H405" i="6"/>
  <c r="H404" i="6"/>
  <c r="C739" i="6" s="1"/>
  <c r="H403" i="6"/>
  <c r="H402" i="6"/>
  <c r="H401" i="6"/>
  <c r="H400" i="6"/>
  <c r="H398" i="6"/>
  <c r="H397" i="6"/>
  <c r="H395" i="6"/>
  <c r="C725" i="6" s="1"/>
  <c r="H394" i="6"/>
  <c r="H392" i="6"/>
  <c r="H390" i="6"/>
  <c r="H381" i="6"/>
  <c r="H380" i="6"/>
  <c r="H375" i="6"/>
  <c r="H372" i="6"/>
  <c r="C721" i="6" s="1"/>
  <c r="H370" i="6"/>
  <c r="H369" i="6"/>
  <c r="H366" i="6"/>
  <c r="C715" i="6" s="1"/>
  <c r="H357" i="6"/>
  <c r="H355" i="6"/>
  <c r="H353" i="6"/>
  <c r="C705" i="6" s="1"/>
  <c r="H352" i="6"/>
  <c r="H350" i="6"/>
  <c r="C702" i="6" s="1"/>
  <c r="H349" i="6"/>
  <c r="C701" i="6" s="1"/>
  <c r="H335" i="6"/>
  <c r="H334" i="6"/>
  <c r="H333" i="6"/>
  <c r="H332" i="6"/>
  <c r="H331" i="6"/>
  <c r="H330" i="6"/>
  <c r="H325" i="6"/>
  <c r="H323" i="6"/>
  <c r="H322" i="6"/>
  <c r="H318" i="6"/>
  <c r="H311" i="6"/>
  <c r="H309" i="6"/>
  <c r="C689" i="6" s="1"/>
  <c r="C698" i="6" s="1"/>
  <c r="H302" i="6"/>
  <c r="H300" i="6"/>
  <c r="C678" i="6" s="1"/>
  <c r="H297" i="6"/>
  <c r="C673" i="6" s="1"/>
  <c r="C685" i="6" s="1"/>
  <c r="H295" i="6"/>
  <c r="H285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57" i="6"/>
  <c r="C663" i="6" s="1"/>
  <c r="C683" i="6" s="1"/>
  <c r="H256" i="6"/>
  <c r="C661" i="6" s="1"/>
  <c r="H254" i="6"/>
  <c r="C655" i="6" s="1"/>
  <c r="C682" i="6" s="1"/>
  <c r="H250" i="6"/>
  <c r="H249" i="6"/>
  <c r="H248" i="6"/>
  <c r="H247" i="6"/>
  <c r="H238" i="6"/>
  <c r="C652" i="6" s="1"/>
  <c r="C684" i="6" s="1"/>
  <c r="H233" i="6"/>
  <c r="H231" i="6"/>
  <c r="H230" i="6"/>
  <c r="H227" i="6"/>
  <c r="C637" i="6" s="1"/>
  <c r="H225" i="6"/>
  <c r="H224" i="6"/>
  <c r="H218" i="6"/>
  <c r="H217" i="6"/>
  <c r="H213" i="6"/>
  <c r="H211" i="6"/>
  <c r="H207" i="6"/>
  <c r="H206" i="6"/>
  <c r="H203" i="6"/>
  <c r="H202" i="6"/>
  <c r="H201" i="6"/>
  <c r="H200" i="6"/>
  <c r="H199" i="6"/>
  <c r="H198" i="6"/>
  <c r="H197" i="6"/>
  <c r="H194" i="6"/>
  <c r="H192" i="6"/>
  <c r="H191" i="6"/>
  <c r="H186" i="6"/>
  <c r="H184" i="6"/>
  <c r="H183" i="6"/>
  <c r="H182" i="6"/>
  <c r="H180" i="6"/>
  <c r="H179" i="6"/>
  <c r="H177" i="6"/>
  <c r="H175" i="6"/>
  <c r="H173" i="6"/>
  <c r="H171" i="6"/>
  <c r="H169" i="6"/>
  <c r="H168" i="6"/>
  <c r="H166" i="6"/>
  <c r="H165" i="6"/>
  <c r="H164" i="6"/>
  <c r="H163" i="6"/>
  <c r="H162" i="6"/>
  <c r="H161" i="6"/>
  <c r="H160" i="6"/>
  <c r="H159" i="6"/>
  <c r="H158" i="6"/>
  <c r="H157" i="6"/>
  <c r="H156" i="6"/>
  <c r="H154" i="6"/>
  <c r="H153" i="6"/>
  <c r="C633" i="6" s="1"/>
  <c r="H151" i="6"/>
  <c r="H150" i="6"/>
  <c r="H148" i="6"/>
  <c r="H147" i="6"/>
  <c r="H139" i="6"/>
  <c r="H138" i="6"/>
  <c r="H135" i="6"/>
  <c r="C625" i="6" s="1"/>
  <c r="H131" i="6"/>
  <c r="H128" i="6"/>
  <c r="H126" i="6"/>
  <c r="H125" i="6"/>
  <c r="H124" i="6"/>
  <c r="H123" i="6"/>
  <c r="H121" i="6"/>
  <c r="H119" i="6"/>
  <c r="H118" i="6"/>
  <c r="H116" i="6"/>
  <c r="C614" i="6" s="1"/>
  <c r="H113" i="6"/>
  <c r="H111" i="6"/>
  <c r="H110" i="6"/>
  <c r="H109" i="6"/>
  <c r="H108" i="6"/>
  <c r="H107" i="6"/>
  <c r="H106" i="6"/>
  <c r="H105" i="6"/>
  <c r="C605" i="6" s="1"/>
  <c r="H104" i="6"/>
  <c r="H103" i="6"/>
  <c r="H102" i="6"/>
  <c r="H98" i="6"/>
  <c r="H97" i="6"/>
  <c r="H96" i="6"/>
  <c r="H95" i="6"/>
  <c r="H94" i="6"/>
  <c r="H90" i="6"/>
  <c r="H89" i="6"/>
  <c r="H87" i="6"/>
  <c r="H86" i="6"/>
  <c r="H84" i="6"/>
  <c r="H82" i="6"/>
  <c r="H77" i="6"/>
  <c r="H73" i="6"/>
  <c r="H72" i="6"/>
  <c r="H71" i="6"/>
  <c r="C601" i="6" s="1"/>
  <c r="H66" i="6"/>
  <c r="H65" i="6"/>
  <c r="H62" i="6"/>
  <c r="H54" i="6"/>
  <c r="H53" i="6"/>
  <c r="H51" i="6"/>
  <c r="H49" i="6"/>
  <c r="H48" i="6"/>
  <c r="H47" i="6"/>
  <c r="H42" i="6"/>
  <c r="H40" i="6"/>
  <c r="H36" i="6"/>
  <c r="C599" i="6" s="1"/>
  <c r="H34" i="6"/>
  <c r="H30" i="6"/>
  <c r="H27" i="6"/>
  <c r="H25" i="6"/>
  <c r="H24" i="6"/>
  <c r="H23" i="6"/>
  <c r="H19" i="6"/>
  <c r="H9" i="6"/>
  <c r="H8" i="6"/>
  <c r="H7" i="6"/>
  <c r="H3" i="6"/>
  <c r="H164" i="11"/>
  <c r="H292" i="11"/>
  <c r="H228" i="11"/>
  <c r="H236" i="11"/>
  <c r="H235" i="11"/>
  <c r="H206" i="11"/>
  <c r="H281" i="11"/>
  <c r="C414" i="11" s="1"/>
  <c r="H196" i="11"/>
  <c r="H138" i="11"/>
  <c r="C376" i="11" s="1"/>
  <c r="H210" i="11"/>
  <c r="H11" i="11"/>
  <c r="H35" i="11"/>
  <c r="H49" i="11"/>
  <c r="H247" i="11"/>
  <c r="C345" i="11" s="1"/>
  <c r="H37" i="11"/>
  <c r="H198" i="11"/>
  <c r="H197" i="11"/>
  <c r="H177" i="11"/>
  <c r="H86" i="11"/>
  <c r="H201" i="11"/>
  <c r="H38" i="11"/>
  <c r="H115" i="11"/>
  <c r="C346" i="11" s="1"/>
  <c r="H20" i="11"/>
  <c r="H249" i="11"/>
  <c r="C305" i="11" s="1"/>
  <c r="H194" i="11"/>
  <c r="H193" i="11"/>
  <c r="H187" i="11"/>
  <c r="H22" i="11"/>
  <c r="H39" i="11"/>
  <c r="H137" i="11"/>
  <c r="C375" i="11" s="1"/>
  <c r="H127" i="11"/>
  <c r="H117" i="11"/>
  <c r="H17" i="11"/>
  <c r="H9" i="11"/>
  <c r="H72" i="11"/>
  <c r="H183" i="11"/>
  <c r="C302" i="11" s="1"/>
  <c r="H92" i="11"/>
  <c r="H30" i="11"/>
  <c r="H21" i="11"/>
  <c r="H294" i="11"/>
  <c r="C433" i="11" s="1"/>
  <c r="H282" i="11"/>
  <c r="C415" i="11" s="1"/>
  <c r="H283" i="11"/>
  <c r="H156" i="11"/>
  <c r="H162" i="11"/>
  <c r="C424" i="11" s="1"/>
  <c r="C441" i="11" s="1"/>
  <c r="H208" i="11"/>
  <c r="C326" i="11" s="1"/>
  <c r="H227" i="11"/>
  <c r="H64" i="11"/>
  <c r="H18" i="11"/>
  <c r="H118" i="11"/>
  <c r="C357" i="11" s="1"/>
  <c r="C389" i="11" s="1"/>
  <c r="H7" i="11"/>
  <c r="H57" i="11"/>
  <c r="C318" i="11" s="1"/>
  <c r="H47" i="11"/>
  <c r="H112" i="11"/>
  <c r="H97" i="11"/>
  <c r="H68" i="11"/>
  <c r="H75" i="11"/>
  <c r="H2" i="11"/>
  <c r="C299" i="11" s="1"/>
  <c r="H44" i="11"/>
  <c r="H26" i="11"/>
  <c r="H200" i="11"/>
  <c r="H168" i="11"/>
  <c r="H123" i="11"/>
  <c r="H50" i="11"/>
  <c r="H120" i="11"/>
  <c r="C366" i="11" s="1"/>
  <c r="H5" i="11"/>
  <c r="H192" i="11"/>
  <c r="H56" i="11"/>
  <c r="C317" i="11" s="1"/>
  <c r="H217" i="11"/>
  <c r="H215" i="11"/>
  <c r="H216" i="11"/>
  <c r="H202" i="11"/>
  <c r="H24" i="11"/>
  <c r="H59" i="11"/>
  <c r="C322" i="11" s="1"/>
  <c r="H291" i="11"/>
  <c r="H290" i="11"/>
  <c r="H114" i="11"/>
  <c r="C341" i="11" s="1"/>
  <c r="H150" i="11"/>
  <c r="C409" i="11" s="1"/>
  <c r="H158" i="11"/>
  <c r="C419" i="11" s="1"/>
  <c r="H161" i="11"/>
  <c r="C423" i="11" s="1"/>
  <c r="H167" i="11"/>
  <c r="H166" i="11"/>
  <c r="H165" i="11"/>
  <c r="H89" i="11"/>
  <c r="H140" i="11"/>
  <c r="C394" i="11" s="1"/>
  <c r="H151" i="11"/>
  <c r="C411" i="11" s="1"/>
  <c r="H107" i="11"/>
  <c r="H214" i="11"/>
  <c r="H284" i="11"/>
  <c r="C422" i="11" s="1"/>
  <c r="H45" i="11"/>
  <c r="H230" i="11"/>
  <c r="H159" i="11"/>
  <c r="C420" i="11" s="1"/>
  <c r="H219" i="11"/>
  <c r="H262" i="11"/>
  <c r="H338" i="3"/>
  <c r="H110" i="3"/>
  <c r="H68" i="3"/>
  <c r="H69" i="3"/>
  <c r="H70" i="3"/>
  <c r="H62" i="3"/>
  <c r="C383" i="3" s="1"/>
  <c r="H63" i="3"/>
  <c r="H295" i="11"/>
  <c r="H293" i="11"/>
  <c r="H288" i="11"/>
  <c r="H287" i="11"/>
  <c r="H286" i="11"/>
  <c r="C427" i="11" s="1"/>
  <c r="H280" i="11"/>
  <c r="C413" i="11" s="1"/>
  <c r="H279" i="11"/>
  <c r="H278" i="11"/>
  <c r="C436" i="11" s="1"/>
  <c r="H277" i="11"/>
  <c r="H276" i="11"/>
  <c r="H275" i="11"/>
  <c r="C371" i="11" s="1"/>
  <c r="H274" i="11"/>
  <c r="C368" i="11" s="1"/>
  <c r="H273" i="11"/>
  <c r="H272" i="11"/>
  <c r="H271" i="11"/>
  <c r="H270" i="11"/>
  <c r="C387" i="11" s="1"/>
  <c r="H269" i="11"/>
  <c r="H267" i="11"/>
  <c r="H266" i="11"/>
  <c r="H265" i="11"/>
  <c r="H264" i="11"/>
  <c r="H263" i="11"/>
  <c r="H261" i="11"/>
  <c r="H260" i="11"/>
  <c r="C401" i="11" s="1"/>
  <c r="H259" i="11"/>
  <c r="H258" i="11"/>
  <c r="H257" i="11"/>
  <c r="H256" i="11"/>
  <c r="H255" i="11"/>
  <c r="H254" i="11"/>
  <c r="H253" i="11"/>
  <c r="H252" i="11"/>
  <c r="H251" i="11"/>
  <c r="H250" i="11"/>
  <c r="H248" i="11"/>
  <c r="H246" i="11"/>
  <c r="H245" i="11"/>
  <c r="H244" i="11"/>
  <c r="H243" i="11"/>
  <c r="H242" i="11"/>
  <c r="H241" i="11"/>
  <c r="H240" i="11"/>
  <c r="H239" i="11"/>
  <c r="H238" i="11"/>
  <c r="H237" i="11"/>
  <c r="H234" i="11"/>
  <c r="H233" i="11"/>
  <c r="H232" i="11"/>
  <c r="H231" i="11"/>
  <c r="H229" i="11"/>
  <c r="C315" i="11" s="1"/>
  <c r="H224" i="11"/>
  <c r="H225" i="11"/>
  <c r="H226" i="11"/>
  <c r="H223" i="11"/>
  <c r="H222" i="11"/>
  <c r="H221" i="11"/>
  <c r="H220" i="11"/>
  <c r="H218" i="11"/>
  <c r="H213" i="11"/>
  <c r="C331" i="11" s="1"/>
  <c r="H212" i="11"/>
  <c r="C329" i="11" s="1"/>
  <c r="H211" i="11"/>
  <c r="C327" i="11" s="1"/>
  <c r="H209" i="11"/>
  <c r="C328" i="11" s="1"/>
  <c r="H207" i="11"/>
  <c r="H205" i="11"/>
  <c r="C314" i="11" s="1"/>
  <c r="H204" i="11"/>
  <c r="C312" i="11" s="1"/>
  <c r="H203" i="11"/>
  <c r="C311" i="11" s="1"/>
  <c r="H195" i="11"/>
  <c r="H191" i="11"/>
  <c r="H190" i="11"/>
  <c r="C306" i="11" s="1"/>
  <c r="H189" i="11"/>
  <c r="H199" i="11"/>
  <c r="H188" i="11"/>
  <c r="H186" i="11"/>
  <c r="H185" i="11"/>
  <c r="H184" i="11"/>
  <c r="H182" i="11"/>
  <c r="H181" i="11"/>
  <c r="H180" i="11"/>
  <c r="H179" i="11"/>
  <c r="H178" i="11"/>
  <c r="C444" i="11" s="1"/>
  <c r="H176" i="11"/>
  <c r="H175" i="11"/>
  <c r="H174" i="11"/>
  <c r="H173" i="11"/>
  <c r="C430" i="11" s="1"/>
  <c r="H172" i="11"/>
  <c r="H171" i="11"/>
  <c r="H170" i="11"/>
  <c r="H169" i="11"/>
  <c r="H163" i="11"/>
  <c r="H160" i="11"/>
  <c r="H157" i="11"/>
  <c r="C417" i="11" s="1"/>
  <c r="H155" i="11"/>
  <c r="H154" i="11"/>
  <c r="H153" i="11"/>
  <c r="H152" i="11"/>
  <c r="C412" i="11" s="1"/>
  <c r="H149" i="11"/>
  <c r="H148" i="11"/>
  <c r="H147" i="11"/>
  <c r="C406" i="11" s="1"/>
  <c r="H146" i="11"/>
  <c r="H145" i="11"/>
  <c r="C397" i="11" s="1"/>
  <c r="C404" i="11" s="1"/>
  <c r="H144" i="11"/>
  <c r="C396" i="11" s="1"/>
  <c r="H143" i="11"/>
  <c r="H142" i="11"/>
  <c r="H141" i="11"/>
  <c r="H139" i="11"/>
  <c r="C392" i="11" s="1"/>
  <c r="H136" i="11"/>
  <c r="C373" i="11" s="1"/>
  <c r="H135" i="11"/>
  <c r="H134" i="11"/>
  <c r="H133" i="11"/>
  <c r="H132" i="11"/>
  <c r="H131" i="11"/>
  <c r="H130" i="11"/>
  <c r="H129" i="11"/>
  <c r="H128" i="11"/>
  <c r="H126" i="11"/>
  <c r="H125" i="11"/>
  <c r="H124" i="11"/>
  <c r="H122" i="11"/>
  <c r="H121" i="11"/>
  <c r="H119" i="11"/>
  <c r="C363" i="11" s="1"/>
  <c r="H116" i="11"/>
  <c r="C355" i="11" s="1"/>
  <c r="H113" i="11"/>
  <c r="H111" i="11"/>
  <c r="C340" i="11" s="1"/>
  <c r="H110" i="11"/>
  <c r="C339" i="11" s="1"/>
  <c r="H109" i="11"/>
  <c r="H108" i="11"/>
  <c r="H106" i="11"/>
  <c r="H105" i="11"/>
  <c r="H104" i="11"/>
  <c r="H103" i="11"/>
  <c r="H102" i="11"/>
  <c r="H101" i="11"/>
  <c r="H100" i="11"/>
  <c r="H99" i="11"/>
  <c r="H98" i="11"/>
  <c r="H96" i="11"/>
  <c r="H95" i="11"/>
  <c r="H94" i="11"/>
  <c r="H93" i="11"/>
  <c r="H91" i="11"/>
  <c r="H90" i="11"/>
  <c r="C338" i="11" s="1"/>
  <c r="H88" i="11"/>
  <c r="H87" i="11"/>
  <c r="H85" i="11"/>
  <c r="H84" i="11"/>
  <c r="C335" i="11" s="1"/>
  <c r="H83" i="11"/>
  <c r="C334" i="11" s="1"/>
  <c r="H82" i="11"/>
  <c r="C333" i="11" s="1"/>
  <c r="H81" i="11"/>
  <c r="H80" i="11"/>
  <c r="H79" i="11"/>
  <c r="H78" i="11"/>
  <c r="H77" i="11"/>
  <c r="H76" i="11"/>
  <c r="H74" i="11"/>
  <c r="H73" i="11"/>
  <c r="H71" i="11"/>
  <c r="H70" i="11"/>
  <c r="H69" i="11"/>
  <c r="H67" i="11"/>
  <c r="H66" i="11"/>
  <c r="H65" i="11"/>
  <c r="H63" i="11"/>
  <c r="H62" i="11"/>
  <c r="H61" i="11"/>
  <c r="H60" i="11"/>
  <c r="C325" i="11" s="1"/>
  <c r="H58" i="11"/>
  <c r="C321" i="11" s="1"/>
  <c r="H55" i="11"/>
  <c r="H54" i="11"/>
  <c r="H53" i="11"/>
  <c r="H52" i="11"/>
  <c r="H51" i="11"/>
  <c r="H48" i="11"/>
  <c r="H46" i="11"/>
  <c r="H43" i="11"/>
  <c r="H42" i="11"/>
  <c r="H41" i="11"/>
  <c r="H40" i="11"/>
  <c r="C309" i="11" s="1"/>
  <c r="H36" i="11"/>
  <c r="H34" i="11"/>
  <c r="H33" i="11"/>
  <c r="C308" i="11" s="1"/>
  <c r="H32" i="11"/>
  <c r="H31" i="11"/>
  <c r="H29" i="11"/>
  <c r="C307" i="11" s="1"/>
  <c r="H28" i="11"/>
  <c r="H27" i="11"/>
  <c r="H25" i="11"/>
  <c r="H23" i="11"/>
  <c r="H19" i="11"/>
  <c r="H16" i="11"/>
  <c r="H15" i="11"/>
  <c r="H14" i="11"/>
  <c r="C304" i="11" s="1"/>
  <c r="C449" i="11" s="1"/>
  <c r="H13" i="11"/>
  <c r="H12" i="11"/>
  <c r="H10" i="11"/>
  <c r="H8" i="11"/>
  <c r="H6" i="11"/>
  <c r="H4" i="11"/>
  <c r="H3" i="11"/>
  <c r="H49" i="3"/>
  <c r="H321" i="3"/>
  <c r="H171" i="3"/>
  <c r="H88" i="3"/>
  <c r="H317" i="3"/>
  <c r="H307" i="3"/>
  <c r="H48" i="3"/>
  <c r="H244" i="3"/>
  <c r="H100" i="3"/>
  <c r="H232" i="3"/>
  <c r="H234" i="3"/>
  <c r="H35" i="3"/>
  <c r="C666" i="6" l="1"/>
  <c r="C667" i="6"/>
  <c r="C707" i="6"/>
  <c r="C733" i="6"/>
  <c r="C691" i="6"/>
  <c r="C696" i="6" s="1"/>
  <c r="C694" i="6" s="1"/>
  <c r="C751" i="6" s="1"/>
  <c r="C639" i="6"/>
  <c r="C592" i="6"/>
  <c r="C704" i="6"/>
  <c r="C731" i="6" s="1"/>
  <c r="C727" i="6"/>
  <c r="C734" i="6" s="1"/>
  <c r="C600" i="6"/>
  <c r="C634" i="6"/>
  <c r="C650" i="6"/>
  <c r="C612" i="6"/>
  <c r="C645" i="6" s="1"/>
  <c r="C623" i="6"/>
  <c r="C648" i="6"/>
  <c r="C602" i="6"/>
  <c r="C607" i="6"/>
  <c r="C718" i="6"/>
  <c r="C735" i="6" s="1"/>
  <c r="C671" i="6"/>
  <c r="C710" i="6"/>
  <c r="C630" i="6"/>
  <c r="C699" i="6"/>
  <c r="C690" i="6"/>
  <c r="C697" i="6" s="1"/>
  <c r="C722" i="6"/>
  <c r="C591" i="6"/>
  <c r="C642" i="6" s="1"/>
  <c r="C598" i="6"/>
  <c r="C626" i="6"/>
  <c r="C608" i="6"/>
  <c r="C646" i="6" s="1"/>
  <c r="C619" i="6"/>
  <c r="C654" i="6"/>
  <c r="C712" i="6"/>
  <c r="C635" i="6"/>
  <c r="C743" i="6" s="1"/>
  <c r="C746" i="6" s="1"/>
  <c r="C353" i="11"/>
  <c r="C437" i="11"/>
  <c r="C352" i="11"/>
  <c r="C349" i="11"/>
  <c r="C350" i="11"/>
  <c r="C390" i="11"/>
  <c r="C438" i="11"/>
  <c r="C442" i="11" s="1"/>
  <c r="C435" i="11" s="1"/>
  <c r="C458" i="11" s="1"/>
  <c r="C351" i="11"/>
  <c r="C386" i="11"/>
  <c r="C403" i="11"/>
  <c r="C388" i="11"/>
  <c r="C385" i="11" s="1"/>
  <c r="C456" i="11" s="1"/>
  <c r="C347" i="11"/>
  <c r="C402" i="11"/>
  <c r="C399" i="11" s="1"/>
  <c r="C457" i="11" s="1"/>
  <c r="C439" i="11"/>
  <c r="C400" i="11"/>
  <c r="C440" i="11"/>
  <c r="C452" i="11"/>
  <c r="C348" i="11"/>
  <c r="H112" i="3"/>
  <c r="C681" i="6" l="1"/>
  <c r="C680" i="6" s="1"/>
  <c r="C750" i="6" s="1"/>
  <c r="C644" i="6"/>
  <c r="C643" i="6" s="1"/>
  <c r="C647" i="6"/>
  <c r="C732" i="6"/>
  <c r="C737" i="6" s="1"/>
  <c r="C730" i="6" s="1"/>
  <c r="C752" i="6" s="1"/>
  <c r="C450" i="11"/>
  <c r="C455" i="11"/>
  <c r="C446" i="11"/>
  <c r="C453" i="11" s="1"/>
  <c r="H87" i="3"/>
  <c r="H86" i="3"/>
  <c r="H91" i="3"/>
  <c r="H90" i="3"/>
  <c r="H327" i="3"/>
  <c r="H113" i="3"/>
  <c r="H331" i="3"/>
  <c r="H197" i="3"/>
  <c r="H190" i="3"/>
  <c r="H143" i="3"/>
  <c r="H219" i="3"/>
  <c r="H335" i="3"/>
  <c r="H217" i="3"/>
  <c r="H152" i="3"/>
  <c r="H214" i="3"/>
  <c r="H220" i="3"/>
  <c r="H195" i="3"/>
  <c r="C472" i="3" s="1"/>
  <c r="H198" i="3"/>
  <c r="C474" i="3" s="1"/>
  <c r="H207" i="3"/>
  <c r="H208" i="3"/>
  <c r="H202" i="3"/>
  <c r="C477" i="3" s="1"/>
  <c r="H188" i="3"/>
  <c r="C464" i="3" s="1"/>
  <c r="H26" i="3"/>
  <c r="H28" i="3"/>
  <c r="H29" i="3"/>
  <c r="H33" i="3"/>
  <c r="H36" i="3"/>
  <c r="H45" i="3"/>
  <c r="H44" i="3"/>
  <c r="H81" i="3"/>
  <c r="H169" i="3"/>
  <c r="H168" i="3"/>
  <c r="C445" i="3" s="1"/>
  <c r="H180" i="3"/>
  <c r="H177" i="3"/>
  <c r="H50" i="3"/>
  <c r="C380" i="3" s="1"/>
  <c r="H74" i="3"/>
  <c r="C387" i="3" s="1"/>
  <c r="H12" i="3"/>
  <c r="H79" i="3"/>
  <c r="H55" i="3"/>
  <c r="H37" i="3"/>
  <c r="H83" i="3"/>
  <c r="C392" i="3" s="1"/>
  <c r="C749" i="6" l="1"/>
  <c r="C741" i="6"/>
  <c r="C747" i="6" s="1"/>
  <c r="C744" i="6"/>
  <c r="H118" i="3"/>
  <c r="C396" i="3" s="1"/>
  <c r="H111" i="3"/>
  <c r="H241" i="3" l="1"/>
  <c r="H280" i="3"/>
  <c r="H251" i="3"/>
  <c r="H242" i="3"/>
  <c r="H21" i="3"/>
  <c r="H19" i="3"/>
  <c r="H20" i="3"/>
  <c r="H126" i="3"/>
  <c r="H163" i="3"/>
  <c r="H313" i="3"/>
  <c r="H305" i="3"/>
  <c r="H121" i="3"/>
  <c r="H150" i="3"/>
  <c r="H136" i="3"/>
  <c r="H135" i="3"/>
  <c r="H162" i="3"/>
  <c r="C431" i="3" s="1"/>
  <c r="H247" i="3" l="1"/>
  <c r="H246" i="3"/>
  <c r="H77" i="3"/>
  <c r="H54" i="3"/>
  <c r="H9" i="3" l="1"/>
  <c r="H6" i="3"/>
  <c r="H165" i="3"/>
  <c r="H156" i="3"/>
  <c r="H166" i="3"/>
  <c r="H155" i="3"/>
  <c r="H235" i="3"/>
  <c r="C370" i="3" s="1"/>
  <c r="H178" i="3"/>
  <c r="H116" i="3"/>
  <c r="H59" i="3"/>
  <c r="H42" i="3"/>
  <c r="C374" i="3" s="1"/>
  <c r="H184" i="3"/>
  <c r="C462" i="3" s="1"/>
  <c r="H186" i="3"/>
  <c r="H285" i="3"/>
  <c r="H56" i="3"/>
  <c r="H53" i="3"/>
  <c r="H204" i="3"/>
  <c r="H23" i="3"/>
  <c r="H199" i="3"/>
  <c r="C475" i="3" s="1"/>
  <c r="H3" i="3"/>
  <c r="H196" i="3"/>
  <c r="C473" i="3" s="1"/>
  <c r="H185" i="3"/>
  <c r="H345" i="3"/>
  <c r="H339" i="3"/>
  <c r="H119" i="3"/>
  <c r="H72" i="3"/>
  <c r="H15" i="3"/>
  <c r="H95" i="3"/>
  <c r="H46" i="3"/>
  <c r="H43" i="3"/>
  <c r="H82" i="3"/>
  <c r="H71" i="3"/>
  <c r="C385" i="3" s="1"/>
  <c r="H80" i="3"/>
  <c r="H259" i="3"/>
  <c r="H348" i="3"/>
  <c r="H347" i="3"/>
  <c r="H315" i="3"/>
  <c r="H301" i="3"/>
  <c r="H300" i="3"/>
  <c r="H351" i="3"/>
  <c r="H252" i="3"/>
  <c r="H264" i="3"/>
  <c r="H262" i="3"/>
  <c r="H61" i="3"/>
  <c r="H60" i="3"/>
  <c r="H47" i="3"/>
  <c r="C377" i="3" s="1"/>
  <c r="H58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1" i="3"/>
  <c r="H282" i="3"/>
  <c r="H283" i="3"/>
  <c r="H284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2" i="3"/>
  <c r="H303" i="3"/>
  <c r="H304" i="3"/>
  <c r="H306" i="3"/>
  <c r="H308" i="3"/>
  <c r="H309" i="3"/>
  <c r="H310" i="3"/>
  <c r="H311" i="3"/>
  <c r="H312" i="3"/>
  <c r="H314" i="3"/>
  <c r="C412" i="3" s="1"/>
  <c r="H316" i="3"/>
  <c r="H318" i="3"/>
  <c r="H319" i="3"/>
  <c r="H320" i="3"/>
  <c r="H322" i="3"/>
  <c r="H323" i="3"/>
  <c r="C422" i="3" s="1"/>
  <c r="H324" i="3"/>
  <c r="H325" i="3"/>
  <c r="C420" i="3" s="1"/>
  <c r="H326" i="3"/>
  <c r="H328" i="3"/>
  <c r="C429" i="3" s="1"/>
  <c r="H329" i="3"/>
  <c r="H330" i="3"/>
  <c r="H332" i="3"/>
  <c r="H333" i="3"/>
  <c r="H334" i="3"/>
  <c r="H336" i="3"/>
  <c r="H337" i="3"/>
  <c r="H340" i="3"/>
  <c r="H341" i="3"/>
  <c r="H342" i="3"/>
  <c r="H343" i="3"/>
  <c r="H344" i="3"/>
  <c r="H346" i="3"/>
  <c r="H349" i="3"/>
  <c r="H350" i="3"/>
  <c r="H352" i="3"/>
  <c r="C485" i="3" s="1"/>
  <c r="H236" i="3"/>
  <c r="C375" i="3" s="1"/>
  <c r="H237" i="3"/>
  <c r="C378" i="3" s="1"/>
  <c r="H238" i="3"/>
  <c r="H239" i="3"/>
  <c r="C390" i="3" s="1"/>
  <c r="H240" i="3"/>
  <c r="H245" i="3"/>
  <c r="H243" i="3"/>
  <c r="H248" i="3"/>
  <c r="H249" i="3"/>
  <c r="H250" i="3"/>
  <c r="H253" i="3"/>
  <c r="H254" i="3"/>
  <c r="H255" i="3"/>
  <c r="H256" i="3"/>
  <c r="H257" i="3"/>
  <c r="H258" i="3"/>
  <c r="H260" i="3"/>
  <c r="H261" i="3"/>
  <c r="H263" i="3"/>
  <c r="H265" i="3"/>
  <c r="H76" i="3"/>
  <c r="H8" i="3"/>
  <c r="H233" i="3"/>
  <c r="C368" i="3" s="1"/>
  <c r="H114" i="3"/>
  <c r="H16" i="3"/>
  <c r="H130" i="3"/>
  <c r="H129" i="3"/>
  <c r="C419" i="3" s="1"/>
  <c r="H147" i="3"/>
  <c r="H230" i="3"/>
  <c r="H194" i="3"/>
  <c r="C470" i="3" s="1"/>
  <c r="H183" i="3"/>
  <c r="C460" i="3" s="1"/>
  <c r="H227" i="3"/>
  <c r="H226" i="3"/>
  <c r="C455" i="3" l="1"/>
  <c r="C398" i="3"/>
  <c r="C491" i="3"/>
  <c r="C453" i="3"/>
  <c r="C493" i="3"/>
  <c r="C265" i="10"/>
  <c r="C263" i="10"/>
  <c r="C220" i="10"/>
  <c r="C145" i="10"/>
  <c r="C142" i="10"/>
  <c r="H42" i="10"/>
  <c r="H43" i="10"/>
  <c r="H231" i="3"/>
  <c r="H229" i="3"/>
  <c r="H228" i="3"/>
  <c r="H225" i="3"/>
  <c r="H224" i="3"/>
  <c r="H223" i="3"/>
  <c r="H222" i="3"/>
  <c r="H221" i="3"/>
  <c r="C496" i="3" s="1"/>
  <c r="H218" i="3"/>
  <c r="H216" i="3"/>
  <c r="H215" i="3"/>
  <c r="C482" i="3" s="1"/>
  <c r="H213" i="3"/>
  <c r="H212" i="3"/>
  <c r="H211" i="3"/>
  <c r="H210" i="3"/>
  <c r="H209" i="3"/>
  <c r="H206" i="3"/>
  <c r="H205" i="3"/>
  <c r="H203" i="3"/>
  <c r="C478" i="3" s="1"/>
  <c r="C490" i="3" s="1"/>
  <c r="H201" i="3"/>
  <c r="H200" i="3"/>
  <c r="H193" i="3"/>
  <c r="C468" i="3" s="1"/>
  <c r="H192" i="3"/>
  <c r="H191" i="3"/>
  <c r="C467" i="3" s="1"/>
  <c r="H189" i="3"/>
  <c r="C465" i="3" s="1"/>
  <c r="H187" i="3"/>
  <c r="C463" i="3" s="1"/>
  <c r="H182" i="3"/>
  <c r="H181" i="3"/>
  <c r="C459" i="3" s="1"/>
  <c r="C488" i="3" s="1"/>
  <c r="H179" i="3"/>
  <c r="H176" i="3"/>
  <c r="C450" i="3" s="1"/>
  <c r="C457" i="3" s="1"/>
  <c r="H175" i="3"/>
  <c r="H174" i="3"/>
  <c r="H173" i="3"/>
  <c r="H172" i="3"/>
  <c r="H170" i="3"/>
  <c r="C447" i="3" s="1"/>
  <c r="C456" i="3" s="1"/>
  <c r="H167" i="3"/>
  <c r="C436" i="3" s="1"/>
  <c r="H164" i="3"/>
  <c r="C434" i="3" s="1"/>
  <c r="H161" i="3"/>
  <c r="H160" i="3"/>
  <c r="H159" i="3"/>
  <c r="H158" i="3"/>
  <c r="H157" i="3"/>
  <c r="C426" i="3" s="1"/>
  <c r="C443" i="3" s="1"/>
  <c r="H154" i="3"/>
  <c r="C425" i="3" s="1"/>
  <c r="H153" i="3"/>
  <c r="H151" i="3"/>
  <c r="H149" i="3"/>
  <c r="H148" i="3"/>
  <c r="H146" i="3"/>
  <c r="H145" i="3"/>
  <c r="H144" i="3"/>
  <c r="H142" i="3"/>
  <c r="H141" i="3"/>
  <c r="H140" i="3"/>
  <c r="H139" i="3"/>
  <c r="H138" i="3"/>
  <c r="H137" i="3"/>
  <c r="H134" i="3"/>
  <c r="H133" i="3"/>
  <c r="H132" i="3"/>
  <c r="C424" i="3" s="1"/>
  <c r="H131" i="3"/>
  <c r="C421" i="3" s="1"/>
  <c r="H128" i="3"/>
  <c r="C416" i="3" s="1"/>
  <c r="C441" i="3" s="1"/>
  <c r="H127" i="3"/>
  <c r="C413" i="3" s="1"/>
  <c r="H125" i="3"/>
  <c r="C411" i="3" s="1"/>
  <c r="C440" i="3" s="1"/>
  <c r="H124" i="3"/>
  <c r="H123" i="3"/>
  <c r="H122" i="3"/>
  <c r="H120" i="3"/>
  <c r="C408" i="3" s="1"/>
  <c r="C439" i="3" s="1"/>
  <c r="H117" i="3"/>
  <c r="H115" i="3"/>
  <c r="C395" i="3" s="1"/>
  <c r="H109" i="3"/>
  <c r="C394" i="3" s="1"/>
  <c r="H108" i="3"/>
  <c r="H107" i="3"/>
  <c r="H106" i="3"/>
  <c r="H105" i="3"/>
  <c r="H104" i="3"/>
  <c r="H103" i="3"/>
  <c r="H102" i="3"/>
  <c r="H101" i="3"/>
  <c r="H99" i="3"/>
  <c r="H98" i="3"/>
  <c r="H97" i="3"/>
  <c r="H96" i="3"/>
  <c r="H94" i="3"/>
  <c r="H93" i="3"/>
  <c r="H92" i="3"/>
  <c r="H89" i="3"/>
  <c r="H85" i="3"/>
  <c r="H84" i="3"/>
  <c r="C393" i="3" s="1"/>
  <c r="H78" i="3"/>
  <c r="H75" i="3"/>
  <c r="C388" i="3" s="1"/>
  <c r="H73" i="3"/>
  <c r="C386" i="3" s="1"/>
  <c r="H67" i="3"/>
  <c r="H66" i="3"/>
  <c r="H65" i="3"/>
  <c r="H64" i="3"/>
  <c r="C384" i="3" s="1"/>
  <c r="H57" i="3"/>
  <c r="C382" i="3" s="1"/>
  <c r="H52" i="3"/>
  <c r="H51" i="3"/>
  <c r="C381" i="3" s="1"/>
  <c r="H41" i="3"/>
  <c r="C372" i="3" s="1"/>
  <c r="C404" i="3" s="1"/>
  <c r="H40" i="3"/>
  <c r="H39" i="3"/>
  <c r="H38" i="3"/>
  <c r="C369" i="3" s="1"/>
  <c r="H34" i="3"/>
  <c r="H32" i="3"/>
  <c r="H31" i="3"/>
  <c r="H30" i="3"/>
  <c r="H27" i="3"/>
  <c r="C366" i="3" s="1"/>
  <c r="H25" i="3"/>
  <c r="H24" i="3"/>
  <c r="H22" i="3"/>
  <c r="C364" i="3" s="1"/>
  <c r="H18" i="3"/>
  <c r="H17" i="3"/>
  <c r="C363" i="3" s="1"/>
  <c r="C403" i="3" s="1"/>
  <c r="H14" i="3"/>
  <c r="C362" i="3" s="1"/>
  <c r="H13" i="3"/>
  <c r="C361" i="3" s="1"/>
  <c r="C402" i="3" s="1"/>
  <c r="H11" i="3"/>
  <c r="H10" i="3"/>
  <c r="H7" i="3"/>
  <c r="H5" i="3"/>
  <c r="H4" i="3"/>
  <c r="H2" i="3"/>
  <c r="C355" i="3" s="1"/>
  <c r="H52" i="10"/>
  <c r="H67" i="10"/>
  <c r="H4" i="10"/>
  <c r="H25" i="10"/>
  <c r="C159" i="10" s="1"/>
  <c r="H60" i="10"/>
  <c r="H18" i="10"/>
  <c r="H63" i="10"/>
  <c r="H62" i="10"/>
  <c r="C144" i="10" s="1"/>
  <c r="H45" i="10"/>
  <c r="H44" i="10"/>
  <c r="C175" i="10" s="1"/>
  <c r="H59" i="10"/>
  <c r="H96" i="10"/>
  <c r="H11" i="10"/>
  <c r="H124" i="10"/>
  <c r="C188" i="10" s="1"/>
  <c r="H13" i="10"/>
  <c r="H75" i="10"/>
  <c r="H69" i="10"/>
  <c r="H50" i="10"/>
  <c r="C205" i="10" s="1"/>
  <c r="H128" i="10"/>
  <c r="H103" i="10"/>
  <c r="H41" i="10"/>
  <c r="H98" i="10"/>
  <c r="H97" i="10"/>
  <c r="H116" i="10"/>
  <c r="H51" i="10"/>
  <c r="C226" i="10" s="1"/>
  <c r="C233" i="10" s="1"/>
  <c r="H109" i="10"/>
  <c r="H111" i="10"/>
  <c r="H31" i="10"/>
  <c r="H74" i="10"/>
  <c r="H33" i="10"/>
  <c r="H99" i="10"/>
  <c r="H71" i="10"/>
  <c r="C155" i="10" s="1"/>
  <c r="H119" i="10"/>
  <c r="C219" i="10" s="1"/>
  <c r="H9" i="10"/>
  <c r="H306" i="5"/>
  <c r="H136" i="10"/>
  <c r="H135" i="10"/>
  <c r="H134" i="10"/>
  <c r="H133" i="10"/>
  <c r="H132" i="10"/>
  <c r="C264" i="10" s="1"/>
  <c r="H131" i="10"/>
  <c r="H130" i="10"/>
  <c r="C261" i="10" s="1"/>
  <c r="H129" i="10"/>
  <c r="H127" i="10"/>
  <c r="H126" i="10"/>
  <c r="H125" i="10"/>
  <c r="C199" i="10" s="1"/>
  <c r="H123" i="10"/>
  <c r="H122" i="10"/>
  <c r="H121" i="10"/>
  <c r="H120" i="10"/>
  <c r="C221" i="10" s="1"/>
  <c r="H118" i="10"/>
  <c r="H117" i="10"/>
  <c r="H115" i="10"/>
  <c r="H114" i="10"/>
  <c r="C231" i="10" s="1"/>
  <c r="H113" i="10"/>
  <c r="C234" i="10" s="1"/>
  <c r="H112" i="10"/>
  <c r="H110" i="10"/>
  <c r="H108" i="10"/>
  <c r="H107" i="10"/>
  <c r="H106" i="10"/>
  <c r="H105" i="10"/>
  <c r="H104" i="10"/>
  <c r="H102" i="10"/>
  <c r="H101" i="10"/>
  <c r="H100" i="10"/>
  <c r="H95" i="10"/>
  <c r="H94" i="10"/>
  <c r="H93" i="10"/>
  <c r="H92" i="10"/>
  <c r="H91" i="10"/>
  <c r="H90" i="10"/>
  <c r="H89" i="10"/>
  <c r="H88" i="10"/>
  <c r="H87" i="10"/>
  <c r="H86" i="10"/>
  <c r="H85" i="10"/>
  <c r="H84" i="10"/>
  <c r="H83" i="10"/>
  <c r="C176" i="10" s="1"/>
  <c r="H82" i="10"/>
  <c r="H81" i="10"/>
  <c r="H80" i="10"/>
  <c r="H79" i="10"/>
  <c r="H78" i="10"/>
  <c r="C173" i="10" s="1"/>
  <c r="H77" i="10"/>
  <c r="C171" i="10" s="1"/>
  <c r="H76" i="10"/>
  <c r="H73" i="10"/>
  <c r="C160" i="10" s="1"/>
  <c r="H72" i="10"/>
  <c r="H70" i="10"/>
  <c r="C153" i="10" s="1"/>
  <c r="H68" i="10"/>
  <c r="C152" i="10" s="1"/>
  <c r="H66" i="10"/>
  <c r="H65" i="10"/>
  <c r="H64" i="10"/>
  <c r="C146" i="10" s="1"/>
  <c r="H61" i="10"/>
  <c r="H58" i="10"/>
  <c r="H57" i="10"/>
  <c r="H56" i="10"/>
  <c r="H55" i="10"/>
  <c r="C268" i="10" s="1"/>
  <c r="H54" i="10"/>
  <c r="C253" i="10" s="1"/>
  <c r="C262" i="10" s="1"/>
  <c r="C267" i="10" s="1"/>
  <c r="H53" i="10"/>
  <c r="C227" i="10" s="1"/>
  <c r="C232" i="10" s="1"/>
  <c r="H49" i="10"/>
  <c r="H48" i="10"/>
  <c r="H47" i="10"/>
  <c r="H46" i="10"/>
  <c r="C204" i="10" s="1"/>
  <c r="H40" i="10"/>
  <c r="H39" i="10"/>
  <c r="H38" i="10"/>
  <c r="H37" i="10"/>
  <c r="H36" i="10"/>
  <c r="H35" i="10"/>
  <c r="H34" i="10"/>
  <c r="C174" i="10" s="1"/>
  <c r="H32" i="10"/>
  <c r="H30" i="10"/>
  <c r="C167" i="10" s="1"/>
  <c r="H29" i="10"/>
  <c r="H28" i="10"/>
  <c r="C165" i="10" s="1"/>
  <c r="H27" i="10"/>
  <c r="H26" i="10"/>
  <c r="C162" i="10" s="1"/>
  <c r="H24" i="10"/>
  <c r="C158" i="10" s="1"/>
  <c r="H23" i="10"/>
  <c r="C154" i="10" s="1"/>
  <c r="H22" i="10"/>
  <c r="H21" i="10"/>
  <c r="H20" i="10"/>
  <c r="C150" i="10" s="1"/>
  <c r="H19" i="10"/>
  <c r="H16" i="10"/>
  <c r="C148" i="10" s="1"/>
  <c r="H15" i="10"/>
  <c r="H14" i="10"/>
  <c r="C147" i="10" s="1"/>
  <c r="H12" i="10"/>
  <c r="H10" i="10"/>
  <c r="H8" i="10"/>
  <c r="H7" i="10"/>
  <c r="H17" i="10"/>
  <c r="C149" i="10" s="1"/>
  <c r="H6" i="10"/>
  <c r="H5" i="10"/>
  <c r="H3" i="10"/>
  <c r="C143" i="10" s="1"/>
  <c r="H2" i="10"/>
  <c r="C139" i="10" s="1"/>
  <c r="H194" i="5"/>
  <c r="H46" i="5"/>
  <c r="H124" i="5"/>
  <c r="H20" i="5"/>
  <c r="H49" i="5"/>
  <c r="H33" i="5"/>
  <c r="H16" i="5"/>
  <c r="H72" i="5"/>
  <c r="H198" i="5"/>
  <c r="H15" i="5"/>
  <c r="H55" i="5"/>
  <c r="H182" i="5"/>
  <c r="H54" i="5"/>
  <c r="H59" i="5"/>
  <c r="H63" i="5"/>
  <c r="C350" i="5" s="1"/>
  <c r="H92" i="5"/>
  <c r="H56" i="5"/>
  <c r="H70" i="5"/>
  <c r="H256" i="5"/>
  <c r="H310" i="5"/>
  <c r="H177" i="5"/>
  <c r="H171" i="5"/>
  <c r="H136" i="5"/>
  <c r="C379" i="5" s="1"/>
  <c r="H85" i="5"/>
  <c r="H18" i="5"/>
  <c r="H245" i="5"/>
  <c r="C344" i="5" s="1"/>
  <c r="H8" i="5"/>
  <c r="H180" i="5"/>
  <c r="H153" i="5"/>
  <c r="C384" i="5" s="1"/>
  <c r="H212" i="5"/>
  <c r="C427" i="5" s="1"/>
  <c r="H208" i="5"/>
  <c r="C423" i="5" s="1"/>
  <c r="H93" i="5"/>
  <c r="C357" i="5" s="1"/>
  <c r="H167" i="5"/>
  <c r="H223" i="5"/>
  <c r="C433" i="5" s="1"/>
  <c r="C445" i="5" s="1"/>
  <c r="H197" i="5"/>
  <c r="H207" i="5"/>
  <c r="C422" i="5" s="1"/>
  <c r="H309" i="5"/>
  <c r="H211" i="5"/>
  <c r="C425" i="5" s="1"/>
  <c r="H43" i="5"/>
  <c r="C341" i="5" s="1"/>
  <c r="H4" i="5"/>
  <c r="C320" i="5" s="1"/>
  <c r="H27" i="5"/>
  <c r="H65" i="5"/>
  <c r="H2" i="5"/>
  <c r="H215" i="5"/>
  <c r="C430" i="5" s="1"/>
  <c r="H206" i="5"/>
  <c r="H201" i="5"/>
  <c r="H184" i="5"/>
  <c r="H119" i="5"/>
  <c r="H125" i="5"/>
  <c r="C371" i="5" s="1"/>
  <c r="H137" i="5"/>
  <c r="H28" i="5"/>
  <c r="H195" i="5"/>
  <c r="C417" i="5" s="1"/>
  <c r="H225" i="5"/>
  <c r="H19" i="5"/>
  <c r="H17" i="5"/>
  <c r="H266" i="5"/>
  <c r="H165" i="5"/>
  <c r="H166" i="5"/>
  <c r="H168" i="5"/>
  <c r="H169" i="5"/>
  <c r="C393" i="5" s="1"/>
  <c r="H170" i="5"/>
  <c r="C356" i="5" s="1"/>
  <c r="H172" i="5"/>
  <c r="H173" i="5"/>
  <c r="C403" i="5" s="1"/>
  <c r="H174" i="5"/>
  <c r="H175" i="5"/>
  <c r="C404" i="5" s="1"/>
  <c r="H176" i="5"/>
  <c r="H178" i="5"/>
  <c r="H179" i="5"/>
  <c r="H181" i="5"/>
  <c r="C406" i="5" s="1"/>
  <c r="H183" i="5"/>
  <c r="H185" i="5"/>
  <c r="H186" i="5"/>
  <c r="H187" i="5"/>
  <c r="H188" i="5"/>
  <c r="H189" i="5"/>
  <c r="H190" i="5"/>
  <c r="H191" i="5"/>
  <c r="H192" i="5"/>
  <c r="H193" i="5"/>
  <c r="H196" i="5"/>
  <c r="H199" i="5"/>
  <c r="H200" i="5"/>
  <c r="H202" i="5"/>
  <c r="H203" i="5"/>
  <c r="H204" i="5"/>
  <c r="H205" i="5"/>
  <c r="H209" i="5"/>
  <c r="C424" i="5" s="1"/>
  <c r="H210" i="5"/>
  <c r="H213" i="5"/>
  <c r="H214" i="5"/>
  <c r="H216" i="5"/>
  <c r="H217" i="5"/>
  <c r="H218" i="5"/>
  <c r="H219" i="5"/>
  <c r="H220" i="5"/>
  <c r="H221" i="5"/>
  <c r="H222" i="5"/>
  <c r="H224" i="5"/>
  <c r="C434" i="5" s="1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C337" i="5" s="1"/>
  <c r="H243" i="5"/>
  <c r="H244" i="5"/>
  <c r="H246" i="5"/>
  <c r="H247" i="5"/>
  <c r="H248" i="5"/>
  <c r="H249" i="5"/>
  <c r="H250" i="5"/>
  <c r="H251" i="5"/>
  <c r="H252" i="5"/>
  <c r="H253" i="5"/>
  <c r="H254" i="5"/>
  <c r="H255" i="5"/>
  <c r="H257" i="5"/>
  <c r="H258" i="5"/>
  <c r="H259" i="5"/>
  <c r="H260" i="5"/>
  <c r="H261" i="5"/>
  <c r="H262" i="5"/>
  <c r="H263" i="5"/>
  <c r="H264" i="5"/>
  <c r="H265" i="5"/>
  <c r="H267" i="5"/>
  <c r="H268" i="5"/>
  <c r="H269" i="5"/>
  <c r="H270" i="5"/>
  <c r="H271" i="5"/>
  <c r="H272" i="5"/>
  <c r="H273" i="5"/>
  <c r="H274" i="5"/>
  <c r="H275" i="5"/>
  <c r="C413" i="5" s="1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1" i="5"/>
  <c r="H292" i="5"/>
  <c r="H293" i="5"/>
  <c r="H294" i="5"/>
  <c r="H295" i="5"/>
  <c r="H296" i="5"/>
  <c r="H290" i="5"/>
  <c r="H297" i="5"/>
  <c r="H298" i="5"/>
  <c r="H299" i="5"/>
  <c r="H300" i="5"/>
  <c r="H301" i="5"/>
  <c r="H302" i="5"/>
  <c r="H303" i="5"/>
  <c r="H304" i="5"/>
  <c r="H305" i="5"/>
  <c r="H307" i="5"/>
  <c r="H308" i="5"/>
  <c r="H311" i="5"/>
  <c r="H312" i="5"/>
  <c r="H313" i="5"/>
  <c r="H314" i="5"/>
  <c r="H164" i="5"/>
  <c r="H91" i="5"/>
  <c r="H86" i="5"/>
  <c r="H84" i="5"/>
  <c r="H162" i="5"/>
  <c r="H104" i="5"/>
  <c r="H116" i="5"/>
  <c r="H127" i="5"/>
  <c r="C374" i="5" s="1"/>
  <c r="H163" i="5"/>
  <c r="H161" i="5"/>
  <c r="C387" i="5" s="1"/>
  <c r="H32" i="5"/>
  <c r="H26" i="5"/>
  <c r="H138" i="5"/>
  <c r="H45" i="5"/>
  <c r="H53" i="5"/>
  <c r="H50" i="5"/>
  <c r="C365" i="3" l="1"/>
  <c r="C371" i="3"/>
  <c r="C410" i="3"/>
  <c r="C442" i="3" s="1"/>
  <c r="C449" i="3"/>
  <c r="C454" i="3" s="1"/>
  <c r="C452" i="3" s="1"/>
  <c r="C509" i="3" s="1"/>
  <c r="C476" i="3"/>
  <c r="C492" i="3" s="1"/>
  <c r="C438" i="3"/>
  <c r="C508" i="3" s="1"/>
  <c r="C359" i="3"/>
  <c r="C406" i="3" s="1"/>
  <c r="C405" i="3"/>
  <c r="C401" i="3" s="1"/>
  <c r="C501" i="3"/>
  <c r="C504" i="3" s="1"/>
  <c r="C479" i="3"/>
  <c r="C489" i="3" s="1"/>
  <c r="C494" i="3" s="1"/>
  <c r="C180" i="10"/>
  <c r="C185" i="10"/>
  <c r="C186" i="10"/>
  <c r="C272" i="10"/>
  <c r="C275" i="10" s="1"/>
  <c r="C183" i="10"/>
  <c r="C260" i="10"/>
  <c r="C281" i="10" s="1"/>
  <c r="C218" i="10"/>
  <c r="C184" i="10"/>
  <c r="C217" i="10"/>
  <c r="C279" i="10" s="1"/>
  <c r="C182" i="10"/>
  <c r="C181" i="10" s="1"/>
  <c r="C230" i="10"/>
  <c r="C280" i="10" s="1"/>
  <c r="C390" i="5"/>
  <c r="C416" i="5"/>
  <c r="C419" i="5"/>
  <c r="C418" i="5"/>
  <c r="C448" i="5"/>
  <c r="C431" i="5"/>
  <c r="C441" i="5" s="1"/>
  <c r="C317" i="5"/>
  <c r="C442" i="5"/>
  <c r="C388" i="5"/>
  <c r="C412" i="5"/>
  <c r="C411" i="5"/>
  <c r="C415" i="5"/>
  <c r="C405" i="5"/>
  <c r="C410" i="5" s="1"/>
  <c r="C380" i="5"/>
  <c r="C402" i="5"/>
  <c r="C409" i="5" s="1"/>
  <c r="C428" i="5"/>
  <c r="C444" i="5" s="1"/>
  <c r="C443" i="5"/>
  <c r="H58" i="5"/>
  <c r="H98" i="5"/>
  <c r="H157" i="5"/>
  <c r="C502" i="3" l="1"/>
  <c r="C507" i="3"/>
  <c r="C498" i="3"/>
  <c r="C505" i="3" s="1"/>
  <c r="C400" i="3"/>
  <c r="C487" i="3"/>
  <c r="C510" i="3" s="1"/>
  <c r="C273" i="10"/>
  <c r="C278" i="10"/>
  <c r="C270" i="10"/>
  <c r="C276" i="10" s="1"/>
  <c r="C446" i="5"/>
  <c r="C440" i="5"/>
  <c r="C408" i="5"/>
  <c r="C460" i="5" s="1"/>
  <c r="H106" i="5"/>
  <c r="H158" i="5"/>
  <c r="H129" i="5"/>
  <c r="H120" i="5"/>
  <c r="H110" i="5"/>
  <c r="H111" i="5"/>
  <c r="H96" i="5"/>
  <c r="H160" i="5"/>
  <c r="H156" i="5"/>
  <c r="H140" i="5"/>
  <c r="H154" i="5"/>
  <c r="H155" i="5"/>
  <c r="H135" i="5"/>
  <c r="H131" i="5"/>
  <c r="H128" i="5"/>
  <c r="H99" i="5"/>
  <c r="H100" i="5"/>
  <c r="H107" i="5"/>
  <c r="H103" i="5"/>
  <c r="H101" i="5"/>
  <c r="H105" i="5"/>
  <c r="H22" i="5"/>
  <c r="H21" i="5"/>
  <c r="H9" i="5"/>
  <c r="C322" i="5" s="1"/>
  <c r="H44" i="5"/>
  <c r="C342" i="5" s="1"/>
  <c r="H151" i="5"/>
  <c r="H126" i="5"/>
  <c r="C372" i="5" s="1"/>
  <c r="H148" i="5"/>
  <c r="H108" i="5"/>
  <c r="H30" i="5"/>
  <c r="H37" i="5"/>
  <c r="C335" i="5" s="1"/>
  <c r="C385" i="5" l="1"/>
  <c r="C439" i="5"/>
  <c r="C461" i="5" s="1"/>
  <c r="H38" i="5"/>
  <c r="C336" i="5" s="1"/>
  <c r="H89" i="5"/>
  <c r="H25" i="5"/>
  <c r="H57" i="5"/>
  <c r="C347" i="5" s="1"/>
  <c r="H23" i="5"/>
  <c r="H130" i="5"/>
  <c r="H60" i="5"/>
  <c r="H88" i="5"/>
  <c r="H90" i="5"/>
  <c r="H94" i="5"/>
  <c r="H3" i="5"/>
  <c r="C319" i="5" s="1"/>
  <c r="H5" i="5"/>
  <c r="H6" i="5"/>
  <c r="H7" i="5"/>
  <c r="H10" i="5"/>
  <c r="C324" i="5" s="1"/>
  <c r="H11" i="5"/>
  <c r="C325" i="5" s="1"/>
  <c r="H12" i="5"/>
  <c r="H13" i="5"/>
  <c r="H14" i="5"/>
  <c r="H24" i="5"/>
  <c r="H29" i="5"/>
  <c r="H31" i="5"/>
  <c r="H34" i="5"/>
  <c r="C331" i="5" s="1"/>
  <c r="H35" i="5"/>
  <c r="C332" i="5" s="1"/>
  <c r="H36" i="5"/>
  <c r="C333" i="5" s="1"/>
  <c r="H39" i="5"/>
  <c r="C338" i="5" s="1"/>
  <c r="H40" i="5"/>
  <c r="H41" i="5"/>
  <c r="H42" i="5"/>
  <c r="H47" i="5"/>
  <c r="H48" i="5"/>
  <c r="H51" i="5"/>
  <c r="H52" i="5"/>
  <c r="C345" i="5" s="1"/>
  <c r="H61" i="5"/>
  <c r="H62" i="5"/>
  <c r="H64" i="5"/>
  <c r="C351" i="5" s="1"/>
  <c r="H66" i="5"/>
  <c r="H67" i="5"/>
  <c r="H68" i="5"/>
  <c r="H69" i="5"/>
  <c r="H71" i="5"/>
  <c r="H73" i="5"/>
  <c r="H74" i="5"/>
  <c r="H75" i="5"/>
  <c r="H76" i="5"/>
  <c r="H77" i="5"/>
  <c r="H78" i="5"/>
  <c r="H79" i="5"/>
  <c r="H80" i="5"/>
  <c r="H81" i="5"/>
  <c r="H82" i="5"/>
  <c r="H83" i="5"/>
  <c r="H87" i="5"/>
  <c r="H95" i="5"/>
  <c r="H97" i="5"/>
  <c r="H102" i="5"/>
  <c r="C367" i="5" s="1"/>
  <c r="C399" i="5" s="1"/>
  <c r="H109" i="5"/>
  <c r="H112" i="5"/>
  <c r="H113" i="5"/>
  <c r="H114" i="5"/>
  <c r="H115" i="5"/>
  <c r="H117" i="5"/>
  <c r="H118" i="5"/>
  <c r="H121" i="5"/>
  <c r="H122" i="5"/>
  <c r="H123" i="5"/>
  <c r="H132" i="5"/>
  <c r="H133" i="5"/>
  <c r="C378" i="5" s="1"/>
  <c r="C398" i="5" s="1"/>
  <c r="H134" i="5"/>
  <c r="H139" i="5"/>
  <c r="H141" i="5"/>
  <c r="H142" i="5"/>
  <c r="H143" i="5"/>
  <c r="H144" i="5"/>
  <c r="H145" i="5"/>
  <c r="H146" i="5"/>
  <c r="H147" i="5"/>
  <c r="H149" i="5"/>
  <c r="H150" i="5"/>
  <c r="H152" i="5"/>
  <c r="C383" i="5" s="1"/>
  <c r="C400" i="5" s="1"/>
  <c r="H159" i="5"/>
  <c r="C386" i="5" s="1"/>
  <c r="C321" i="5" l="1"/>
  <c r="C340" i="5"/>
  <c r="C376" i="5"/>
  <c r="C353" i="5"/>
  <c r="C327" i="5"/>
  <c r="C370" i="5"/>
  <c r="C397" i="5" s="1"/>
  <c r="C369" i="5"/>
  <c r="C352" i="5"/>
  <c r="C328" i="5"/>
  <c r="C360" i="5"/>
  <c r="C349" i="5"/>
  <c r="C361" i="5" s="1"/>
  <c r="C382" i="5"/>
  <c r="C381" i="5"/>
  <c r="C343" i="5"/>
  <c r="C326" i="5"/>
  <c r="C363" i="5" s="1"/>
  <c r="C365" i="5"/>
  <c r="C354" i="5"/>
  <c r="C452" i="5" s="1"/>
  <c r="C455" i="5" s="1"/>
  <c r="H189" i="4"/>
  <c r="C362" i="5" l="1"/>
  <c r="C396" i="5"/>
  <c r="C395" i="5" s="1"/>
  <c r="C459" i="5" s="1"/>
  <c r="C359" i="5"/>
  <c r="C358" i="5" s="1"/>
  <c r="H105" i="4"/>
  <c r="H104" i="4"/>
  <c r="H95" i="4"/>
  <c r="H96" i="4"/>
  <c r="H278" i="4"/>
  <c r="H139" i="4"/>
  <c r="H137" i="4"/>
  <c r="H138" i="4"/>
  <c r="C453" i="5" l="1"/>
  <c r="C458" i="5"/>
  <c r="C450" i="5"/>
  <c r="H155" i="2"/>
  <c r="C456" i="5" l="1"/>
  <c r="H141" i="4"/>
  <c r="C365" i="4" s="1"/>
  <c r="H275" i="4"/>
  <c r="H145" i="4"/>
  <c r="H263" i="4"/>
  <c r="H258" i="4"/>
  <c r="H262" i="4"/>
  <c r="H257" i="4"/>
  <c r="H146" i="4"/>
  <c r="H261" i="4"/>
  <c r="H256" i="4"/>
  <c r="H162" i="4"/>
  <c r="C377" i="4" s="1"/>
  <c r="H260" i="4"/>
  <c r="H259" i="4"/>
  <c r="H153" i="4"/>
  <c r="H148" i="4"/>
  <c r="H249" i="4"/>
  <c r="C368" i="4" l="1"/>
  <c r="C369" i="4"/>
  <c r="C370" i="4"/>
  <c r="H135" i="4"/>
  <c r="H161" i="4"/>
  <c r="H271" i="4"/>
  <c r="C387" i="4" s="1"/>
  <c r="H270" i="4"/>
  <c r="H250" i="4"/>
  <c r="H254" i="4"/>
  <c r="H248" i="4"/>
  <c r="H155" i="4"/>
  <c r="H154" i="4"/>
  <c r="H157" i="4"/>
  <c r="H144" i="4"/>
  <c r="H151" i="4"/>
  <c r="H134" i="4"/>
  <c r="H147" i="4"/>
  <c r="H274" i="4"/>
  <c r="H32" i="4"/>
  <c r="H53" i="4"/>
  <c r="H52" i="4"/>
  <c r="H47" i="4"/>
  <c r="H51" i="4"/>
  <c r="H179" i="4"/>
  <c r="H50" i="4"/>
  <c r="H49" i="4"/>
  <c r="H48" i="4"/>
  <c r="H39" i="4"/>
  <c r="H30" i="4"/>
  <c r="H143" i="4"/>
  <c r="C367" i="4" s="1"/>
  <c r="H149" i="4"/>
  <c r="H29" i="4"/>
  <c r="H178" i="4"/>
  <c r="H132" i="4"/>
  <c r="H172" i="4"/>
  <c r="H9" i="4"/>
  <c r="H8" i="4"/>
  <c r="H156" i="4"/>
  <c r="H58" i="4"/>
  <c r="H127" i="4"/>
  <c r="C352" i="4" s="1"/>
  <c r="H11" i="4"/>
  <c r="C289" i="4" s="1"/>
  <c r="H184" i="4"/>
  <c r="H251" i="4" l="1"/>
  <c r="H124" i="4"/>
  <c r="H140" i="4"/>
  <c r="C364" i="4" s="1"/>
  <c r="H210" i="4"/>
  <c r="H198" i="4"/>
  <c r="H200" i="4"/>
  <c r="H75" i="4"/>
  <c r="H253" i="4"/>
  <c r="H80" i="4"/>
  <c r="H66" i="4"/>
  <c r="H235" i="4"/>
  <c r="H234" i="4"/>
  <c r="H76" i="4"/>
  <c r="H74" i="4"/>
  <c r="H77" i="4"/>
  <c r="H79" i="4"/>
  <c r="H94" i="4"/>
  <c r="H100" i="4"/>
  <c r="H241" i="4"/>
  <c r="H237" i="4"/>
  <c r="H103" i="4"/>
  <c r="H97" i="4"/>
  <c r="H114" i="4"/>
  <c r="H238" i="4"/>
  <c r="H239" i="4"/>
  <c r="H99" i="4"/>
  <c r="H101" i="4"/>
  <c r="H93" i="4"/>
  <c r="H240" i="4"/>
  <c r="H92" i="4"/>
  <c r="H113" i="4"/>
  <c r="H107" i="4"/>
  <c r="H242" i="4"/>
  <c r="H244" i="4"/>
  <c r="H121" i="4"/>
  <c r="C338" i="4" s="1"/>
  <c r="H231" i="4"/>
  <c r="H213" i="4"/>
  <c r="H273" i="4"/>
  <c r="H70" i="4"/>
  <c r="H68" i="4"/>
  <c r="H224" i="4"/>
  <c r="H216" i="4"/>
  <c r="H72" i="4"/>
  <c r="C326" i="4" s="1"/>
  <c r="H118" i="4"/>
  <c r="H63" i="4"/>
  <c r="H116" i="4"/>
  <c r="H119" i="4"/>
  <c r="H71" i="4"/>
  <c r="H85" i="4"/>
  <c r="C329" i="4" s="1"/>
  <c r="H35" i="4"/>
  <c r="H67" i="4"/>
  <c r="C324" i="4" s="1"/>
  <c r="H90" i="4"/>
  <c r="H158" i="4"/>
  <c r="C375" i="4" s="1"/>
  <c r="H40" i="4"/>
  <c r="H38" i="4"/>
  <c r="H176" i="4"/>
  <c r="H265" i="4"/>
  <c r="C372" i="4" s="1"/>
  <c r="H150" i="4"/>
  <c r="H269" i="4"/>
  <c r="H255" i="4"/>
  <c r="H142" i="4"/>
  <c r="C366" i="4" s="1"/>
  <c r="H123" i="4"/>
  <c r="H243" i="4"/>
  <c r="C333" i="4" s="1"/>
  <c r="H117" i="4"/>
  <c r="H82" i="4"/>
  <c r="H87" i="4"/>
  <c r="H223" i="4"/>
  <c r="H69" i="4"/>
  <c r="H209" i="4"/>
  <c r="H3" i="4"/>
  <c r="C202" i="2"/>
  <c r="H158" i="2"/>
  <c r="C192" i="2" s="1"/>
  <c r="H33" i="2"/>
  <c r="C205" i="2" s="1"/>
  <c r="H135" i="2"/>
  <c r="H95" i="2"/>
  <c r="H14" i="2"/>
  <c r="C325" i="4" l="1"/>
  <c r="H114" i="2"/>
  <c r="H113" i="2"/>
  <c r="H149" i="2"/>
  <c r="C260" i="2" s="1"/>
  <c r="H277" i="4" l="1"/>
  <c r="C379" i="4" s="1"/>
  <c r="H160" i="4"/>
  <c r="H159" i="4"/>
  <c r="H268" i="4"/>
  <c r="H152" i="4"/>
  <c r="H267" i="4"/>
  <c r="H266" i="4"/>
  <c r="C373" i="4" s="1"/>
  <c r="H264" i="4"/>
  <c r="C371" i="4" s="1"/>
  <c r="C386" i="4" s="1"/>
  <c r="H136" i="4"/>
  <c r="C363" i="4" s="1"/>
  <c r="H247" i="4"/>
  <c r="H246" i="4"/>
  <c r="H133" i="4"/>
  <c r="C354" i="4" s="1"/>
  <c r="H131" i="4"/>
  <c r="H130" i="4"/>
  <c r="H129" i="4"/>
  <c r="H128" i="4"/>
  <c r="H211" i="4"/>
  <c r="H126" i="4"/>
  <c r="H125" i="4"/>
  <c r="H115" i="4"/>
  <c r="C336" i="4" s="1"/>
  <c r="H122" i="4"/>
  <c r="C339" i="4" s="1"/>
  <c r="H120" i="4"/>
  <c r="H98" i="4"/>
  <c r="H112" i="4"/>
  <c r="H111" i="4"/>
  <c r="H110" i="4"/>
  <c r="H109" i="4"/>
  <c r="H108" i="4"/>
  <c r="H106" i="4"/>
  <c r="H102" i="4"/>
  <c r="H91" i="4"/>
  <c r="H88" i="4"/>
  <c r="H89" i="4"/>
  <c r="C334" i="4" s="1"/>
  <c r="H236" i="4"/>
  <c r="H233" i="4"/>
  <c r="H232" i="4"/>
  <c r="H230" i="4"/>
  <c r="H229" i="4"/>
  <c r="H228" i="4"/>
  <c r="H227" i="4"/>
  <c r="H86" i="4"/>
  <c r="C330" i="4" s="1"/>
  <c r="H84" i="4"/>
  <c r="H83" i="4"/>
  <c r="H81" i="4"/>
  <c r="C328" i="4" s="1"/>
  <c r="H78" i="4"/>
  <c r="H73" i="4"/>
  <c r="H225" i="4"/>
  <c r="H65" i="4"/>
  <c r="H64" i="4"/>
  <c r="H62" i="4"/>
  <c r="H226" i="4"/>
  <c r="H276" i="4"/>
  <c r="H272" i="4"/>
  <c r="H252" i="4"/>
  <c r="H245" i="4"/>
  <c r="H199" i="4"/>
  <c r="H196" i="4"/>
  <c r="H195" i="4"/>
  <c r="C284" i="4" s="1"/>
  <c r="H197" i="4"/>
  <c r="H167" i="4"/>
  <c r="C342" i="4" s="1"/>
  <c r="H166" i="4"/>
  <c r="H165" i="4"/>
  <c r="H164" i="4"/>
  <c r="H201" i="4"/>
  <c r="H194" i="4"/>
  <c r="H193" i="4"/>
  <c r="H192" i="4"/>
  <c r="H202" i="4"/>
  <c r="H222" i="4"/>
  <c r="H221" i="4"/>
  <c r="H191" i="4"/>
  <c r="H163" i="4"/>
  <c r="H190" i="4"/>
  <c r="H174" i="4"/>
  <c r="H220" i="4"/>
  <c r="H219" i="4"/>
  <c r="H218" i="4"/>
  <c r="H217" i="4"/>
  <c r="H188" i="4"/>
  <c r="H187" i="4"/>
  <c r="H215" i="4"/>
  <c r="H214" i="4"/>
  <c r="H212" i="4"/>
  <c r="H208" i="4"/>
  <c r="H207" i="4"/>
  <c r="H206" i="4"/>
  <c r="C357" i="4" s="1"/>
  <c r="H205" i="4"/>
  <c r="C359" i="4" s="1"/>
  <c r="H204" i="4"/>
  <c r="H203" i="4"/>
  <c r="H186" i="4"/>
  <c r="H185" i="4"/>
  <c r="H183" i="4"/>
  <c r="H182" i="4"/>
  <c r="H181" i="4"/>
  <c r="H61" i="4"/>
  <c r="H180" i="4"/>
  <c r="H60" i="4"/>
  <c r="H59" i="4"/>
  <c r="H57" i="4"/>
  <c r="H56" i="4"/>
  <c r="H55" i="4"/>
  <c r="H54" i="4"/>
  <c r="H46" i="4"/>
  <c r="H45" i="4"/>
  <c r="H44" i="4"/>
  <c r="H43" i="4"/>
  <c r="H42" i="4"/>
  <c r="H41" i="4"/>
  <c r="H37" i="4"/>
  <c r="H36" i="4"/>
  <c r="H34" i="4"/>
  <c r="H33" i="4"/>
  <c r="H31" i="4"/>
  <c r="H28" i="4"/>
  <c r="H27" i="4"/>
  <c r="H26" i="4"/>
  <c r="H177" i="4"/>
  <c r="H25" i="4"/>
  <c r="H24" i="4"/>
  <c r="H23" i="4"/>
  <c r="H22" i="4"/>
  <c r="C300" i="4" s="1"/>
  <c r="H21" i="4"/>
  <c r="C299" i="4" s="1"/>
  <c r="H175" i="4"/>
  <c r="C296" i="4" s="1"/>
  <c r="H20" i="4"/>
  <c r="H19" i="4"/>
  <c r="H18" i="4"/>
  <c r="H17" i="4"/>
  <c r="H16" i="4"/>
  <c r="H15" i="4"/>
  <c r="H14" i="4"/>
  <c r="H13" i="4"/>
  <c r="H12" i="4"/>
  <c r="H173" i="4"/>
  <c r="H10" i="4"/>
  <c r="H171" i="4"/>
  <c r="H7" i="4"/>
  <c r="H6" i="4"/>
  <c r="H170" i="4"/>
  <c r="H5" i="4"/>
  <c r="H169" i="4"/>
  <c r="H168" i="4"/>
  <c r="H4" i="4"/>
  <c r="C285" i="4" s="1"/>
  <c r="H2" i="4"/>
  <c r="C281" i="4" s="1"/>
  <c r="H16" i="2"/>
  <c r="H97" i="2"/>
  <c r="H105" i="2"/>
  <c r="H133" i="2"/>
  <c r="H128" i="2"/>
  <c r="H157" i="2"/>
  <c r="C238" i="2" s="1"/>
  <c r="H5" i="2"/>
  <c r="H44" i="2"/>
  <c r="H23" i="2"/>
  <c r="H119" i="2"/>
  <c r="H118" i="2"/>
  <c r="H115" i="2"/>
  <c r="H50" i="2"/>
  <c r="H146" i="2"/>
  <c r="H84" i="2"/>
  <c r="H88" i="2"/>
  <c r="H83" i="2"/>
  <c r="H152" i="2"/>
  <c r="H150" i="2"/>
  <c r="H80" i="2"/>
  <c r="H87" i="2"/>
  <c r="H85" i="2"/>
  <c r="H86" i="2"/>
  <c r="H148" i="2"/>
  <c r="H141" i="2"/>
  <c r="H151" i="2"/>
  <c r="C262" i="2" s="1"/>
  <c r="H147" i="2"/>
  <c r="C258" i="2" s="1"/>
  <c r="H81" i="2"/>
  <c r="H82" i="2"/>
  <c r="H144" i="2"/>
  <c r="H143" i="2"/>
  <c r="H142" i="2"/>
  <c r="H140" i="2"/>
  <c r="H122" i="2"/>
  <c r="H169" i="2"/>
  <c r="H110" i="2"/>
  <c r="H30" i="2"/>
  <c r="H31" i="2"/>
  <c r="H32" i="2"/>
  <c r="H104" i="2"/>
  <c r="H170" i="2"/>
  <c r="H186" i="2"/>
  <c r="H70" i="2"/>
  <c r="H61" i="2"/>
  <c r="H65" i="2"/>
  <c r="H64" i="2"/>
  <c r="H184" i="2"/>
  <c r="H103" i="2"/>
  <c r="H187" i="2"/>
  <c r="C247" i="2" s="1"/>
  <c r="H177" i="2"/>
  <c r="H125" i="2"/>
  <c r="H74" i="2"/>
  <c r="H131" i="2"/>
  <c r="H17" i="2"/>
  <c r="H75" i="2"/>
  <c r="H182" i="2"/>
  <c r="H178" i="2"/>
  <c r="H183" i="2"/>
  <c r="H181" i="2"/>
  <c r="H180" i="2"/>
  <c r="H3" i="2"/>
  <c r="H27" i="2"/>
  <c r="H24" i="2"/>
  <c r="H77" i="2"/>
  <c r="C227" i="2" s="1"/>
  <c r="H124" i="2"/>
  <c r="H168" i="2"/>
  <c r="H123" i="2"/>
  <c r="H161" i="2"/>
  <c r="H62" i="2"/>
  <c r="H10" i="2"/>
  <c r="H63" i="2"/>
  <c r="C241" i="2" s="1"/>
  <c r="H73" i="2"/>
  <c r="C246" i="2" s="1"/>
  <c r="C253" i="2" s="1"/>
  <c r="H162" i="2"/>
  <c r="H29" i="2"/>
  <c r="C203" i="2" s="1"/>
  <c r="H93" i="2"/>
  <c r="H4" i="2"/>
  <c r="H20" i="2"/>
  <c r="H46" i="2"/>
  <c r="C212" i="2" s="1"/>
  <c r="H21" i="2"/>
  <c r="H18" i="2"/>
  <c r="H43" i="2"/>
  <c r="H52" i="2"/>
  <c r="H164" i="2"/>
  <c r="H37" i="2"/>
  <c r="C208" i="2" s="1"/>
  <c r="H130" i="2"/>
  <c r="H126" i="2"/>
  <c r="H138" i="2"/>
  <c r="H166" i="2"/>
  <c r="H163" i="2"/>
  <c r="H56" i="2"/>
  <c r="H154" i="2"/>
  <c r="C266" i="2" s="1"/>
  <c r="H90" i="2"/>
  <c r="H89" i="2"/>
  <c r="H153" i="2"/>
  <c r="H145" i="2"/>
  <c r="C256" i="2" s="1"/>
  <c r="H79" i="2"/>
  <c r="C229" i="2" s="1"/>
  <c r="C235" i="2" s="1"/>
  <c r="H78" i="2"/>
  <c r="H188" i="2"/>
  <c r="H76" i="2"/>
  <c r="H72" i="2"/>
  <c r="H71" i="2"/>
  <c r="H69" i="2"/>
  <c r="H68" i="2"/>
  <c r="H67" i="2"/>
  <c r="H66" i="2"/>
  <c r="H185" i="2"/>
  <c r="C243" i="2" s="1"/>
  <c r="C250" i="2" s="1"/>
  <c r="H60" i="2"/>
  <c r="H156" i="2"/>
  <c r="H179" i="2"/>
  <c r="H139" i="2"/>
  <c r="H137" i="2"/>
  <c r="H136" i="2"/>
  <c r="H134" i="2"/>
  <c r="H132" i="2"/>
  <c r="H129" i="2"/>
  <c r="H127" i="2"/>
  <c r="H121" i="2"/>
  <c r="H120" i="2"/>
  <c r="H117" i="2"/>
  <c r="H116" i="2"/>
  <c r="H112" i="2"/>
  <c r="H111" i="2"/>
  <c r="H109" i="2"/>
  <c r="H108" i="2"/>
  <c r="H107" i="2"/>
  <c r="H106" i="2"/>
  <c r="H102" i="2"/>
  <c r="H101" i="2"/>
  <c r="H100" i="2"/>
  <c r="H99" i="2"/>
  <c r="H98" i="2"/>
  <c r="H96" i="2"/>
  <c r="H94" i="2"/>
  <c r="H92" i="2"/>
  <c r="H91" i="2"/>
  <c r="H59" i="2"/>
  <c r="H58" i="2"/>
  <c r="H57" i="2"/>
  <c r="H55" i="2"/>
  <c r="H54" i="2"/>
  <c r="H53" i="2"/>
  <c r="H51" i="2"/>
  <c r="H49" i="2"/>
  <c r="H176" i="2"/>
  <c r="H175" i="2"/>
  <c r="H48" i="2"/>
  <c r="H174" i="2"/>
  <c r="H47" i="2"/>
  <c r="H173" i="2"/>
  <c r="H45" i="2"/>
  <c r="H172" i="2"/>
  <c r="H42" i="2"/>
  <c r="H41" i="2"/>
  <c r="H40" i="2"/>
  <c r="H39" i="2"/>
  <c r="H38" i="2"/>
  <c r="C209" i="2" s="1"/>
  <c r="H36" i="2"/>
  <c r="H35" i="2"/>
  <c r="H34" i="2"/>
  <c r="H171" i="2"/>
  <c r="H26" i="2"/>
  <c r="H25" i="2"/>
  <c r="H167" i="2"/>
  <c r="H22" i="2"/>
  <c r="H19" i="2"/>
  <c r="H15" i="2"/>
  <c r="H165" i="2"/>
  <c r="H13" i="2"/>
  <c r="H12" i="2"/>
  <c r="H11" i="2"/>
  <c r="H9" i="2"/>
  <c r="H160" i="2"/>
  <c r="H8" i="2"/>
  <c r="H7" i="2"/>
  <c r="H159" i="2"/>
  <c r="H6" i="2"/>
  <c r="C193" i="2" s="1"/>
  <c r="H2" i="2"/>
  <c r="H252" i="1"/>
  <c r="H90" i="1"/>
  <c r="H265" i="1"/>
  <c r="H89" i="1"/>
  <c r="H17" i="1"/>
  <c r="H185" i="1"/>
  <c r="H205" i="1"/>
  <c r="H204" i="1"/>
  <c r="H193" i="1"/>
  <c r="H208" i="1"/>
  <c r="H231" i="1"/>
  <c r="H69" i="1"/>
  <c r="H186" i="1"/>
  <c r="H198" i="1"/>
  <c r="H173" i="1"/>
  <c r="H161" i="1"/>
  <c r="H187" i="1"/>
  <c r="H10" i="1"/>
  <c r="H101" i="1"/>
  <c r="H122" i="1"/>
  <c r="H92" i="1"/>
  <c r="C297" i="1" s="1"/>
  <c r="H134" i="1"/>
  <c r="H133" i="1"/>
  <c r="H3" i="1"/>
  <c r="H56" i="1"/>
  <c r="H79" i="1"/>
  <c r="H75" i="1"/>
  <c r="H188" i="1"/>
  <c r="H106" i="1"/>
  <c r="H83" i="1"/>
  <c r="H190" i="1"/>
  <c r="H23" i="1"/>
  <c r="H64" i="1"/>
  <c r="H254" i="1"/>
  <c r="H99" i="1"/>
  <c r="H131" i="1"/>
  <c r="H199" i="1"/>
  <c r="H180" i="1"/>
  <c r="H27" i="1"/>
  <c r="H127" i="1"/>
  <c r="H53" i="1"/>
  <c r="H109" i="1"/>
  <c r="H42" i="1"/>
  <c r="H253" i="1"/>
  <c r="H47" i="1"/>
  <c r="H74" i="1"/>
  <c r="H5" i="1"/>
  <c r="H24" i="1"/>
  <c r="H2" i="1"/>
  <c r="C273" i="1" s="1"/>
  <c r="H80" i="1"/>
  <c r="H31" i="1"/>
  <c r="H177" i="1"/>
  <c r="F335" i="1" s="1"/>
  <c r="H35" i="1"/>
  <c r="H26" i="1"/>
  <c r="H25" i="1"/>
  <c r="H212" i="1"/>
  <c r="H87" i="1"/>
  <c r="H9" i="1"/>
  <c r="H78" i="1"/>
  <c r="H126" i="1"/>
  <c r="H129" i="1"/>
  <c r="H98" i="1"/>
  <c r="H119" i="1"/>
  <c r="H176" i="1"/>
  <c r="H247" i="1"/>
  <c r="H153" i="1"/>
  <c r="H61" i="1"/>
  <c r="H178" i="1"/>
  <c r="H58" i="1"/>
  <c r="H244" i="1"/>
  <c r="H165" i="1"/>
  <c r="H158" i="1"/>
  <c r="H239" i="1"/>
  <c r="C233" i="2" l="1"/>
  <c r="C270" i="2"/>
  <c r="C313" i="4"/>
  <c r="C218" i="2"/>
  <c r="C259" i="2"/>
  <c r="C332" i="4"/>
  <c r="C327" i="4"/>
  <c r="C335" i="4"/>
  <c r="C287" i="4"/>
  <c r="C318" i="4" s="1"/>
  <c r="C288" i="4"/>
  <c r="C323" i="4"/>
  <c r="C337" i="4"/>
  <c r="C348" i="4" s="1"/>
  <c r="C374" i="4"/>
  <c r="C383" i="4" s="1"/>
  <c r="C398" i="4"/>
  <c r="C401" i="4" s="1"/>
  <c r="C290" i="4"/>
  <c r="C355" i="4"/>
  <c r="C382" i="4"/>
  <c r="C347" i="4"/>
  <c r="C385" i="4"/>
  <c r="C311" i="4"/>
  <c r="C314" i="4"/>
  <c r="C345" i="4"/>
  <c r="C353" i="4"/>
  <c r="C361" i="4"/>
  <c r="C376" i="4"/>
  <c r="C384" i="4" s="1"/>
  <c r="C312" i="4"/>
  <c r="C317" i="4" s="1"/>
  <c r="C286" i="4"/>
  <c r="C319" i="4"/>
  <c r="C346" i="4"/>
  <c r="C380" i="4"/>
  <c r="C351" i="4"/>
  <c r="C360" i="4" s="1"/>
  <c r="C215" i="2"/>
  <c r="C293" i="4"/>
  <c r="C320" i="4" s="1"/>
  <c r="C303" i="4"/>
  <c r="C245" i="2"/>
  <c r="C265" i="2"/>
  <c r="C271" i="2" s="1"/>
  <c r="C261" i="2"/>
  <c r="C272" i="2" s="1"/>
  <c r="C264" i="2"/>
  <c r="C214" i="2"/>
  <c r="C244" i="2"/>
  <c r="C239" i="2"/>
  <c r="C263" i="2"/>
  <c r="C257" i="2"/>
  <c r="C268" i="2" s="1"/>
  <c r="C242" i="2"/>
  <c r="C249" i="2" s="1"/>
  <c r="C254" i="2" s="1"/>
  <c r="J324" i="1"/>
  <c r="C240" i="2"/>
  <c r="C251" i="2" s="1"/>
  <c r="C200" i="2"/>
  <c r="C219" i="2"/>
  <c r="C190" i="2"/>
  <c r="C220" i="2"/>
  <c r="C231" i="2"/>
  <c r="C252" i="2"/>
  <c r="C228" i="2"/>
  <c r="C232" i="2" s="1"/>
  <c r="C226" i="2"/>
  <c r="C234" i="2" s="1"/>
  <c r="C277" i="2"/>
  <c r="C199" i="2"/>
  <c r="C217" i="2"/>
  <c r="C221" i="2"/>
  <c r="C213" i="2"/>
  <c r="C207" i="2"/>
  <c r="C206" i="2"/>
  <c r="C211" i="2"/>
  <c r="C210" i="2"/>
  <c r="C201" i="2"/>
  <c r="C196" i="2"/>
  <c r="C204" i="2"/>
  <c r="C195" i="2"/>
  <c r="C191" i="2"/>
  <c r="C194" i="2"/>
  <c r="C198" i="2"/>
  <c r="C197" i="2"/>
  <c r="H144" i="1"/>
  <c r="H156" i="1"/>
  <c r="H163" i="1"/>
  <c r="H257" i="1"/>
  <c r="H135" i="1"/>
  <c r="H68" i="1"/>
  <c r="H236" i="1"/>
  <c r="H138" i="1"/>
  <c r="H91" i="1"/>
  <c r="H33" i="1"/>
  <c r="H29" i="1"/>
  <c r="H136" i="1"/>
  <c r="H141" i="1"/>
  <c r="H197" i="1"/>
  <c r="H196" i="1"/>
  <c r="H59" i="1"/>
  <c r="C287" i="1" s="1"/>
  <c r="H159" i="1"/>
  <c r="F329" i="1" s="1"/>
  <c r="H191" i="1"/>
  <c r="H189" i="1"/>
  <c r="H192" i="1"/>
  <c r="H200" i="1"/>
  <c r="H60" i="1"/>
  <c r="H210" i="1"/>
  <c r="H4" i="1"/>
  <c r="C274" i="1" s="1"/>
  <c r="H6" i="1"/>
  <c r="H154" i="1"/>
  <c r="F326" i="1" s="1"/>
  <c r="H86" i="1"/>
  <c r="H140" i="1"/>
  <c r="H116" i="1"/>
  <c r="H41" i="1"/>
  <c r="H175" i="1"/>
  <c r="F334" i="1" s="1"/>
  <c r="H145" i="1"/>
  <c r="F323" i="1" s="1"/>
  <c r="H62" i="1"/>
  <c r="H104" i="1"/>
  <c r="H13" i="1"/>
  <c r="H77" i="1"/>
  <c r="H46" i="1"/>
  <c r="H36" i="1"/>
  <c r="H37" i="1"/>
  <c r="H232" i="1"/>
  <c r="H76" i="1"/>
  <c r="H19" i="1"/>
  <c r="H21" i="1"/>
  <c r="H202" i="1"/>
  <c r="H73" i="1"/>
  <c r="H93" i="1"/>
  <c r="H65" i="1"/>
  <c r="H220" i="1"/>
  <c r="H43" i="1"/>
  <c r="H115" i="1"/>
  <c r="H114" i="1"/>
  <c r="H50" i="1"/>
  <c r="H233" i="1"/>
  <c r="H8" i="1"/>
  <c r="H217" i="1"/>
  <c r="H246" i="1"/>
  <c r="H214" i="1"/>
  <c r="H259" i="1"/>
  <c r="H227" i="1"/>
  <c r="H256" i="1"/>
  <c r="H16" i="1"/>
  <c r="H216" i="1"/>
  <c r="H258" i="1"/>
  <c r="H230" i="1"/>
  <c r="C331" i="1" s="1"/>
  <c r="H174" i="1"/>
  <c r="F333" i="1" s="1"/>
  <c r="H39" i="1"/>
  <c r="H7" i="1"/>
  <c r="H242" i="1"/>
  <c r="H237" i="1"/>
  <c r="H263" i="1"/>
  <c r="H229" i="1"/>
  <c r="H18" i="1"/>
  <c r="H238" i="1"/>
  <c r="H245" i="1"/>
  <c r="H250" i="1"/>
  <c r="H84" i="1"/>
  <c r="H201" i="1"/>
  <c r="H54" i="1"/>
  <c r="H55" i="1"/>
  <c r="H44" i="1"/>
  <c r="H218" i="1"/>
  <c r="H262" i="1"/>
  <c r="H261" i="1"/>
  <c r="H228" i="1"/>
  <c r="H139" i="1"/>
  <c r="H137" i="1"/>
  <c r="H209" i="1"/>
  <c r="H211" i="1"/>
  <c r="H112" i="1"/>
  <c r="H57" i="1"/>
  <c r="C286" i="1" s="1"/>
  <c r="H234" i="1"/>
  <c r="H235" i="1"/>
  <c r="H240" i="1"/>
  <c r="H241" i="1"/>
  <c r="H243" i="1"/>
  <c r="H248" i="1"/>
  <c r="H266" i="1"/>
  <c r="H157" i="1"/>
  <c r="H152" i="1"/>
  <c r="H148" i="1"/>
  <c r="H146" i="1"/>
  <c r="H147" i="1"/>
  <c r="H150" i="1"/>
  <c r="H149" i="1"/>
  <c r="H81" i="1"/>
  <c r="H143" i="1"/>
  <c r="H151" i="1"/>
  <c r="H194" i="1"/>
  <c r="H49" i="1"/>
  <c r="H181" i="1"/>
  <c r="H15" i="1"/>
  <c r="C277" i="1" s="1"/>
  <c r="H45" i="1"/>
  <c r="H66" i="1"/>
  <c r="C291" i="1" s="1"/>
  <c r="H63" i="1"/>
  <c r="H97" i="1"/>
  <c r="H103" i="1"/>
  <c r="H102" i="1"/>
  <c r="H40" i="1"/>
  <c r="H222" i="1"/>
  <c r="H48" i="1"/>
  <c r="H34" i="1"/>
  <c r="H179" i="1"/>
  <c r="H12" i="1"/>
  <c r="H11" i="1"/>
  <c r="H14" i="1"/>
  <c r="H85" i="1"/>
  <c r="H117" i="1"/>
  <c r="H30" i="1"/>
  <c r="H195" i="1"/>
  <c r="H221" i="1"/>
  <c r="H96" i="1"/>
  <c r="H95" i="1"/>
  <c r="H169" i="1"/>
  <c r="H183" i="1"/>
  <c r="H88" i="1"/>
  <c r="H20" i="1"/>
  <c r="H132" i="1"/>
  <c r="H168" i="1"/>
  <c r="H142" i="1"/>
  <c r="H170" i="1"/>
  <c r="F331" i="1" s="1"/>
  <c r="H171" i="1"/>
  <c r="H32" i="1"/>
  <c r="C280" i="1" s="1"/>
  <c r="H120" i="1"/>
  <c r="H108" i="1"/>
  <c r="H219" i="1"/>
  <c r="H264" i="1"/>
  <c r="H28" i="1"/>
  <c r="H124" i="1"/>
  <c r="H130" i="1"/>
  <c r="H38" i="1"/>
  <c r="C236" i="2" l="1"/>
  <c r="C285" i="2"/>
  <c r="C287" i="2" s="1"/>
  <c r="C321" i="4"/>
  <c r="C269" i="2"/>
  <c r="C274" i="2" s="1"/>
  <c r="C275" i="2" s="1"/>
  <c r="C283" i="2" s="1"/>
  <c r="C396" i="4"/>
  <c r="D315" i="4"/>
  <c r="C381" i="4"/>
  <c r="C392" i="4" s="1"/>
  <c r="C395" i="4"/>
  <c r="C288" i="1"/>
  <c r="C316" i="4"/>
  <c r="C344" i="4"/>
  <c r="C343" i="4" s="1"/>
  <c r="C390" i="4" s="1"/>
  <c r="C358" i="4"/>
  <c r="C356" i="4" s="1"/>
  <c r="C391" i="4" s="1"/>
  <c r="C281" i="2"/>
  <c r="J322" i="1"/>
  <c r="C335" i="1" s="1"/>
  <c r="C337" i="1"/>
  <c r="J325" i="1"/>
  <c r="C289" i="1"/>
  <c r="C285" i="1"/>
  <c r="C283" i="1"/>
  <c r="C295" i="1"/>
  <c r="C302" i="1"/>
  <c r="C279" i="1"/>
  <c r="C324" i="1" s="1"/>
  <c r="C299" i="1"/>
  <c r="C281" i="1"/>
  <c r="C332" i="1"/>
  <c r="C296" i="1"/>
  <c r="C222" i="2"/>
  <c r="C216" i="2"/>
  <c r="C282" i="2"/>
  <c r="F324" i="1"/>
  <c r="F322" i="1"/>
  <c r="F325" i="1"/>
  <c r="C344" i="1" s="1"/>
  <c r="C276" i="1"/>
  <c r="C290" i="1"/>
  <c r="C275" i="1"/>
  <c r="H100" i="1"/>
  <c r="H94" i="1"/>
  <c r="H51" i="1"/>
  <c r="H72" i="1"/>
  <c r="H111" i="1"/>
  <c r="H249" i="1"/>
  <c r="H105" i="1"/>
  <c r="H123" i="1"/>
  <c r="H113" i="1"/>
  <c r="H110" i="1"/>
  <c r="H118" i="1"/>
  <c r="H107" i="1"/>
  <c r="H125" i="1"/>
  <c r="H121" i="1"/>
  <c r="H128" i="1"/>
  <c r="C301" i="1" s="1"/>
  <c r="H160" i="1"/>
  <c r="H167" i="1"/>
  <c r="H164" i="1"/>
  <c r="H166" i="1"/>
  <c r="H162" i="1"/>
  <c r="H172" i="1"/>
  <c r="F332" i="1" s="1"/>
  <c r="C347" i="1" s="1"/>
  <c r="H213" i="1"/>
  <c r="H22" i="1"/>
  <c r="H67" i="1"/>
  <c r="H70" i="1"/>
  <c r="H267" i="1"/>
  <c r="H155" i="1"/>
  <c r="F327" i="1" s="1"/>
  <c r="H223" i="1"/>
  <c r="H224" i="1"/>
  <c r="H225" i="1"/>
  <c r="H226" i="1"/>
  <c r="H182" i="1"/>
  <c r="H184" i="1"/>
  <c r="H71" i="1"/>
  <c r="H52" i="1"/>
  <c r="H203" i="1"/>
  <c r="H215" i="1"/>
  <c r="C282" i="1" s="1"/>
  <c r="H206" i="1"/>
  <c r="H251" i="1"/>
  <c r="H255" i="1"/>
  <c r="H260" i="1"/>
  <c r="H268" i="1"/>
  <c r="H269" i="1"/>
  <c r="H82" i="1"/>
  <c r="C294" i="1" s="1"/>
  <c r="H207" i="1"/>
  <c r="H270" i="1"/>
  <c r="C293" i="1" l="1"/>
  <c r="C280" i="2"/>
  <c r="C286" i="2"/>
  <c r="C345" i="1"/>
  <c r="C336" i="1"/>
  <c r="C399" i="4"/>
  <c r="C389" i="4"/>
  <c r="C327" i="1"/>
  <c r="C316" i="1"/>
  <c r="C354" i="1" s="1"/>
  <c r="C300" i="1"/>
  <c r="C304" i="1" s="1"/>
  <c r="C298" i="1"/>
  <c r="C325" i="1" s="1"/>
  <c r="F328" i="1"/>
  <c r="C346" i="1" s="1"/>
  <c r="C278" i="1"/>
  <c r="J323" i="1"/>
  <c r="C338" i="1" s="1"/>
  <c r="J326" i="1"/>
  <c r="C339" i="1" s="1"/>
  <c r="F330" i="1"/>
  <c r="C292" i="1"/>
  <c r="C313" i="1" s="1"/>
  <c r="C284" i="1"/>
  <c r="E302" i="1" l="1"/>
  <c r="C358" i="1"/>
  <c r="C308" i="1"/>
  <c r="C343" i="1"/>
  <c r="C348" i="1" s="1"/>
  <c r="C352" i="1" s="1"/>
  <c r="C393" i="4"/>
  <c r="C326" i="1"/>
  <c r="C323" i="1"/>
  <c r="F336" i="1"/>
  <c r="C340" i="1"/>
  <c r="C353" i="1" s="1"/>
  <c r="J327" i="1"/>
  <c r="C309" i="1"/>
  <c r="C314" i="1"/>
  <c r="C402" i="4" l="1"/>
  <c r="C328" i="1"/>
  <c r="C351" i="1" s="1"/>
  <c r="C355" i="1" l="1"/>
  <c r="C359" i="1"/>
  <c r="C305" i="1"/>
</calcChain>
</file>

<file path=xl/sharedStrings.xml><?xml version="1.0" encoding="utf-8"?>
<sst xmlns="http://schemas.openxmlformats.org/spreadsheetml/2006/main" count="37585" uniqueCount="5764">
  <si>
    <t>Site Name</t>
  </si>
  <si>
    <t>Area</t>
  </si>
  <si>
    <t>County</t>
  </si>
  <si>
    <t>Country</t>
  </si>
  <si>
    <t>Total no of pages mentioned</t>
  </si>
  <si>
    <t>Page numbers</t>
  </si>
  <si>
    <t>Site type</t>
  </si>
  <si>
    <t>Castlerigg</t>
  </si>
  <si>
    <t>Stone circle</t>
  </si>
  <si>
    <t>North Lakes</t>
  </si>
  <si>
    <t>Cumbria</t>
  </si>
  <si>
    <t>England</t>
  </si>
  <si>
    <t>South Lakes</t>
  </si>
  <si>
    <t>Stonehenge</t>
  </si>
  <si>
    <t>Woodhenge</t>
  </si>
  <si>
    <t>Durrington Walls</t>
  </si>
  <si>
    <t>Robin Hood's Ball</t>
  </si>
  <si>
    <t>Timber circle</t>
  </si>
  <si>
    <t>Henge</t>
  </si>
  <si>
    <t>Causewayed Encl</t>
  </si>
  <si>
    <t>Cursus</t>
  </si>
  <si>
    <t>Wessex</t>
  </si>
  <si>
    <t>Somerset</t>
  </si>
  <si>
    <t>Avebury</t>
  </si>
  <si>
    <t>Wiltshire</t>
  </si>
  <si>
    <t>West Kennet long barrow</t>
  </si>
  <si>
    <t>Long barrow</t>
  </si>
  <si>
    <t>Silbury Hill</t>
  </si>
  <si>
    <t>Windmill Hill</t>
  </si>
  <si>
    <t>General Site Area mentions</t>
  </si>
  <si>
    <t>Total no of site area mentions</t>
  </si>
  <si>
    <t xml:space="preserve">14, </t>
  </si>
  <si>
    <t xml:space="preserve">15, </t>
  </si>
  <si>
    <t>Orkney</t>
  </si>
  <si>
    <t>Orkney Islands</t>
  </si>
  <si>
    <t>Scotland</t>
  </si>
  <si>
    <t>Stones of Stenness</t>
  </si>
  <si>
    <t>Ring of Brodgar</t>
  </si>
  <si>
    <t>Skara Brae</t>
  </si>
  <si>
    <t>Settlement</t>
  </si>
  <si>
    <t>Maes Howe</t>
  </si>
  <si>
    <t>Chambered tomb</t>
  </si>
  <si>
    <t>Cornwall</t>
  </si>
  <si>
    <t>Dartmoor</t>
  </si>
  <si>
    <t xml:space="preserve">19, </t>
  </si>
  <si>
    <t>Cheviots</t>
  </si>
  <si>
    <t>Northumberland</t>
  </si>
  <si>
    <t>Scottish Highlands</t>
  </si>
  <si>
    <t>Thames Valley</t>
  </si>
  <si>
    <t>Avon Valley</t>
  </si>
  <si>
    <t>Warwickshire</t>
  </si>
  <si>
    <t>Trent Valley</t>
  </si>
  <si>
    <t>Great Ouse Valley</t>
  </si>
  <si>
    <t>Notts / Oxf</t>
  </si>
  <si>
    <t>Cambridgeshire etc</t>
  </si>
  <si>
    <t>Dyfed</t>
  </si>
  <si>
    <t>Wales</t>
  </si>
  <si>
    <t>Pembrokeshire</t>
  </si>
  <si>
    <t>Preseli Mountains</t>
  </si>
  <si>
    <t xml:space="preserve">20, </t>
  </si>
  <si>
    <t>South Street</t>
  </si>
  <si>
    <t>Ascott-under-Wychwood</t>
  </si>
  <si>
    <t>Oxfordshire</t>
  </si>
  <si>
    <t>Hazleton</t>
  </si>
  <si>
    <t>Gloucestershire</t>
  </si>
  <si>
    <t>Gwernvale</t>
  </si>
  <si>
    <t>Powys</t>
  </si>
  <si>
    <t>Kennet Valley</t>
  </si>
  <si>
    <t>Dorset</t>
  </si>
  <si>
    <t>Cotswolds</t>
  </si>
  <si>
    <t>Southern England</t>
  </si>
  <si>
    <t>Total no of specific mentions</t>
  </si>
  <si>
    <t>Southern Pennines</t>
  </si>
  <si>
    <t>Pennines</t>
  </si>
  <si>
    <t xml:space="preserve">49, </t>
  </si>
  <si>
    <t>Shippea Hill</t>
  </si>
  <si>
    <t>Cambridgeshire</t>
  </si>
  <si>
    <t>Broome Heath</t>
  </si>
  <si>
    <t>Norfolk</t>
  </si>
  <si>
    <t xml:space="preserve">50, </t>
  </si>
  <si>
    <t xml:space="preserve">49-50, </t>
  </si>
  <si>
    <t>Crose Mere</t>
  </si>
  <si>
    <t>Shropshire</t>
  </si>
  <si>
    <t>Thirlings</t>
  </si>
  <si>
    <t>Fochabers</t>
  </si>
  <si>
    <t>Boghead Mound</t>
  </si>
  <si>
    <t>Grampian</t>
  </si>
  <si>
    <t xml:space="preserve">51, </t>
  </si>
  <si>
    <t>Knap Hill</t>
  </si>
  <si>
    <t>Hemp Knoll</t>
  </si>
  <si>
    <t>Barrow</t>
  </si>
  <si>
    <t>Abingdon</t>
  </si>
  <si>
    <t>Causewayed Enclosure</t>
  </si>
  <si>
    <t>Sussex</t>
  </si>
  <si>
    <t>Bury Hill</t>
  </si>
  <si>
    <t>Offham Hill Camp</t>
  </si>
  <si>
    <t>Peak Camp/ Birdlip Hill</t>
  </si>
  <si>
    <t>Northton</t>
  </si>
  <si>
    <t>Harris</t>
  </si>
  <si>
    <t>Outer Hebrides</t>
  </si>
  <si>
    <t>Cairn</t>
  </si>
  <si>
    <t>West Oxfordshire</t>
  </si>
  <si>
    <t>Vale of White Horse</t>
  </si>
  <si>
    <t>East Sussex</t>
  </si>
  <si>
    <t>Eastings</t>
  </si>
  <si>
    <t>Northings</t>
  </si>
  <si>
    <t>X</t>
  </si>
  <si>
    <t>Y</t>
  </si>
  <si>
    <t>TQ</t>
  </si>
  <si>
    <t>Grid</t>
  </si>
  <si>
    <t>SU</t>
  </si>
  <si>
    <t>SP</t>
  </si>
  <si>
    <t>West Sussex</t>
  </si>
  <si>
    <t>SO</t>
  </si>
  <si>
    <t>HY</t>
  </si>
  <si>
    <t>NJ</t>
  </si>
  <si>
    <t>NF</t>
  </si>
  <si>
    <t>Hambledon Hill</t>
  </si>
  <si>
    <t>North Dorset</t>
  </si>
  <si>
    <t>ST</t>
  </si>
  <si>
    <t>NG</t>
  </si>
  <si>
    <t>Stone row</t>
  </si>
  <si>
    <t>The Sanctuary</t>
  </si>
  <si>
    <t>Stone circle Timber circle</t>
  </si>
  <si>
    <t>Henge        Stone circle</t>
  </si>
  <si>
    <t>Neolithic mound</t>
  </si>
  <si>
    <t>Derbyshire</t>
  </si>
  <si>
    <t>Aston-on-Trent</t>
  </si>
  <si>
    <t xml:space="preserve">52, </t>
  </si>
  <si>
    <t>Balbridie</t>
  </si>
  <si>
    <t>NO</t>
  </si>
  <si>
    <t>Tomb of the Eagles</t>
  </si>
  <si>
    <t>Isbister         South Ronaldsay</t>
  </si>
  <si>
    <t>ND</t>
  </si>
  <si>
    <t>Humberside</t>
  </si>
  <si>
    <t>Kilham</t>
  </si>
  <si>
    <t xml:space="preserve">53, </t>
  </si>
  <si>
    <t>TA</t>
  </si>
  <si>
    <t>Neolithic Enclosure</t>
  </si>
  <si>
    <t>Yorkshire East</t>
  </si>
  <si>
    <t>TM</t>
  </si>
  <si>
    <t>South Norfolk</t>
  </si>
  <si>
    <t>Carn Brea</t>
  </si>
  <si>
    <t>Illogan</t>
  </si>
  <si>
    <t>SW</t>
  </si>
  <si>
    <t>SY</t>
  </si>
  <si>
    <t>Beckhampton Road</t>
  </si>
  <si>
    <t>Sweet Track</t>
  </si>
  <si>
    <t>Neolithic timber trackway</t>
  </si>
  <si>
    <t>Somerset Levels</t>
  </si>
  <si>
    <t>Coygan Camp</t>
  </si>
  <si>
    <t>Quarry</t>
  </si>
  <si>
    <t>Carmarthenshire</t>
  </si>
  <si>
    <t>SN</t>
  </si>
  <si>
    <t xml:space="preserve">54, </t>
  </si>
  <si>
    <t>Knap of Howar</t>
  </si>
  <si>
    <t>Papa Westray</t>
  </si>
  <si>
    <t>Cissbury</t>
  </si>
  <si>
    <t>Flint mine</t>
  </si>
  <si>
    <t>Church Hill Findon</t>
  </si>
  <si>
    <t>Sussex Downs</t>
  </si>
  <si>
    <t>Gwynedd</t>
  </si>
  <si>
    <t>Graig Lwyd</t>
  </si>
  <si>
    <t>Conwy</t>
  </si>
  <si>
    <t>SH</t>
  </si>
  <si>
    <t>Great Langdale</t>
  </si>
  <si>
    <t>NY</t>
  </si>
  <si>
    <t>Tayside</t>
  </si>
  <si>
    <t>Killin  Beinn Lawers</t>
  </si>
  <si>
    <t>NN</t>
  </si>
  <si>
    <t>Perthshire</t>
  </si>
  <si>
    <t>Overton Down</t>
  </si>
  <si>
    <t>Sarsen scatter</t>
  </si>
  <si>
    <t xml:space="preserve">56, </t>
  </si>
  <si>
    <t>Etton</t>
  </si>
  <si>
    <t>TF</t>
  </si>
  <si>
    <t>City of Peterborough</t>
  </si>
  <si>
    <t>TL</t>
  </si>
  <si>
    <t>East Cambridgeshire</t>
  </si>
  <si>
    <t>Fengate</t>
  </si>
  <si>
    <t xml:space="preserve">57, </t>
  </si>
  <si>
    <t>Llandegai</t>
  </si>
  <si>
    <t>Clegyr Boia</t>
  </si>
  <si>
    <t>St David's</t>
  </si>
  <si>
    <t>SM</t>
  </si>
  <si>
    <t xml:space="preserve">54, 57, </t>
  </si>
  <si>
    <t>Clwyd</t>
  </si>
  <si>
    <t>Moel-y-Gaer</t>
  </si>
  <si>
    <t>Cave</t>
  </si>
  <si>
    <t>SJ</t>
  </si>
  <si>
    <t>Denbighshire</t>
  </si>
  <si>
    <t>Devon</t>
  </si>
  <si>
    <t>Hembury</t>
  </si>
  <si>
    <t xml:space="preserve">59, </t>
  </si>
  <si>
    <t>East Devon</t>
  </si>
  <si>
    <t>Crickley Hill</t>
  </si>
  <si>
    <t xml:space="preserve">51, 59, </t>
  </si>
  <si>
    <t>Maiden Castle</t>
  </si>
  <si>
    <t>West Dorset</t>
  </si>
  <si>
    <t>The Trundle</t>
  </si>
  <si>
    <t>60,</t>
  </si>
  <si>
    <t xml:space="preserve">51, 60, </t>
  </si>
  <si>
    <t>Whitehawk Camp</t>
  </si>
  <si>
    <t>Coombe Hill</t>
  </si>
  <si>
    <t xml:space="preserve">60, </t>
  </si>
  <si>
    <t>City of Brighton and Hove</t>
  </si>
  <si>
    <t>Northamptonshire</t>
  </si>
  <si>
    <t>Briar Hill</t>
  </si>
  <si>
    <t>Northampton</t>
  </si>
  <si>
    <t>Essex</t>
  </si>
  <si>
    <t>Orsett Camp</t>
  </si>
  <si>
    <t>Thurrock</t>
  </si>
  <si>
    <t xml:space="preserve">56, 62, </t>
  </si>
  <si>
    <t>Cleveland</t>
  </si>
  <si>
    <t>Street House</t>
  </si>
  <si>
    <t>Mortuary Enclosure</t>
  </si>
  <si>
    <t>East Cleveland</t>
  </si>
  <si>
    <t xml:space="preserve">63, </t>
  </si>
  <si>
    <t>NZ</t>
  </si>
  <si>
    <t>Carreg Coitan</t>
  </si>
  <si>
    <t>Portal Dolmen</t>
  </si>
  <si>
    <t>Newport</t>
  </si>
  <si>
    <t>Notgrove</t>
  </si>
  <si>
    <t>Dyffryn Ardudwy</t>
  </si>
  <si>
    <t xml:space="preserve">64, </t>
  </si>
  <si>
    <t>Merioneth</t>
  </si>
  <si>
    <t>Dumfries and Galloway</t>
  </si>
  <si>
    <t>Mid Gleniron I</t>
  </si>
  <si>
    <t>South-West Scotland</t>
  </si>
  <si>
    <t>NX</t>
  </si>
  <si>
    <t>Dalladies</t>
  </si>
  <si>
    <t>Aberdeenshire</t>
  </si>
  <si>
    <t>Kincardineshire</t>
  </si>
  <si>
    <t>Wayland's Smithy</t>
  </si>
  <si>
    <t xml:space="preserve">63-4, </t>
  </si>
  <si>
    <t>Cairnholy</t>
  </si>
  <si>
    <t>Highlands</t>
  </si>
  <si>
    <t>Na Tri Shean</t>
  </si>
  <si>
    <t>Caithness</t>
  </si>
  <si>
    <t>Camster Long</t>
  </si>
  <si>
    <t xml:space="preserve">65, </t>
  </si>
  <si>
    <t xml:space="preserve">64, 66, </t>
  </si>
  <si>
    <t>Pen-y-Wyrlod I</t>
  </si>
  <si>
    <t xml:space="preserve">66, </t>
  </si>
  <si>
    <t>Brecon</t>
  </si>
  <si>
    <t>Abergavenny</t>
  </si>
  <si>
    <t>Bethesda</t>
  </si>
  <si>
    <t>Tulloch of Assary</t>
  </si>
  <si>
    <t>Mid Gleniron II</t>
  </si>
  <si>
    <t>Invernesshire</t>
  </si>
  <si>
    <t>Balvraid</t>
  </si>
  <si>
    <t>Isles of Scilly</t>
  </si>
  <si>
    <t xml:space="preserve">67, </t>
  </si>
  <si>
    <t>South Wales</t>
  </si>
  <si>
    <t>North Wales</t>
  </si>
  <si>
    <t>north-east England</t>
  </si>
  <si>
    <t>western Scotland</t>
  </si>
  <si>
    <t>northern Scotland</t>
  </si>
  <si>
    <t>Clyde, lochs &amp; Islands</t>
  </si>
  <si>
    <t>eastern England</t>
  </si>
  <si>
    <t>eastern Scotland</t>
  </si>
  <si>
    <t>Hampshire</t>
  </si>
  <si>
    <t>Nutbane</t>
  </si>
  <si>
    <t>Test Valley</t>
  </si>
  <si>
    <t xml:space="preserve">68, </t>
  </si>
  <si>
    <t>western Britain</t>
  </si>
  <si>
    <t>southern England</t>
  </si>
  <si>
    <t xml:space="preserve">53, 68, </t>
  </si>
  <si>
    <t>Horslip</t>
  </si>
  <si>
    <t>Yorkshire North</t>
  </si>
  <si>
    <t>East Heslerton</t>
  </si>
  <si>
    <t>SE</t>
  </si>
  <si>
    <t>Yorkshire Wolds</t>
  </si>
  <si>
    <t>Ty Isaf</t>
  </si>
  <si>
    <t>Brecknockshire</t>
  </si>
  <si>
    <t>Pitnacree</t>
  </si>
  <si>
    <t>69,</t>
  </si>
  <si>
    <t>Seamer Moor</t>
  </si>
  <si>
    <t>Neolithic round barrow</t>
  </si>
  <si>
    <t xml:space="preserve">69, </t>
  </si>
  <si>
    <t>Bronze Age bowl barrow</t>
  </si>
  <si>
    <t>Fens</t>
  </si>
  <si>
    <t>south-east England</t>
  </si>
  <si>
    <t>Kent</t>
  </si>
  <si>
    <t xml:space="preserve">17, </t>
  </si>
  <si>
    <t>Mucking</t>
  </si>
  <si>
    <t>Thames gravels</t>
  </si>
  <si>
    <t>19,</t>
  </si>
  <si>
    <t>13, 19,</t>
  </si>
  <si>
    <t>Danebury</t>
  </si>
  <si>
    <t>Butser Hill</t>
  </si>
  <si>
    <t xml:space="preserve">22, </t>
  </si>
  <si>
    <t>Corndon Hill</t>
  </si>
  <si>
    <t>Abbot's Way</t>
  </si>
  <si>
    <t xml:space="preserve">26, </t>
  </si>
  <si>
    <t>midland England</t>
  </si>
  <si>
    <t>northern England</t>
  </si>
  <si>
    <t>Berkshire</t>
  </si>
  <si>
    <t>Wawcott</t>
  </si>
  <si>
    <t>Bodmin Moor</t>
  </si>
  <si>
    <t>Bodmin</t>
  </si>
  <si>
    <t>Anglesey</t>
  </si>
  <si>
    <t>northern Britain</t>
  </si>
  <si>
    <t>south-west Britain</t>
  </si>
  <si>
    <t>lower Severn Valley</t>
  </si>
  <si>
    <t>West Wales</t>
  </si>
  <si>
    <t>south-west peninsula</t>
  </si>
  <si>
    <t>south-west Scotland</t>
  </si>
  <si>
    <t>Pangbourne</t>
  </si>
  <si>
    <t xml:space="preserve">70, </t>
  </si>
  <si>
    <t>Neolithic burial</t>
  </si>
  <si>
    <t>West Berkshire</t>
  </si>
  <si>
    <t>Handley Hill</t>
  </si>
  <si>
    <t>70,</t>
  </si>
  <si>
    <t>East Dorset</t>
  </si>
  <si>
    <t>Shetland</t>
  </si>
  <si>
    <t>Sumburgh Airport</t>
  </si>
  <si>
    <t>Burial</t>
  </si>
  <si>
    <t>HU</t>
  </si>
  <si>
    <t>Shetland Islands</t>
  </si>
  <si>
    <t xml:space="preserve">26-7, 68, 70, </t>
  </si>
  <si>
    <t>western England</t>
  </si>
  <si>
    <t xml:space="preserve">71, </t>
  </si>
  <si>
    <t>Lizard Peninsula</t>
  </si>
  <si>
    <t xml:space="preserve">72, </t>
  </si>
  <si>
    <t xml:space="preserve">53, 71-2, </t>
  </si>
  <si>
    <t>Lake District</t>
  </si>
  <si>
    <t>East Anglia</t>
  </si>
  <si>
    <t>Lincolnshire</t>
  </si>
  <si>
    <t>68, 73,</t>
  </si>
  <si>
    <t>Peterborough</t>
  </si>
  <si>
    <t>pit grave</t>
  </si>
  <si>
    <t xml:space="preserve">50, 75, </t>
  </si>
  <si>
    <t xml:space="preserve">57, 72-3, 75, </t>
  </si>
  <si>
    <t>South-East Wales</t>
  </si>
  <si>
    <t xml:space="preserve">75, </t>
  </si>
  <si>
    <t xml:space="preserve">45, 51-2, 75-6, </t>
  </si>
  <si>
    <t>Nympsfield</t>
  </si>
  <si>
    <t xml:space="preserve">76, </t>
  </si>
  <si>
    <t xml:space="preserve">63-4, 66, 76, </t>
  </si>
  <si>
    <t xml:space="preserve">68, 76, </t>
  </si>
  <si>
    <t>Lanhill</t>
  </si>
  <si>
    <t>Lugbury</t>
  </si>
  <si>
    <t>Wor Barrow</t>
  </si>
  <si>
    <t>Hockham Mere</t>
  </si>
  <si>
    <t xml:space="preserve">13, 53, 56, 71, 77, </t>
  </si>
  <si>
    <t xml:space="preserve">46, 77, </t>
  </si>
  <si>
    <t xml:space="preserve">73, 77, </t>
  </si>
  <si>
    <t xml:space="preserve">64-5, 68, 70, 76-7, </t>
  </si>
  <si>
    <t xml:space="preserve">77, </t>
  </si>
  <si>
    <t xml:space="preserve">54, 62, 73, 77, </t>
  </si>
  <si>
    <t>Cotswolds-Severn</t>
  </si>
  <si>
    <t xml:space="preserve">46, 59, 63-4, 67, 73, 76-7, </t>
  </si>
  <si>
    <t>Alfriston</t>
  </si>
  <si>
    <t>Barrow Hills</t>
  </si>
  <si>
    <t>Rectangular barrow</t>
  </si>
  <si>
    <t>Four Crosses</t>
  </si>
  <si>
    <t>Llandysilio</t>
  </si>
  <si>
    <t xml:space="preserve">78, </t>
  </si>
  <si>
    <t xml:space="preserve">77-8, </t>
  </si>
  <si>
    <t>Chapel Euny</t>
  </si>
  <si>
    <t>West Penwith</t>
  </si>
  <si>
    <t>Bosiliack</t>
  </si>
  <si>
    <t>Penzance</t>
  </si>
  <si>
    <t>Stanton Harcourt</t>
  </si>
  <si>
    <t>Devil's Quoits</t>
  </si>
  <si>
    <t>Stone circle  Ring-ditch</t>
  </si>
  <si>
    <t>79,</t>
  </si>
  <si>
    <t xml:space="preserve">51, 79, </t>
  </si>
  <si>
    <t xml:space="preserve">46, 72, 79, </t>
  </si>
  <si>
    <t xml:space="preserve">76, 79, </t>
  </si>
  <si>
    <t>Welsh Marches</t>
  </si>
  <si>
    <t xml:space="preserve">79, </t>
  </si>
  <si>
    <t xml:space="preserve">78-9, </t>
  </si>
  <si>
    <t xml:space="preserve">67, 79, </t>
  </si>
  <si>
    <t>Land's End</t>
  </si>
  <si>
    <t xml:space="preserve">77, 79, </t>
  </si>
  <si>
    <t xml:space="preserve">51-2, 59, 60-61, 70, 72, 79, </t>
  </si>
  <si>
    <t xml:space="preserve">51, 59, 62, 70, 73-4, 76, 79, </t>
  </si>
  <si>
    <t xml:space="preserve">59, 79, </t>
  </si>
  <si>
    <t xml:space="preserve">19, 59, 62, 73, 76, 79, </t>
  </si>
  <si>
    <t>Dorset cursus</t>
  </si>
  <si>
    <t>Cranborne Chase</t>
  </si>
  <si>
    <t>Springfield</t>
  </si>
  <si>
    <t>Chelmsford</t>
  </si>
  <si>
    <t>Dorchester Cursus</t>
  </si>
  <si>
    <t>South Oxfordshire</t>
  </si>
  <si>
    <t xml:space="preserve">79-80, </t>
  </si>
  <si>
    <t>Maxey</t>
  </si>
  <si>
    <t xml:space="preserve">80, </t>
  </si>
  <si>
    <t>Barford</t>
  </si>
  <si>
    <t>Warwick</t>
  </si>
  <si>
    <t>Arminghall</t>
  </si>
  <si>
    <t>TG</t>
  </si>
  <si>
    <t>Borders</t>
  </si>
  <si>
    <t>Meldon Bridge</t>
  </si>
  <si>
    <t xml:space="preserve">81, </t>
  </si>
  <si>
    <t>Tweeddale</t>
  </si>
  <si>
    <t>NT</t>
  </si>
  <si>
    <t>Forteviot</t>
  </si>
  <si>
    <t>Perth and Kinross</t>
  </si>
  <si>
    <t>Enclosure</t>
  </si>
  <si>
    <t>Mount Pleasant</t>
  </si>
  <si>
    <t xml:space="preserve">Marden </t>
  </si>
  <si>
    <t>Thornborough Central</t>
  </si>
  <si>
    <t>Hambleton</t>
  </si>
  <si>
    <t>Gorsey Bigbury</t>
  </si>
  <si>
    <t>Fife</t>
  </si>
  <si>
    <t>Kirkcaldy</t>
  </si>
  <si>
    <t>Balfarg Riding School</t>
  </si>
  <si>
    <t xml:space="preserve">81-2, </t>
  </si>
  <si>
    <t>Bedfordshire</t>
  </si>
  <si>
    <t>Waulud's Bank</t>
  </si>
  <si>
    <t>Luton</t>
  </si>
  <si>
    <t xml:space="preserve">82, </t>
  </si>
  <si>
    <t xml:space="preserve">60, 82, </t>
  </si>
  <si>
    <t>Yorkshire</t>
  </si>
  <si>
    <t xml:space="preserve">73, 82, </t>
  </si>
  <si>
    <t>Giant's Hills I</t>
  </si>
  <si>
    <t>Skendleby</t>
  </si>
  <si>
    <t>Trefignath</t>
  </si>
  <si>
    <t>Capel Garmon</t>
  </si>
  <si>
    <t>Barclodiad-y-Gawres</t>
  </si>
  <si>
    <t>Bryn-celli-Ddu</t>
  </si>
  <si>
    <t xml:space="preserve">49-50, 64, 67, 82, </t>
  </si>
  <si>
    <t xml:space="preserve">64, 82, </t>
  </si>
  <si>
    <t>North Ayrshire</t>
  </si>
  <si>
    <t>Meallach's Grave</t>
  </si>
  <si>
    <t>Arran</t>
  </si>
  <si>
    <t>NS</t>
  </si>
  <si>
    <t>Lancashire</t>
  </si>
  <si>
    <t>SD</t>
  </si>
  <si>
    <t>Greater Manchester</t>
  </si>
  <si>
    <t>Nant Ffrancon</t>
  </si>
  <si>
    <t>Deposit</t>
  </si>
  <si>
    <t xml:space="preserve">64, 67, 69, 82, </t>
  </si>
  <si>
    <t>Whitegrounds</t>
  </si>
  <si>
    <t>Ryedale</t>
  </si>
  <si>
    <t>Late Neolithic Round Barrow</t>
  </si>
  <si>
    <t>Duggleby Howe</t>
  </si>
  <si>
    <t>Neolithic round mound</t>
  </si>
  <si>
    <t>Crosby Garrett, Rayseat Pike</t>
  </si>
  <si>
    <t>Appleby in Westmorland</t>
  </si>
  <si>
    <t>Liff's Low</t>
  </si>
  <si>
    <t>Derbyshire Dales</t>
  </si>
  <si>
    <t>SK</t>
  </si>
  <si>
    <t>Staffordshire</t>
  </si>
  <si>
    <t>Long Low</t>
  </si>
  <si>
    <t>Ashbourne</t>
  </si>
  <si>
    <t>Scorton</t>
  </si>
  <si>
    <t>Richmondshire</t>
  </si>
  <si>
    <t>North-West Wales</t>
  </si>
  <si>
    <t>Milfield</t>
  </si>
  <si>
    <t>Neolithic settlement</t>
  </si>
  <si>
    <t>Rudston</t>
  </si>
  <si>
    <t>East Riding</t>
  </si>
  <si>
    <t xml:space="preserve">83, </t>
  </si>
  <si>
    <t>Quanterness</t>
  </si>
  <si>
    <t>Balnuaran of Clava</t>
  </si>
  <si>
    <t xml:space="preserve">84, </t>
  </si>
  <si>
    <t>NH</t>
  </si>
  <si>
    <t>Loanhead of Daviot</t>
  </si>
  <si>
    <t xml:space="preserve">83, 85, </t>
  </si>
  <si>
    <t xml:space="preserve">52, 70, 85, </t>
  </si>
  <si>
    <t>Inverness</t>
  </si>
  <si>
    <t>Clava cairns</t>
  </si>
  <si>
    <t xml:space="preserve">85, </t>
  </si>
  <si>
    <t>Corrimony</t>
  </si>
  <si>
    <t>Rinyo</t>
  </si>
  <si>
    <t>Rousay</t>
  </si>
  <si>
    <t xml:space="preserve">18, 81, 85, </t>
  </si>
  <si>
    <t>north-eastern Scotland</t>
  </si>
  <si>
    <t xml:space="preserve">82-3, 85, </t>
  </si>
  <si>
    <t xml:space="preserve">48, 54, 67-8, 70-1, 86, </t>
  </si>
  <si>
    <t>Julliberrie's Grave</t>
  </si>
  <si>
    <t>Canterbury</t>
  </si>
  <si>
    <t xml:space="preserve">86, </t>
  </si>
  <si>
    <t>TR</t>
  </si>
  <si>
    <t>Moel Arthur</t>
  </si>
  <si>
    <t xml:space="preserve">57, 81-2, 88, </t>
  </si>
  <si>
    <t xml:space="preserve">63-4, 88, </t>
  </si>
  <si>
    <t xml:space="preserve">80, 88, </t>
  </si>
  <si>
    <t xml:space="preserve">82, 88, </t>
  </si>
  <si>
    <t>Merseyside</t>
  </si>
  <si>
    <t>Calderstones</t>
  </si>
  <si>
    <t>Liverpool</t>
  </si>
  <si>
    <t xml:space="preserve">88, </t>
  </si>
  <si>
    <t>Ashgrove</t>
  </si>
  <si>
    <t xml:space="preserve">89, </t>
  </si>
  <si>
    <t>eastern Britain</t>
  </si>
  <si>
    <t xml:space="preserve">64, 67-9, 89, </t>
  </si>
  <si>
    <t>Newmill</t>
  </si>
  <si>
    <t xml:space="preserve">79-80, 90, </t>
  </si>
  <si>
    <t>Roundway</t>
  </si>
  <si>
    <t xml:space="preserve">90, </t>
  </si>
  <si>
    <t>Devil's Dyke</t>
  </si>
  <si>
    <t>Hillfort  Settlement</t>
  </si>
  <si>
    <t>Winterbourne Stoke</t>
  </si>
  <si>
    <t>Eynsham</t>
  </si>
  <si>
    <t>Cemetery</t>
  </si>
  <si>
    <t>91,</t>
  </si>
  <si>
    <t>Barnack</t>
  </si>
  <si>
    <t xml:space="preserve">91, </t>
  </si>
  <si>
    <t xml:space="preserve">90-1, </t>
  </si>
  <si>
    <t xml:space="preserve">89, 91, </t>
  </si>
  <si>
    <t xml:space="preserve">51, 92, </t>
  </si>
  <si>
    <t xml:space="preserve">81-2, 92, </t>
  </si>
  <si>
    <t xml:space="preserve">92, </t>
  </si>
  <si>
    <t xml:space="preserve">82, 94, </t>
  </si>
  <si>
    <t xml:space="preserve">79, 94, </t>
  </si>
  <si>
    <t>Priddy circles</t>
  </si>
  <si>
    <t>Stone circle   Henge</t>
  </si>
  <si>
    <t>Mendips</t>
  </si>
  <si>
    <t xml:space="preserve">94, </t>
  </si>
  <si>
    <t>Swale-Ure henge group</t>
  </si>
  <si>
    <t>A1 Corridor</t>
  </si>
  <si>
    <t>94,</t>
  </si>
  <si>
    <t xml:space="preserve">72, 88, 94, </t>
  </si>
  <si>
    <t>Merry Maidens</t>
  </si>
  <si>
    <t>Merrivale stone row</t>
  </si>
  <si>
    <t>SX</t>
  </si>
  <si>
    <t xml:space="preserve">94-5, </t>
  </si>
  <si>
    <t>Western Isles</t>
  </si>
  <si>
    <t>Callanish</t>
  </si>
  <si>
    <t>Stone circle  Stone row</t>
  </si>
  <si>
    <t>Ross and Cromarty</t>
  </si>
  <si>
    <t>NB</t>
  </si>
  <si>
    <t>Arbor Low</t>
  </si>
  <si>
    <t>Stone circle  Henge</t>
  </si>
  <si>
    <t xml:space="preserve">85, 92, 94, </t>
  </si>
  <si>
    <t xml:space="preserve">77, 81-2, 94, </t>
  </si>
  <si>
    <t>Rollright Stones</t>
  </si>
  <si>
    <t>Bath and North-East Somerset</t>
  </si>
  <si>
    <t>Stanton Drew</t>
  </si>
  <si>
    <t>South of Bath</t>
  </si>
  <si>
    <t>Hurlers</t>
  </si>
  <si>
    <t xml:space="preserve">14-15, 53, 59, 62, 72, 76-7, 97, </t>
  </si>
  <si>
    <t xml:space="preserve">20, 97, </t>
  </si>
  <si>
    <t xml:space="preserve">81-2, 92, 94, 97, </t>
  </si>
  <si>
    <t>Lambourn</t>
  </si>
  <si>
    <t>Barrow cemetery</t>
  </si>
  <si>
    <t xml:space="preserve">98, </t>
  </si>
  <si>
    <t>Condicote</t>
  </si>
  <si>
    <t>central southern England</t>
  </si>
  <si>
    <t>Oakley Down</t>
  </si>
  <si>
    <t>Bush Barrow</t>
  </si>
  <si>
    <t xml:space="preserve">99, </t>
  </si>
  <si>
    <t>Snowshill</t>
  </si>
  <si>
    <t>Tewkesbury</t>
  </si>
  <si>
    <t>Wilsford Barrow Group</t>
  </si>
  <si>
    <t>Wilsford Group</t>
  </si>
  <si>
    <t>Rillaton</t>
  </si>
  <si>
    <t>Linkinhorne</t>
  </si>
  <si>
    <t>Mold</t>
  </si>
  <si>
    <t>Flintshire</t>
  </si>
  <si>
    <t>Pen-y-Bont</t>
  </si>
  <si>
    <t>Kellythorpe</t>
  </si>
  <si>
    <t>Hove</t>
  </si>
  <si>
    <t>English Channel coast</t>
  </si>
  <si>
    <t xml:space="preserve">100, </t>
  </si>
  <si>
    <t xml:space="preserve">13, 71-2, 100, </t>
  </si>
  <si>
    <t xml:space="preserve">98, 100, </t>
  </si>
  <si>
    <t xml:space="preserve">13, 19, 48-52, 54, 57, 59, 64, 68, 70-1, 73, 75-7, 79-80, 86, 94, 100, </t>
  </si>
  <si>
    <t xml:space="preserve">73, 75-6, 89, 100, </t>
  </si>
  <si>
    <t xml:space="preserve">76, 100, </t>
  </si>
  <si>
    <t>Grimes Graves</t>
  </si>
  <si>
    <t>Breckland</t>
  </si>
  <si>
    <t>Mine</t>
  </si>
  <si>
    <t>Red Moss Mere</t>
  </si>
  <si>
    <t xml:space="preserve">100-1, </t>
  </si>
  <si>
    <t>Montgomery</t>
  </si>
  <si>
    <t xml:space="preserve">22, 101, </t>
  </si>
  <si>
    <t xml:space="preserve">101, </t>
  </si>
  <si>
    <t>Gwithian  Horsepool</t>
  </si>
  <si>
    <t>Betws-y-Coed</t>
  </si>
  <si>
    <t>103,</t>
  </si>
  <si>
    <t xml:space="preserve">79, 103, </t>
  </si>
  <si>
    <t>Walleybourne</t>
  </si>
  <si>
    <t xml:space="preserve">103, </t>
  </si>
  <si>
    <t xml:space="preserve">85, 103, </t>
  </si>
  <si>
    <t xml:space="preserve">99, 103, </t>
  </si>
  <si>
    <t xml:space="preserve">53, 103, </t>
  </si>
  <si>
    <t>15, 46, 67, 73, 82, 89, 94, 98-9, 100, 103,</t>
  </si>
  <si>
    <t xml:space="preserve">92-3, 103, </t>
  </si>
  <si>
    <t xml:space="preserve">14-15, 20, 80, 96-8, 103, </t>
  </si>
  <si>
    <t xml:space="preserve">81-2, 92, 94, 103, </t>
  </si>
  <si>
    <t xml:space="preserve">68, 73, 103, </t>
  </si>
  <si>
    <t xml:space="preserve">19, 103, </t>
  </si>
  <si>
    <t xml:space="preserve">13, 24, 49-50, 64, 67, 82, 88, 101, 103, </t>
  </si>
  <si>
    <t>Amesbury</t>
  </si>
  <si>
    <t xml:space="preserve">105, </t>
  </si>
  <si>
    <t xml:space="preserve">14-15, 53, 59, 68, 77, 81, 92-4, 103, 105, </t>
  </si>
  <si>
    <t xml:space="preserve">27, 52-3, 68, 105, </t>
  </si>
  <si>
    <t>Glamorgan</t>
  </si>
  <si>
    <t>Simondston</t>
  </si>
  <si>
    <t>Mid Glamorgan</t>
  </si>
  <si>
    <t>SS</t>
  </si>
  <si>
    <t>Barton Court Farm</t>
  </si>
  <si>
    <t>Neolithic pit</t>
  </si>
  <si>
    <t>Mount Farm</t>
  </si>
  <si>
    <t>Dorchester-on-Thames</t>
  </si>
  <si>
    <t>New Forest</t>
  </si>
  <si>
    <t>Down Farm Woodcutts</t>
  </si>
  <si>
    <t xml:space="preserve">50-1, 71, 73, 105, </t>
  </si>
  <si>
    <t xml:space="preserve">50-1, 57, 64, 75, 100, 105, </t>
  </si>
  <si>
    <t>Puddlehill</t>
  </si>
  <si>
    <t>Central Bedfordshire</t>
  </si>
  <si>
    <t>Low Caythorpe</t>
  </si>
  <si>
    <t>North Carnaby Temple</t>
  </si>
  <si>
    <t>Suffolk</t>
  </si>
  <si>
    <t>Poor's Heath  Risby</t>
  </si>
  <si>
    <t>Bury St Edmond's</t>
  </si>
  <si>
    <t>Snail Down</t>
  </si>
  <si>
    <t>Playden</t>
  </si>
  <si>
    <t>105,</t>
  </si>
  <si>
    <t>Chippenham</t>
  </si>
  <si>
    <t>Barrow  Settlement</t>
  </si>
  <si>
    <t>Newton Mumbles</t>
  </si>
  <si>
    <t xml:space="preserve">85, 105, </t>
  </si>
  <si>
    <t>Links of Noltland</t>
  </si>
  <si>
    <t>Westray</t>
  </si>
  <si>
    <t>Newborough Warren</t>
  </si>
  <si>
    <t>Merthyr Mawr Warren</t>
  </si>
  <si>
    <t>Bridgend</t>
  </si>
  <si>
    <t>Swansea</t>
  </si>
  <si>
    <t xml:space="preserve">51, 105, </t>
  </si>
  <si>
    <t>Ross Links</t>
  </si>
  <si>
    <t>NU</t>
  </si>
  <si>
    <t>Holy Island</t>
  </si>
  <si>
    <t>Central Wales</t>
  </si>
  <si>
    <t>North York Moors</t>
  </si>
  <si>
    <t>Cefn Caer Euni</t>
  </si>
  <si>
    <t>Trelystan</t>
  </si>
  <si>
    <t xml:space="preserve">13, 24, 53-4, 68, 70-1, 88, 91, 98, 101, 105-6, </t>
  </si>
  <si>
    <t xml:space="preserve">54, 71, 82, 88, 98, 101, 105-6, </t>
  </si>
  <si>
    <t xml:space="preserve">64, 67, 82, 85, 88, 105-6, </t>
  </si>
  <si>
    <t>Rhos-y-Clegyr</t>
  </si>
  <si>
    <t>106,</t>
  </si>
  <si>
    <t>Standing stone  Settlement</t>
  </si>
  <si>
    <t xml:space="preserve">82, 94, 106, </t>
  </si>
  <si>
    <t xml:space="preserve">19, 57, 70, 105-7, </t>
  </si>
  <si>
    <t xml:space="preserve">105, 107, </t>
  </si>
  <si>
    <t xml:space="preserve">85, 105, 107, </t>
  </si>
  <si>
    <t xml:space="preserve">19, 77, 105-6, 187, </t>
  </si>
  <si>
    <t xml:space="preserve">73, 86, 88, 105, 187, </t>
  </si>
  <si>
    <t xml:space="preserve">187, </t>
  </si>
  <si>
    <t xml:space="preserve">73, 105, 187, </t>
  </si>
  <si>
    <t>Walton Heath</t>
  </si>
  <si>
    <t>Trackway</t>
  </si>
  <si>
    <t xml:space="preserve">188, </t>
  </si>
  <si>
    <t xml:space="preserve">45, 56, 69, 188, </t>
  </si>
  <si>
    <t xml:space="preserve">72, 86, 189, </t>
  </si>
  <si>
    <t xml:space="preserve">70-3, 86, 88, 100-1, 103, 189, </t>
  </si>
  <si>
    <t xml:space="preserve">50-1, 71, 73, 82, 88, 189, </t>
  </si>
  <si>
    <t xml:space="preserve">19, 59, 73, 89, 103, 189, </t>
  </si>
  <si>
    <t xml:space="preserve">19, 189, </t>
  </si>
  <si>
    <t>London</t>
  </si>
  <si>
    <t xml:space="preserve">189, </t>
  </si>
  <si>
    <t>Abbots Bromley</t>
  </si>
  <si>
    <t>East Staffordshire</t>
  </si>
  <si>
    <t xml:space="preserve">71, 88, 192, </t>
  </si>
  <si>
    <t xml:space="preserve">20, 192, </t>
  </si>
  <si>
    <t xml:space="preserve">53, 59-60, 73, 76, </t>
  </si>
  <si>
    <t>NE</t>
  </si>
  <si>
    <t>NW</t>
  </si>
  <si>
    <t>Area Totals</t>
  </si>
  <si>
    <t>Central</t>
  </si>
  <si>
    <t>N</t>
  </si>
  <si>
    <t>S</t>
  </si>
  <si>
    <t>E</t>
  </si>
  <si>
    <t>W</t>
  </si>
  <si>
    <t>86,</t>
  </si>
  <si>
    <t>83,</t>
  </si>
  <si>
    <t xml:space="preserve">11, </t>
  </si>
  <si>
    <t>Durham</t>
  </si>
  <si>
    <t>Driffield</t>
  </si>
  <si>
    <t>Hebrides</t>
  </si>
  <si>
    <t>Fenland</t>
  </si>
  <si>
    <t>south-west England</t>
  </si>
  <si>
    <t>southern Britain</t>
  </si>
  <si>
    <t>north-west Britain</t>
  </si>
  <si>
    <t>28,</t>
  </si>
  <si>
    <t>English Channel</t>
  </si>
  <si>
    <t>coastline</t>
  </si>
  <si>
    <t xml:space="preserve">62, </t>
  </si>
  <si>
    <t>Forest of Dean</t>
  </si>
  <si>
    <t>63,</t>
  </si>
  <si>
    <t xml:space="preserve">62, 64, </t>
  </si>
  <si>
    <t xml:space="preserve">61, 64, </t>
  </si>
  <si>
    <t>Downs &amp; Weald</t>
  </si>
  <si>
    <t xml:space="preserve">68-9, </t>
  </si>
  <si>
    <t>Easton Down</t>
  </si>
  <si>
    <t>Peppard Common</t>
  </si>
  <si>
    <t>Chilterns</t>
  </si>
  <si>
    <t xml:space="preserve">20, 73, </t>
  </si>
  <si>
    <t>Holdenhurst</t>
  </si>
  <si>
    <t>Bournemouth</t>
  </si>
  <si>
    <t>SZ</t>
  </si>
  <si>
    <t>Thickthorn</t>
  </si>
  <si>
    <t>Surrey</t>
  </si>
  <si>
    <t>Badshot Lea</t>
  </si>
  <si>
    <t>Farnham</t>
  </si>
  <si>
    <t>Maiden Castle Long Barrow 1</t>
  </si>
  <si>
    <t>Winterbourne St Martin</t>
  </si>
  <si>
    <t xml:space="preserve">Maiden Bower </t>
  </si>
  <si>
    <t>Hertfordshire</t>
  </si>
  <si>
    <t>Therfield Heath</t>
  </si>
  <si>
    <t>Royston</t>
  </si>
  <si>
    <t>Westmorland</t>
  </si>
  <si>
    <t>Stirlingshire</t>
  </si>
  <si>
    <t>Bantaskine</t>
  </si>
  <si>
    <t>Falkirk</t>
  </si>
  <si>
    <t>Easterton of Roseisle</t>
  </si>
  <si>
    <t>Neolithic pits</t>
  </si>
  <si>
    <t>Moray</t>
  </si>
  <si>
    <t>Ehenside Tarn</t>
  </si>
  <si>
    <t>Cumberland</t>
  </si>
  <si>
    <t>Glenluce Bay</t>
  </si>
  <si>
    <t>Isle of Man</t>
  </si>
  <si>
    <t>Bristol Channel</t>
  </si>
  <si>
    <t>Gower</t>
  </si>
  <si>
    <t>Belas Knap</t>
  </si>
  <si>
    <t>Uley  Hetty Peglers Tump</t>
  </si>
  <si>
    <t>Stroud</t>
  </si>
  <si>
    <t xml:space="preserve">Stoney Littleton </t>
  </si>
  <si>
    <t>Wellow</t>
  </si>
  <si>
    <t>Clyde estuary</t>
  </si>
  <si>
    <t>85,</t>
  </si>
  <si>
    <t>Bute</t>
  </si>
  <si>
    <t>Kintyre</t>
  </si>
  <si>
    <t>Galloway</t>
  </si>
  <si>
    <t>85-6,</t>
  </si>
  <si>
    <t>Oronsay</t>
  </si>
  <si>
    <t xml:space="preserve">87, </t>
  </si>
  <si>
    <t xml:space="preserve">Pentre Ifan </t>
  </si>
  <si>
    <t>Grey Mare and her Colts</t>
  </si>
  <si>
    <t>Clyde-Carlingford tombs</t>
  </si>
  <si>
    <t>north-west Scotland</t>
  </si>
  <si>
    <t>Ronaldsway</t>
  </si>
  <si>
    <t>IOM</t>
  </si>
  <si>
    <t>SC</t>
  </si>
  <si>
    <t>Settlement  Cremation cemetery</t>
  </si>
  <si>
    <t>Scilly Isles</t>
  </si>
  <si>
    <t>Sutherland</t>
  </si>
  <si>
    <t>Great Glen</t>
  </si>
  <si>
    <t>North Uist</t>
  </si>
  <si>
    <t>Skye</t>
  </si>
  <si>
    <t>Clettraval</t>
  </si>
  <si>
    <t>Unival</t>
  </si>
  <si>
    <t xml:space="preserve">91-2, </t>
  </si>
  <si>
    <t>Yarrow</t>
  </si>
  <si>
    <t>Taiversoe Tuack</t>
  </si>
  <si>
    <t xml:space="preserve">93, </t>
  </si>
  <si>
    <t>Stalled cairns</t>
  </si>
  <si>
    <t xml:space="preserve">91-3, </t>
  </si>
  <si>
    <t xml:space="preserve">16, 83, 85-6, 91-2, 94, </t>
  </si>
  <si>
    <t>Shetlands</t>
  </si>
  <si>
    <t>Medway valley</t>
  </si>
  <si>
    <t>Pentland Firth</t>
  </si>
  <si>
    <t>KW1</t>
  </si>
  <si>
    <t>Addington</t>
  </si>
  <si>
    <t>Coldrum</t>
  </si>
  <si>
    <t>Kits Coty</t>
  </si>
  <si>
    <t xml:space="preserve">95, </t>
  </si>
  <si>
    <t>95,</t>
  </si>
  <si>
    <t>east England</t>
  </si>
  <si>
    <t>85, 96,</t>
  </si>
  <si>
    <t xml:space="preserve">93, 96, </t>
  </si>
  <si>
    <t xml:space="preserve">61, 78, 80, 96, </t>
  </si>
  <si>
    <t xml:space="preserve">95-6, </t>
  </si>
  <si>
    <t>North Sea</t>
  </si>
  <si>
    <t>Ireland</t>
  </si>
  <si>
    <t>Sligo</t>
  </si>
  <si>
    <t>Eire</t>
  </si>
  <si>
    <t>Irish Sea</t>
  </si>
  <si>
    <t>Ulster</t>
  </si>
  <si>
    <t>Northern Ireland</t>
  </si>
  <si>
    <t>Lyles Hill</t>
  </si>
  <si>
    <t>Antrim</t>
  </si>
  <si>
    <t>Dooey's Cairn</t>
  </si>
  <si>
    <t>Court tomb</t>
  </si>
  <si>
    <t>D</t>
  </si>
  <si>
    <t>J</t>
  </si>
  <si>
    <t>Lough</t>
  </si>
  <si>
    <t>Carlingford</t>
  </si>
  <si>
    <t>Mayo</t>
  </si>
  <si>
    <t>Connacht</t>
  </si>
  <si>
    <t xml:space="preserve">80, 85-6, </t>
  </si>
  <si>
    <t xml:space="preserve">80, 86, </t>
  </si>
  <si>
    <t>Waterford</t>
  </si>
  <si>
    <t>Ballynamona</t>
  </si>
  <si>
    <t>Court tombs</t>
  </si>
  <si>
    <t xml:space="preserve">87-8, </t>
  </si>
  <si>
    <t>Dublin</t>
  </si>
  <si>
    <t>88,</t>
  </si>
  <si>
    <t>Meath</t>
  </si>
  <si>
    <t>Newgrange</t>
  </si>
  <si>
    <t>Boyne</t>
  </si>
  <si>
    <t>O</t>
  </si>
  <si>
    <t>Loughcrew</t>
  </si>
  <si>
    <t>Passage tomb cemetery</t>
  </si>
  <si>
    <t>Carrowkeel</t>
  </si>
  <si>
    <t>G</t>
  </si>
  <si>
    <t>Cross</t>
  </si>
  <si>
    <t>Limerick</t>
  </si>
  <si>
    <t>Tibradden</t>
  </si>
  <si>
    <t>Carrowmore</t>
  </si>
  <si>
    <t>Rough Gur</t>
  </si>
  <si>
    <t>R</t>
  </si>
  <si>
    <t xml:space="preserve">79-80, 85-6, 91, </t>
  </si>
  <si>
    <t>Tramore</t>
  </si>
  <si>
    <t>passage tomb cemetery</t>
  </si>
  <si>
    <t xml:space="preserve">61, 85, 88, 91, </t>
  </si>
  <si>
    <t>Firth of Lorne</t>
  </si>
  <si>
    <t xml:space="preserve">88-9, 93, </t>
  </si>
  <si>
    <t xml:space="preserve">88, 90, 95, </t>
  </si>
  <si>
    <t xml:space="preserve">88, 96, </t>
  </si>
  <si>
    <t xml:space="preserve">80, 98, </t>
  </si>
  <si>
    <t xml:space="preserve">63, 98, </t>
  </si>
  <si>
    <t xml:space="preserve">69, 98, </t>
  </si>
  <si>
    <t xml:space="preserve">72, 74, 99, </t>
  </si>
  <si>
    <t>southern Scotland</t>
  </si>
  <si>
    <t>Wash</t>
  </si>
  <si>
    <t>Clacton-on-Sea</t>
  </si>
  <si>
    <t xml:space="preserve">20, 62, 102, </t>
  </si>
  <si>
    <t>Stone axe factory  Quarry</t>
  </si>
  <si>
    <t>Penmaenmawr</t>
  </si>
  <si>
    <t xml:space="preserve">61, 78, 83-6, 88, 104, </t>
  </si>
  <si>
    <t xml:space="preserve">104, </t>
  </si>
  <si>
    <t>Totternhoe</t>
  </si>
  <si>
    <t>Barrow  Ring ditch</t>
  </si>
  <si>
    <t>Dunstable</t>
  </si>
  <si>
    <t xml:space="preserve">81, 85, 90, 93, 104, </t>
  </si>
  <si>
    <t>Manx culture</t>
  </si>
  <si>
    <t xml:space="preserve">68-9, 70-1, 73-5, 77-9, 80-1, 84, 86-7, 94-5, 98-9, 102, 105, </t>
  </si>
  <si>
    <t xml:space="preserve">102-3, 105, </t>
  </si>
  <si>
    <t xml:space="preserve">99, 105, </t>
  </si>
  <si>
    <t xml:space="preserve">74, 91-3, 99, 100-1, 105, </t>
  </si>
  <si>
    <t xml:space="preserve">96-7, 108, </t>
  </si>
  <si>
    <t>96, 109,</t>
  </si>
  <si>
    <t xml:space="preserve">109, </t>
  </si>
  <si>
    <t>south-east Britain</t>
  </si>
  <si>
    <t xml:space="preserve">110, </t>
  </si>
  <si>
    <t>Weardale</t>
  </si>
  <si>
    <t>north-west England</t>
  </si>
  <si>
    <t xml:space="preserve">106, 112, </t>
  </si>
  <si>
    <t xml:space="preserve">112, </t>
  </si>
  <si>
    <t xml:space="preserve">20, 62, 73, 81, 87-8, 102, 110, 114, </t>
  </si>
  <si>
    <t>Salisbury Plain</t>
  </si>
  <si>
    <t xml:space="preserve">114, </t>
  </si>
  <si>
    <t xml:space="preserve">20, 102-4, 110, 114, </t>
  </si>
  <si>
    <t>Lowland zone</t>
  </si>
  <si>
    <t>Highland zone</t>
  </si>
  <si>
    <t xml:space="preserve">67-8, 71, 77, 109, 115, </t>
  </si>
  <si>
    <t>Flint mine  Settlement</t>
  </si>
  <si>
    <t xml:space="preserve">72, 115, </t>
  </si>
  <si>
    <t>Crichel Down</t>
  </si>
  <si>
    <t>Blandford</t>
  </si>
  <si>
    <t>115,</t>
  </si>
  <si>
    <t>Barrow  Trepanned skull</t>
  </si>
  <si>
    <t xml:space="preserve">116, </t>
  </si>
  <si>
    <t>Beaulieu Heath</t>
  </si>
  <si>
    <t xml:space="preserve">17, 99, 100, 102, 104-5, 117, </t>
  </si>
  <si>
    <t xml:space="preserve">117, </t>
  </si>
  <si>
    <t>Dorchester</t>
  </si>
  <si>
    <t>Cursus  Henge</t>
  </si>
  <si>
    <t xml:space="preserve">118, </t>
  </si>
  <si>
    <t xml:space="preserve">117, 119, </t>
  </si>
  <si>
    <t xml:space="preserve">119, </t>
  </si>
  <si>
    <t xml:space="preserve">99, 117, 119, </t>
  </si>
  <si>
    <t xml:space="preserve">95, 120, </t>
  </si>
  <si>
    <t xml:space="preserve">14, 61, 68, 77, 96, 120, </t>
  </si>
  <si>
    <t xml:space="preserve">81, 91, 120, </t>
  </si>
  <si>
    <t xml:space="preserve">11, 13, 103, 115, 121, </t>
  </si>
  <si>
    <t>Query</t>
  </si>
  <si>
    <t>Wicklow</t>
  </si>
  <si>
    <t>Eastern Ireland</t>
  </si>
  <si>
    <t xml:space="preserve">121, </t>
  </si>
  <si>
    <t>Kerry</t>
  </si>
  <si>
    <t>south-west Ireland</t>
  </si>
  <si>
    <t xml:space="preserve">110, 121-2, </t>
  </si>
  <si>
    <t xml:space="preserve">88-9, 90-1, 121-2, </t>
  </si>
  <si>
    <t xml:space="preserve">78-9, 122, </t>
  </si>
  <si>
    <t xml:space="preserve">61-2, 81, 88, 99, 112-3, 122, </t>
  </si>
  <si>
    <t xml:space="preserve">29, 62-3, 74, 79, 95, 106-8, 110, 121, 124, </t>
  </si>
  <si>
    <t xml:space="preserve">14, 62, 102, 112, 124, </t>
  </si>
  <si>
    <t>lowland Scotland</t>
  </si>
  <si>
    <t xml:space="preserve">124, </t>
  </si>
  <si>
    <t xml:space="preserve">85-8, 91-3, 124, </t>
  </si>
  <si>
    <t xml:space="preserve">112, 124, </t>
  </si>
  <si>
    <t xml:space="preserve">97-9, 100, 102-6,  109, 114, 117, 120, 124-5, </t>
  </si>
  <si>
    <t>Clandon</t>
  </si>
  <si>
    <t>Bowl barrow</t>
  </si>
  <si>
    <t xml:space="preserve">126, </t>
  </si>
  <si>
    <t xml:space="preserve">9, 11, 25, 61, 68, 71, 77, 90, 109, 112-5, 119, 122, 127, </t>
  </si>
  <si>
    <t>Icknield Way</t>
  </si>
  <si>
    <t xml:space="preserve">77, 128-9, </t>
  </si>
  <si>
    <t xml:space="preserve">83-4, 128, </t>
  </si>
  <si>
    <t xml:space="preserve">14, 24, 62, 68, 77, 79, 87, 95, 97,  99, 102-3, 105, 124-5, 127-8, </t>
  </si>
  <si>
    <t xml:space="preserve">20, 128, </t>
  </si>
  <si>
    <t xml:space="preserve">10, 68, 83, 118, 128, </t>
  </si>
  <si>
    <t xml:space="preserve">18, 77-8, 96-8, 103, 105, 112, 114-5, 117, 128-9, </t>
  </si>
  <si>
    <t xml:space="preserve">129, </t>
  </si>
  <si>
    <t xml:space="preserve">10, 13, 20, 24, 61, 67, 71-2, 76-7, 78, 80, 84, 98-9, 102-5, 110-1, 115, 117, 120-1, 125-9, 130-1, </t>
  </si>
  <si>
    <t xml:space="preserve">62, 74, 95, 106-7, 112, 121, 126, 131, </t>
  </si>
  <si>
    <t xml:space="preserve">62, 78, 99, 131, </t>
  </si>
  <si>
    <t xml:space="preserve">28, 107, 131, </t>
  </si>
  <si>
    <t xml:space="preserve">29, 81, 85, 87-8, 90, 92, 110-1, 114, 116, 120-2, 124, 127-8, 131, </t>
  </si>
  <si>
    <t xml:space="preserve">10, 20, 117, 128-9, 131, </t>
  </si>
  <si>
    <t xml:space="preserve">23, 68, 77, 98, 102-4, 110, 119, 129, 131, </t>
  </si>
  <si>
    <t xml:space="preserve">14, 19, 61-2, 85, 87, 91, 112-3, 117, 120-3, 125, 127, 130-1, </t>
  </si>
  <si>
    <t>Bleasdale</t>
  </si>
  <si>
    <t>Garstang</t>
  </si>
  <si>
    <t>Timber circle  monument</t>
  </si>
  <si>
    <t xml:space="preserve">132, </t>
  </si>
  <si>
    <t xml:space="preserve">73, 76, 78, 87, 102, 109, 117, 125-6, 128, 132, </t>
  </si>
  <si>
    <t xml:space="preserve">83, 128, 132, </t>
  </si>
  <si>
    <t xml:space="preserve">11, 68, 78, 83, 85, 96, 103-4, 115, 125, 128, 130,  132, </t>
  </si>
  <si>
    <t>Berkshire Downs</t>
  </si>
  <si>
    <t xml:space="preserve">62, 133, </t>
  </si>
  <si>
    <t xml:space="preserve">114-5, 118-9, 127, 133, </t>
  </si>
  <si>
    <t xml:space="preserve">11, 24, 33, 78-9, 80-1, 87, 109, 112, 115, 117, 120-5, 131, </t>
  </si>
  <si>
    <t>England Total</t>
  </si>
  <si>
    <t>NE Wales</t>
  </si>
  <si>
    <t>NW Wales</t>
  </si>
  <si>
    <t>SE Wales</t>
  </si>
  <si>
    <t>SW Wales</t>
  </si>
  <si>
    <t>Wales Total</t>
  </si>
  <si>
    <t>North Scotland</t>
  </si>
  <si>
    <t>East Scotland</t>
  </si>
  <si>
    <t>South Scotland</t>
  </si>
  <si>
    <t>West Scotland</t>
  </si>
  <si>
    <t>Scotland Total</t>
  </si>
  <si>
    <t>N Ireland</t>
  </si>
  <si>
    <t>Ireland Total</t>
  </si>
  <si>
    <t>Dumfries &amp; Galloway</t>
  </si>
  <si>
    <t>Clywd</t>
  </si>
  <si>
    <t>Wales - Other refs</t>
  </si>
  <si>
    <t>Scotland - Other refs</t>
  </si>
  <si>
    <t>Final totals</t>
  </si>
  <si>
    <t>England - other analysis</t>
  </si>
  <si>
    <t>North</t>
  </si>
  <si>
    <t>South</t>
  </si>
  <si>
    <t>Tievebulliagh</t>
  </si>
  <si>
    <t>Boyne Valley</t>
  </si>
  <si>
    <t xml:space="preserve">68, 86, 88, 100, 102, </t>
  </si>
  <si>
    <t>Haddenham</t>
  </si>
  <si>
    <t xml:space="preserve">28, </t>
  </si>
  <si>
    <t xml:space="preserve">6, </t>
  </si>
  <si>
    <t xml:space="preserve">24, </t>
  </si>
  <si>
    <t>South-west Wales</t>
  </si>
  <si>
    <t xml:space="preserve">25, </t>
  </si>
  <si>
    <t xml:space="preserve">33, </t>
  </si>
  <si>
    <t>Argyll</t>
  </si>
  <si>
    <t>Ballochroy</t>
  </si>
  <si>
    <t>Stone alignment</t>
  </si>
  <si>
    <t>NR</t>
  </si>
  <si>
    <t>Tarbert</t>
  </si>
  <si>
    <t xml:space="preserve">31, </t>
  </si>
  <si>
    <t xml:space="preserve">30-1, </t>
  </si>
  <si>
    <t xml:space="preserve">28-9, </t>
  </si>
  <si>
    <t>Cairnholy I</t>
  </si>
  <si>
    <t xml:space="preserve">31, 33, </t>
  </si>
  <si>
    <t>Lochhill</t>
  </si>
  <si>
    <t xml:space="preserve">27-8, 32, </t>
  </si>
  <si>
    <t xml:space="preserve">31-2, </t>
  </si>
  <si>
    <t>Carn Ban</t>
  </si>
  <si>
    <t xml:space="preserve">15-6, 21, 33-4, </t>
  </si>
  <si>
    <t xml:space="preserve">Bargrennan </t>
  </si>
  <si>
    <t>passage tombs</t>
  </si>
  <si>
    <t xml:space="preserve">32, </t>
  </si>
  <si>
    <t xml:space="preserve">12, 26-9, </t>
  </si>
  <si>
    <t>Cleaven Dyke</t>
  </si>
  <si>
    <t>Segmented cursus</t>
  </si>
  <si>
    <t>Isle of Lewis</t>
  </si>
  <si>
    <t>Inner Hebrides</t>
  </si>
  <si>
    <t>Carn Meini</t>
  </si>
  <si>
    <t>Settlement  Ceidi fields</t>
  </si>
  <si>
    <t>Brownshill</t>
  </si>
  <si>
    <t xml:space="preserve">7, </t>
  </si>
  <si>
    <t>Carlow</t>
  </si>
  <si>
    <t>Boulder burials</t>
  </si>
  <si>
    <t>western Ireland</t>
  </si>
  <si>
    <t>Knowth</t>
  </si>
  <si>
    <t>Louth</t>
  </si>
  <si>
    <t>Dundalk Bay</t>
  </si>
  <si>
    <t>Marlborough Downs</t>
  </si>
  <si>
    <t>Kings Barrow Ridge</t>
  </si>
  <si>
    <t>Normanton Down</t>
  </si>
  <si>
    <t>Monaghan</t>
  </si>
  <si>
    <t>Drumirril</t>
  </si>
  <si>
    <t>Cup &amp; ring marks</t>
  </si>
  <si>
    <t>H</t>
  </si>
  <si>
    <t xml:space="preserve">16, </t>
  </si>
  <si>
    <t>Fort William</t>
  </si>
  <si>
    <t>Angus</t>
  </si>
  <si>
    <t>Milton of Guthrie</t>
  </si>
  <si>
    <t>Fussell's Lodge</t>
  </si>
  <si>
    <t>East Lothian</t>
  </si>
  <si>
    <t>Eweford Cottages</t>
  </si>
  <si>
    <t>Timber mortuary house</t>
  </si>
  <si>
    <t>Dunbar</t>
  </si>
  <si>
    <t>Temple Wood</t>
  </si>
  <si>
    <t>timber circle     stone circle</t>
  </si>
  <si>
    <t>Kilmartin Valley</t>
  </si>
  <si>
    <t xml:space="preserve">29, </t>
  </si>
  <si>
    <t>North Mains</t>
  </si>
  <si>
    <t>timber circle  henge</t>
  </si>
  <si>
    <t>Claish Farm</t>
  </si>
  <si>
    <t>Timber hall</t>
  </si>
  <si>
    <t>Stirling</t>
  </si>
  <si>
    <t>Crathes</t>
  </si>
  <si>
    <t>Littleour</t>
  </si>
  <si>
    <t>Whitmuirhaugh</t>
  </si>
  <si>
    <t>Roxburghshire</t>
  </si>
  <si>
    <t>Clyde cairns</t>
  </si>
  <si>
    <t xml:space="preserve">34, </t>
  </si>
  <si>
    <t>Strathclyde</t>
  </si>
  <si>
    <t>33-4,</t>
  </si>
  <si>
    <t>Achnacreebeag</t>
  </si>
  <si>
    <t xml:space="preserve">31, 35, </t>
  </si>
  <si>
    <t>Beacharra</t>
  </si>
  <si>
    <t xml:space="preserve">35, </t>
  </si>
  <si>
    <t>north-east Ireland</t>
  </si>
  <si>
    <t xml:space="preserve">34-5, </t>
  </si>
  <si>
    <t xml:space="preserve">34, 36, </t>
  </si>
  <si>
    <t xml:space="preserve">31, 35-6, </t>
  </si>
  <si>
    <t xml:space="preserve">25, 36, </t>
  </si>
  <si>
    <t>Scottish mainland</t>
  </si>
  <si>
    <t xml:space="preserve">36, </t>
  </si>
  <si>
    <t>Mull</t>
  </si>
  <si>
    <t>Ross &amp; Cromarty</t>
  </si>
  <si>
    <t>Sand</t>
  </si>
  <si>
    <t>Mesolithic midden</t>
  </si>
  <si>
    <t>Chambered tombs</t>
  </si>
  <si>
    <t xml:space="preserve">37, </t>
  </si>
  <si>
    <t xml:space="preserve">38, </t>
  </si>
  <si>
    <t>Ring of Bookan</t>
  </si>
  <si>
    <t xml:space="preserve">43, </t>
  </si>
  <si>
    <t>Watch Stone</t>
  </si>
  <si>
    <t>Monolith</t>
  </si>
  <si>
    <t>Barnhouse</t>
  </si>
  <si>
    <t>Orkney-Cromarty</t>
  </si>
  <si>
    <t xml:space="preserve">45, </t>
  </si>
  <si>
    <t>Bigland</t>
  </si>
  <si>
    <t>Knowe of Yarso</t>
  </si>
  <si>
    <t>Knowe of Ramsay</t>
  </si>
  <si>
    <t>Maes-Howe type</t>
  </si>
  <si>
    <t>Bookan cairn</t>
  </si>
  <si>
    <t>Wideford Hill</t>
  </si>
  <si>
    <t>Taversoe Tuick</t>
  </si>
  <si>
    <t>Huntersquoy</t>
  </si>
  <si>
    <t>Eday</t>
  </si>
  <si>
    <t xml:space="preserve">45-6, </t>
  </si>
  <si>
    <t xml:space="preserve">46, 48-9, </t>
  </si>
  <si>
    <t xml:space="preserve">45-6, 49, </t>
  </si>
  <si>
    <t>Midhowe</t>
  </si>
  <si>
    <t>tombs</t>
  </si>
  <si>
    <t xml:space="preserve">45, 49, 50-1, </t>
  </si>
  <si>
    <t xml:space="preserve">49, 50-1, </t>
  </si>
  <si>
    <t>Knowe of Rowiegar</t>
  </si>
  <si>
    <t xml:space="preserve">50-1, </t>
  </si>
  <si>
    <t xml:space="preserve">45, 50-1, </t>
  </si>
  <si>
    <t>Blackhammer</t>
  </si>
  <si>
    <t xml:space="preserve">45-6, 49, 51, </t>
  </si>
  <si>
    <t>Orkney-Cromarty tomb type</t>
  </si>
  <si>
    <t xml:space="preserve">24, 51-2, </t>
  </si>
  <si>
    <t xml:space="preserve">45, 51-2, </t>
  </si>
  <si>
    <t xml:space="preserve">16, 21, 33-4, 37, 53, </t>
  </si>
  <si>
    <t xml:space="preserve">49, 51, 54, </t>
  </si>
  <si>
    <t>general &amp; mainland</t>
  </si>
  <si>
    <t xml:space="preserve">25, 36, 55, </t>
  </si>
  <si>
    <t xml:space="preserve">43-4, 46, 55, </t>
  </si>
  <si>
    <t xml:space="preserve">46-8, 55, </t>
  </si>
  <si>
    <t xml:space="preserve">36, 38, 55, </t>
  </si>
  <si>
    <t>Loch Calder</t>
  </si>
  <si>
    <t xml:space="preserve">55, </t>
  </si>
  <si>
    <t>Tulloch of Assary A</t>
  </si>
  <si>
    <t>Loch Calder  Highlands</t>
  </si>
  <si>
    <t>Tulloch of Assary B</t>
  </si>
  <si>
    <t>Tulach an t'Sionnaich</t>
  </si>
  <si>
    <t>Camster Round</t>
  </si>
  <si>
    <t>Chambered cairn</t>
  </si>
  <si>
    <t xml:space="preserve">55-7, </t>
  </si>
  <si>
    <t xml:space="preserve">55, 57-8, </t>
  </si>
  <si>
    <t xml:space="preserve">28, 31, 55, 58, </t>
  </si>
  <si>
    <t xml:space="preserve">58, </t>
  </si>
  <si>
    <t xml:space="preserve">25, 58, </t>
  </si>
  <si>
    <t>Strathnairn Valley</t>
  </si>
  <si>
    <t>Tomnaverie</t>
  </si>
  <si>
    <t>Recumbent stone circle</t>
  </si>
  <si>
    <t xml:space="preserve">58-9, 60, </t>
  </si>
  <si>
    <t xml:space="preserve">61, </t>
  </si>
  <si>
    <t>Upper Dounreay</t>
  </si>
  <si>
    <t>Wedge tombs</t>
  </si>
  <si>
    <t>Mid-clyth</t>
  </si>
  <si>
    <t>south-west Wales</t>
  </si>
  <si>
    <t xml:space="preserve">56-8, 66, </t>
  </si>
  <si>
    <t xml:space="preserve">58, 60, 66, </t>
  </si>
  <si>
    <t>Down</t>
  </si>
  <si>
    <t>Ballynahatty</t>
  </si>
  <si>
    <t>The Giant's Ring</t>
  </si>
  <si>
    <t>Carreg Samson</t>
  </si>
  <si>
    <t xml:space="preserve">73, </t>
  </si>
  <si>
    <t>England  Wales</t>
  </si>
  <si>
    <t>Portal dolmens</t>
  </si>
  <si>
    <t xml:space="preserve">6, 63, 71, 73, </t>
  </si>
  <si>
    <t>Portal tombs</t>
  </si>
  <si>
    <t xml:space="preserve">74, </t>
  </si>
  <si>
    <t xml:space="preserve">73-4, </t>
  </si>
  <si>
    <t xml:space="preserve">64, 73-4, </t>
  </si>
  <si>
    <t>River Medway</t>
  </si>
  <si>
    <t>Broadsands</t>
  </si>
  <si>
    <t>Paignton</t>
  </si>
  <si>
    <t xml:space="preserve">74-5, </t>
  </si>
  <si>
    <t xml:space="preserve">73, 75, </t>
  </si>
  <si>
    <t xml:space="preserve">76-8, </t>
  </si>
  <si>
    <t>Hazleton North</t>
  </si>
  <si>
    <t>Parc le Breos Cwm</t>
  </si>
  <si>
    <t xml:space="preserve">78, 80-1, </t>
  </si>
  <si>
    <t xml:space="preserve">14, 82-4, </t>
  </si>
  <si>
    <t xml:space="preserve">27, 82, 84-5, </t>
  </si>
  <si>
    <t>Barrow Hills Radley</t>
  </si>
  <si>
    <t xml:space="preserve">24, 86, </t>
  </si>
  <si>
    <t>Callis Wold</t>
  </si>
  <si>
    <t>england</t>
  </si>
  <si>
    <t xml:space="preserve">82, 86, 88, </t>
  </si>
  <si>
    <t>Thornborough</t>
  </si>
  <si>
    <t>Tara</t>
  </si>
  <si>
    <t xml:space="preserve">25-6, 91, </t>
  </si>
  <si>
    <t xml:space="preserve">66, 86-8, 92, </t>
  </si>
  <si>
    <t xml:space="preserve">8, 92, </t>
  </si>
  <si>
    <t xml:space="preserve">8, 63, 78, 88-9, 92-3, </t>
  </si>
  <si>
    <t xml:space="preserve">2, 93, </t>
  </si>
  <si>
    <t>Long Meg</t>
  </si>
  <si>
    <t>93,</t>
  </si>
  <si>
    <t>Swinside</t>
  </si>
  <si>
    <t>Peak District</t>
  </si>
  <si>
    <t xml:space="preserve">23, 93, </t>
  </si>
  <si>
    <t>8, 94,</t>
  </si>
  <si>
    <t>94-5,</t>
  </si>
  <si>
    <t xml:space="preserve">30, 95, </t>
  </si>
  <si>
    <t>Sarn-y-Bryn-Caled</t>
  </si>
  <si>
    <t>mid-Wales</t>
  </si>
  <si>
    <t xml:space="preserve">12, 92, 96, </t>
  </si>
  <si>
    <t xml:space="preserve">96-7, </t>
  </si>
  <si>
    <t xml:space="preserve">25, 28, 31, 82, 100, </t>
  </si>
  <si>
    <t xml:space="preserve">82, 101, </t>
  </si>
  <si>
    <t xml:space="preserve">82, 101-2, </t>
  </si>
  <si>
    <t xml:space="preserve">76, 78-9, 100, 102-3, </t>
  </si>
  <si>
    <t xml:space="preserve">88-9, 90-1, 94, 96-7, 103, </t>
  </si>
  <si>
    <t>Cove</t>
  </si>
  <si>
    <t>The Obelisk</t>
  </si>
  <si>
    <t>Standing stone</t>
  </si>
  <si>
    <t>West Kennet Avenue</t>
  </si>
  <si>
    <t>Overton Hill</t>
  </si>
  <si>
    <t>Fourknocks</t>
  </si>
  <si>
    <t>Clare</t>
  </si>
  <si>
    <t>Poulnabrone</t>
  </si>
  <si>
    <t>portal dolmen</t>
  </si>
  <si>
    <t>M</t>
  </si>
  <si>
    <t xml:space="preserve">105, 113, </t>
  </si>
  <si>
    <t xml:space="preserve">104-5, 113, </t>
  </si>
  <si>
    <t xml:space="preserve">104, 113, </t>
  </si>
  <si>
    <t>Beckhampton Avenue</t>
  </si>
  <si>
    <t xml:space="preserve">105, 113-4, </t>
  </si>
  <si>
    <t>Longstones Field</t>
  </si>
  <si>
    <t>earthwork enclosure</t>
  </si>
  <si>
    <t xml:space="preserve">27, 82, 101-2, 114, </t>
  </si>
  <si>
    <t xml:space="preserve">14, 69, 100, 114-6, </t>
  </si>
  <si>
    <t xml:space="preserve">86, 100, 102-3, 116, </t>
  </si>
  <si>
    <t>Coneybury</t>
  </si>
  <si>
    <t>Aubrey holes</t>
  </si>
  <si>
    <t>pits</t>
  </si>
  <si>
    <t xml:space="preserve">118-9, </t>
  </si>
  <si>
    <t xml:space="preserve">15, 119, </t>
  </si>
  <si>
    <t xml:space="preserve">16, 19, 71, 119, </t>
  </si>
  <si>
    <t>Heel stone</t>
  </si>
  <si>
    <t>Station stones</t>
  </si>
  <si>
    <t>standing stone</t>
  </si>
  <si>
    <t xml:space="preserve">120, </t>
  </si>
  <si>
    <t>River Avon</t>
  </si>
  <si>
    <t>River Kennet</t>
  </si>
  <si>
    <t>Y &amp; Z holes</t>
  </si>
  <si>
    <t xml:space="preserve">120-1, </t>
  </si>
  <si>
    <t>Altar stone</t>
  </si>
  <si>
    <t xml:space="preserve">13, 21, 38-9, 40-6, 49, 54, 65-6, 76, 92, 122, </t>
  </si>
  <si>
    <t xml:space="preserve">122, </t>
  </si>
  <si>
    <t>Stonehenge cursus</t>
  </si>
  <si>
    <t>cursus</t>
  </si>
  <si>
    <t>Lesser Cursus</t>
  </si>
  <si>
    <t xml:space="preserve">42, 88, 95, 117-8, 122, </t>
  </si>
  <si>
    <t xml:space="preserve">117, 122, </t>
  </si>
  <si>
    <t xml:space="preserve">95, 117-8, 122-3, </t>
  </si>
  <si>
    <t>Amesbury (Archer)</t>
  </si>
  <si>
    <t xml:space="preserve">123, </t>
  </si>
  <si>
    <t>Boscombe Down</t>
  </si>
  <si>
    <t>Boscombe Bowmen</t>
  </si>
  <si>
    <t>barrow</t>
  </si>
  <si>
    <t xml:space="preserve">15, 119, 124, </t>
  </si>
  <si>
    <t xml:space="preserve">123-4, </t>
  </si>
  <si>
    <t>63-4, 74, 78, 89, 92-3, 124-5,</t>
  </si>
  <si>
    <t xml:space="preserve">63, 125, </t>
  </si>
  <si>
    <t>north-west Ireland</t>
  </si>
  <si>
    <t>Ballyglass</t>
  </si>
  <si>
    <t>Ballycastle</t>
  </si>
  <si>
    <t>Ballyharry I</t>
  </si>
  <si>
    <t>Neolithic house</t>
  </si>
  <si>
    <t>Islandmagee</t>
  </si>
  <si>
    <t>Roughan Hill</t>
  </si>
  <si>
    <t>Neolithic field system  Megalithic tombs</t>
  </si>
  <si>
    <t xml:space="preserve">127, </t>
  </si>
  <si>
    <t>Neolithic houses</t>
  </si>
  <si>
    <t>Townleyhall</t>
  </si>
  <si>
    <t xml:space="preserve">11, 127, </t>
  </si>
  <si>
    <t xml:space="preserve">11, 127-8, </t>
  </si>
  <si>
    <t>Linkardstown</t>
  </si>
  <si>
    <t>cists</t>
  </si>
  <si>
    <t xml:space="preserve">128, </t>
  </si>
  <si>
    <t>Court cairns</t>
  </si>
  <si>
    <t>Western Ireland</t>
  </si>
  <si>
    <t>eastern Ireland</t>
  </si>
  <si>
    <t xml:space="preserve">131, </t>
  </si>
  <si>
    <t>Bru na Boinne</t>
  </si>
  <si>
    <t>central Ireland</t>
  </si>
  <si>
    <t>Creevykeel</t>
  </si>
  <si>
    <t xml:space="preserve">131-2, </t>
  </si>
  <si>
    <t xml:space="preserve">34, 36, 133, </t>
  </si>
  <si>
    <t>Ballymarlagh</t>
  </si>
  <si>
    <t xml:space="preserve">133, </t>
  </si>
  <si>
    <t>Ballymena</t>
  </si>
  <si>
    <t xml:space="preserve">31-33, 133, </t>
  </si>
  <si>
    <t xml:space="preserve">12, 15, 25, 28, 36, 58, 60, 62-3, 75, 89, 92, 95, 125, 133, </t>
  </si>
  <si>
    <t>Burren area</t>
  </si>
  <si>
    <t xml:space="preserve">135, </t>
  </si>
  <si>
    <t xml:space="preserve">134-5, </t>
  </si>
  <si>
    <t xml:space="preserve">112, 134-5, </t>
  </si>
  <si>
    <t>Dowth</t>
  </si>
  <si>
    <t xml:space="preserve">14, 140, </t>
  </si>
  <si>
    <t xml:space="preserve">126, 142, </t>
  </si>
  <si>
    <t>Monknewtown</t>
  </si>
  <si>
    <t xml:space="preserve">142, </t>
  </si>
  <si>
    <t>Linkardstown cists</t>
  </si>
  <si>
    <t xml:space="preserve">144, </t>
  </si>
  <si>
    <t xml:space="preserve">14, 140, 144, </t>
  </si>
  <si>
    <t>Tipperary</t>
  </si>
  <si>
    <t>Ashley Park</t>
  </si>
  <si>
    <t xml:space="preserve">34, 128, 131, 135, 144, </t>
  </si>
  <si>
    <t>Cork</t>
  </si>
  <si>
    <t>wedge tombs</t>
  </si>
  <si>
    <t xml:space="preserve">21, 58-9, 62, 145, </t>
  </si>
  <si>
    <t>Island</t>
  </si>
  <si>
    <t xml:space="preserve">146, </t>
  </si>
  <si>
    <t xml:space="preserve">131, 146, </t>
  </si>
  <si>
    <t xml:space="preserve">128, 135, 144, 146, </t>
  </si>
  <si>
    <t>boulder burials</t>
  </si>
  <si>
    <t xml:space="preserve">8, 16, 22, 128, 146-7, </t>
  </si>
  <si>
    <t>stone circles</t>
  </si>
  <si>
    <t xml:space="preserve">147, </t>
  </si>
  <si>
    <t>Drombeg</t>
  </si>
  <si>
    <t>stone circle</t>
  </si>
  <si>
    <t xml:space="preserve">62, 128, 144-8, </t>
  </si>
  <si>
    <t xml:space="preserve">148, </t>
  </si>
  <si>
    <t xml:space="preserve">23, 37, 148, </t>
  </si>
  <si>
    <t>Tyrone</t>
  </si>
  <si>
    <t>Beaghmore</t>
  </si>
  <si>
    <t>stone circles         stone avenues</t>
  </si>
  <si>
    <t>Book</t>
  </si>
  <si>
    <t>Darvill</t>
  </si>
  <si>
    <t>Piggott</t>
  </si>
  <si>
    <t>All references versus those from Wessex</t>
  </si>
  <si>
    <t>Rest of GB</t>
  </si>
  <si>
    <t>Rest of England</t>
  </si>
  <si>
    <t>Total</t>
  </si>
  <si>
    <t>Scarre</t>
  </si>
  <si>
    <t>NM</t>
  </si>
  <si>
    <t>Museum</t>
  </si>
  <si>
    <t>West Overton 6b West Kennet Avenue</t>
  </si>
  <si>
    <t>N/EBA general</t>
  </si>
  <si>
    <t>N/EBA General</t>
  </si>
  <si>
    <t>south-west Cornwall</t>
  </si>
  <si>
    <t>Midlands</t>
  </si>
  <si>
    <t>Neolithic enclosure</t>
  </si>
  <si>
    <t xml:space="preserve">74, 88, 95, 124, 128, 149, </t>
  </si>
  <si>
    <t>92-3, 124, 149,</t>
  </si>
  <si>
    <t xml:space="preserve">148-9, </t>
  </si>
  <si>
    <t xml:space="preserve">149, </t>
  </si>
  <si>
    <t>Rathlin Island</t>
  </si>
  <si>
    <t xml:space="preserve">35, 133, 149, </t>
  </si>
  <si>
    <t>Mountains</t>
  </si>
  <si>
    <t>Southern Ireland</t>
  </si>
  <si>
    <t>Ballynoe</t>
  </si>
  <si>
    <t>Downpatrick</t>
  </si>
  <si>
    <t xml:space="preserve">89, 92, 149-50, </t>
  </si>
  <si>
    <t xml:space="preserve">131, 135, 149-50, </t>
  </si>
  <si>
    <t xml:space="preserve">66, 92, 149-50, </t>
  </si>
  <si>
    <t xml:space="preserve">110, 149-50, </t>
  </si>
  <si>
    <t xml:space="preserve">131, 150, </t>
  </si>
  <si>
    <t xml:space="preserve">18, 127, 130-1, 135, 150, </t>
  </si>
  <si>
    <t xml:space="preserve">135-6, 140, 142, 150, </t>
  </si>
  <si>
    <t xml:space="preserve">6, 8, 13-4, 18, 20, 41-2, 76, 89, 92, 108, 110-111, 122, 135-9, 140-3, 146, 150, </t>
  </si>
  <si>
    <t xml:space="preserve">6, 19, 82, 88, 94, 97, 99, 100, 102-5, 113-4, 116-7, 122-4, 136, 150, </t>
  </si>
  <si>
    <t xml:space="preserve">6, 13-15, 19-21, 23, 41, 88-9, 92, 96, 99, 104, 107, 117-9, 120-4, 144-5, 150, </t>
  </si>
  <si>
    <t xml:space="preserve">15, 17, 41-3, 54, 65-6, 150, </t>
  </si>
  <si>
    <t xml:space="preserve">15, 41-4, 54, 65, 150, </t>
  </si>
  <si>
    <t xml:space="preserve">128-9, 130-1, 135, 150-1, </t>
  </si>
  <si>
    <t xml:space="preserve">34, 36, 148, 151, </t>
  </si>
  <si>
    <t xml:space="preserve">27, 31, 33-5, 133, 151, </t>
  </si>
  <si>
    <t xml:space="preserve">149, 151, </t>
  </si>
  <si>
    <t xml:space="preserve">152, </t>
  </si>
  <si>
    <t xml:space="preserve">93, 152, </t>
  </si>
  <si>
    <t xml:space="preserve">64, 74, 89, 152, </t>
  </si>
  <si>
    <t xml:space="preserve">25, 36, 74, 152, </t>
  </si>
  <si>
    <t xml:space="preserve">92, 152, </t>
  </si>
  <si>
    <t xml:space="preserve">10-11, 25, 64, 75, 86, 92, 97, 99, 103, 116, 124-5, 152, </t>
  </si>
  <si>
    <t xml:space="preserve">12, 42, 63-4, 96, 125, 152, </t>
  </si>
  <si>
    <t xml:space="preserve">27, 69, 78, 82, 152, </t>
  </si>
  <si>
    <t>Thickthorn Down</t>
  </si>
  <si>
    <t xml:space="preserve">64, 76, 78, 81, 102, 152, </t>
  </si>
  <si>
    <t xml:space="preserve">152-3, </t>
  </si>
  <si>
    <t xml:space="preserve">92, 134, 152-3, </t>
  </si>
  <si>
    <t xml:space="preserve">73, 128, 131, 134-5, 144, 153, </t>
  </si>
  <si>
    <t xml:space="preserve">153, </t>
  </si>
  <si>
    <t xml:space="preserve">41, 72, 74-6, 149, 153, </t>
  </si>
  <si>
    <t xml:space="preserve">72, 75, 149, 153, </t>
  </si>
  <si>
    <t xml:space="preserve">74-5, 136, 149, 153-4, </t>
  </si>
  <si>
    <t xml:space="preserve">14, 42, 135-6, 140-3, 150, 153-4, </t>
  </si>
  <si>
    <t xml:space="preserve">15, 25, 31, 36, 38, 40-1, 43, 51, 53-5, 66, 76, 80, 92, 128, 136, 149-50, 153-4, </t>
  </si>
  <si>
    <t>Holm of Papa Westray</t>
  </si>
  <si>
    <t xml:space="preserve">154, </t>
  </si>
  <si>
    <t>Eday Manse</t>
  </si>
  <si>
    <t>chambered tomb</t>
  </si>
  <si>
    <t>Pickaquoy</t>
  </si>
  <si>
    <t>Cup and ring marked stone</t>
  </si>
  <si>
    <t>Pierowall Quarry</t>
  </si>
  <si>
    <t xml:space="preserve">6, 11, 21, 25, 34-6, 42, 55, 62, 64, 75-6, 89, 92, 100, 125-8, 131, 133, 135-6, 140, 144-9, 150-4, </t>
  </si>
  <si>
    <t xml:space="preserve">11-12, 22, 25, 36, 74, 154, </t>
  </si>
  <si>
    <t xml:space="preserve">14-15, 75, 126, 131, 135-7, 140, 143-4, 150, 153-4, </t>
  </si>
  <si>
    <t>Lizard</t>
  </si>
  <si>
    <t>South-east England</t>
  </si>
  <si>
    <t>Bush barrow</t>
  </si>
  <si>
    <t>England   Wales</t>
  </si>
  <si>
    <t xml:space="preserve">25, 36-37, 55, 148, </t>
  </si>
  <si>
    <t>Snowdonia</t>
  </si>
  <si>
    <t>southern central</t>
  </si>
  <si>
    <t>south-east Ireland</t>
  </si>
  <si>
    <t>Herefordshire</t>
  </si>
  <si>
    <t>Other mentions</t>
  </si>
  <si>
    <t>C</t>
  </si>
  <si>
    <t>Renfrew</t>
  </si>
  <si>
    <t>England - Other mentions</t>
  </si>
  <si>
    <t>NE Eire</t>
  </si>
  <si>
    <t>NW Eire</t>
  </si>
  <si>
    <t>SE Eire</t>
  </si>
  <si>
    <t>SW Eire</t>
  </si>
  <si>
    <t>C Eire</t>
  </si>
  <si>
    <t>England North</t>
  </si>
  <si>
    <t>England South</t>
  </si>
  <si>
    <t>Rest of book mentions</t>
  </si>
  <si>
    <t>my northern England</t>
  </si>
  <si>
    <t>Scottish islands</t>
  </si>
  <si>
    <t xml:space="preserve">4-6, 8, </t>
  </si>
  <si>
    <t>Ballynagilly</t>
  </si>
  <si>
    <t>Cookstown</t>
  </si>
  <si>
    <t>Newferry</t>
  </si>
  <si>
    <t xml:space="preserve">102, </t>
  </si>
  <si>
    <t>Madman's Window</t>
  </si>
  <si>
    <t>Glenarm</t>
  </si>
  <si>
    <t>Ringneill Quay</t>
  </si>
  <si>
    <t>Sutton</t>
  </si>
  <si>
    <t>Dalkey Island</t>
  </si>
  <si>
    <t>Willerby Wold</t>
  </si>
  <si>
    <t>Black Patch</t>
  </si>
  <si>
    <t>Meallach's Grave, Monamore</t>
  </si>
  <si>
    <t>?</t>
  </si>
  <si>
    <t>Hazard Hill</t>
  </si>
  <si>
    <t>Hurst Fen</t>
  </si>
  <si>
    <t>Mildenhall</t>
  </si>
  <si>
    <t>High Peak</t>
  </si>
  <si>
    <t xml:space="preserve">108, </t>
  </si>
  <si>
    <t>Grimston</t>
  </si>
  <si>
    <t>Barrow Group</t>
  </si>
  <si>
    <t>Southern Sussex</t>
  </si>
  <si>
    <t xml:space="preserve">109, 110, </t>
  </si>
  <si>
    <t xml:space="preserve">105-6, 108, 110, </t>
  </si>
  <si>
    <t>Bath</t>
  </si>
  <si>
    <t>North-East Somerset</t>
  </si>
  <si>
    <t>Frome</t>
  </si>
  <si>
    <t>Ebbsfleet</t>
  </si>
  <si>
    <t>Gravesend</t>
  </si>
  <si>
    <t>South of River Tees</t>
  </si>
  <si>
    <t xml:space="preserve">111, </t>
  </si>
  <si>
    <t>Letchworth</t>
  </si>
  <si>
    <t>North Hertfordshire</t>
  </si>
  <si>
    <t>Mortlake</t>
  </si>
  <si>
    <t>Barrows</t>
  </si>
  <si>
    <t xml:space="preserve">113, </t>
  </si>
  <si>
    <t>Lough Gur</t>
  </si>
  <si>
    <t>Ballyalton</t>
  </si>
  <si>
    <t>Murlough</t>
  </si>
  <si>
    <t>????</t>
  </si>
  <si>
    <t>Sandhills</t>
  </si>
  <si>
    <t>??</t>
  </si>
  <si>
    <t xml:space="preserve">113-4, </t>
  </si>
  <si>
    <t>Dundrum</t>
  </si>
  <si>
    <t>Goodland</t>
  </si>
  <si>
    <t>Ballymoney</t>
  </si>
  <si>
    <t xml:space="preserve">114-5, </t>
  </si>
  <si>
    <t>Island MacHugh</t>
  </si>
  <si>
    <t xml:space="preserve">106-9, 110-4, 116, </t>
  </si>
  <si>
    <t xml:space="preserve">106, 108-9, 110-3, 116, </t>
  </si>
  <si>
    <t xml:space="preserve">113, 115-6, </t>
  </si>
  <si>
    <t>Townhead Rothesay</t>
  </si>
  <si>
    <t xml:space="preserve">114-6, </t>
  </si>
  <si>
    <t>Rothesay</t>
  </si>
  <si>
    <t>Unstan</t>
  </si>
  <si>
    <t>Hedderwick</t>
  </si>
  <si>
    <t>Dunbat</t>
  </si>
  <si>
    <t>Grandtully</t>
  </si>
  <si>
    <t xml:space="preserve">108, 117, </t>
  </si>
  <si>
    <t>Ford</t>
  </si>
  <si>
    <t>Berwick</t>
  </si>
  <si>
    <t>The Wash</t>
  </si>
  <si>
    <t>Grange</t>
  </si>
  <si>
    <t>Cheshire</t>
  </si>
  <si>
    <t>Eddisbury</t>
  </si>
  <si>
    <t>Cremation cemetery</t>
  </si>
  <si>
    <t>Delamere</t>
  </si>
  <si>
    <t>Winhill</t>
  </si>
  <si>
    <t>Aston</t>
  </si>
  <si>
    <t xml:space="preserve">113-5, 117, 120, </t>
  </si>
  <si>
    <t>Larne</t>
  </si>
  <si>
    <t>East Antrim</t>
  </si>
  <si>
    <t xml:space="preserve">102, 118, 120, </t>
  </si>
  <si>
    <t xml:space="preserve">102, 120, </t>
  </si>
  <si>
    <t xml:space="preserve">106, 121-2, </t>
  </si>
  <si>
    <t xml:space="preserve">106, 122, </t>
  </si>
  <si>
    <t xml:space="preserve">106, 108, 122, </t>
  </si>
  <si>
    <t>Mount's Bay</t>
  </si>
  <si>
    <t>Haldon</t>
  </si>
  <si>
    <t>Teignbridge</t>
  </si>
  <si>
    <t>Cefn Cilsanws</t>
  </si>
  <si>
    <t>Henge &amp; Ring-ditch</t>
  </si>
  <si>
    <t xml:space="preserve">101, 125, </t>
  </si>
  <si>
    <t>Armagh</t>
  </si>
  <si>
    <t>Annaghmare</t>
  </si>
  <si>
    <t>Ballyutoag</t>
  </si>
  <si>
    <t>Geological feature</t>
  </si>
  <si>
    <t>Newry</t>
  </si>
  <si>
    <t>Ballymacdermot</t>
  </si>
  <si>
    <t>Mound</t>
  </si>
  <si>
    <t>Tara Mound of Hostages</t>
  </si>
  <si>
    <t>Embo</t>
  </si>
  <si>
    <t xml:space="preserve">125-6, </t>
  </si>
  <si>
    <t xml:space="preserve">119, 126, </t>
  </si>
  <si>
    <t xml:space="preserve">107, 128, </t>
  </si>
  <si>
    <t xml:space="preserve">102, 106-7, 128, </t>
  </si>
  <si>
    <t xml:space="preserve">102, 107, 128, </t>
  </si>
  <si>
    <t xml:space="preserve">114-5, 120, 129, </t>
  </si>
  <si>
    <t xml:space="preserve">115, 129, </t>
  </si>
  <si>
    <t xml:space="preserve">102, 129, </t>
  </si>
  <si>
    <t xml:space="preserve">105, 107, 129, </t>
  </si>
  <si>
    <t xml:space="preserve">107, 129, </t>
  </si>
  <si>
    <t xml:space="preserve">102, 107, 130, </t>
  </si>
  <si>
    <t xml:space="preserve">116, 130, </t>
  </si>
  <si>
    <t xml:space="preserve">102, 105, 130, </t>
  </si>
  <si>
    <t xml:space="preserve">106, 122, 130, </t>
  </si>
  <si>
    <t xml:space="preserve">102-3, 124-5, 131, </t>
  </si>
  <si>
    <t xml:space="preserve">124-5, 131, </t>
  </si>
  <si>
    <t xml:space="preserve">125, 131, </t>
  </si>
  <si>
    <t xml:space="preserve">102, 108, 125, 131, </t>
  </si>
  <si>
    <t xml:space="preserve">102, 125, 131, </t>
  </si>
  <si>
    <t xml:space="preserve">107, 125, 131, </t>
  </si>
  <si>
    <t xml:space="preserve">102, 107, 125, 132, </t>
  </si>
  <si>
    <t xml:space="preserve">104, 125, 132, </t>
  </si>
  <si>
    <t xml:space="preserve">125, 132, </t>
  </si>
  <si>
    <t xml:space="preserve">125-6, 133, </t>
  </si>
  <si>
    <t xml:space="preserve">125, 133, </t>
  </si>
  <si>
    <t xml:space="preserve">115, 125-6, 133, </t>
  </si>
  <si>
    <t xml:space="preserve">125, 134, </t>
  </si>
  <si>
    <t xml:space="preserve">115, 120, 123-6, 130, 134, </t>
  </si>
  <si>
    <t xml:space="preserve">127, 134, </t>
  </si>
  <si>
    <t xml:space="preserve">102, 107-8, 110, 120, 127, 135, </t>
  </si>
  <si>
    <t xml:space="preserve">107, 135, </t>
  </si>
  <si>
    <t xml:space="preserve">102-5, 107-9, 110-1, 116, 120, 127, 129, 135, </t>
  </si>
  <si>
    <t xml:space="preserve">127, 135, </t>
  </si>
  <si>
    <t xml:space="preserve">123-4, 127, 136, </t>
  </si>
  <si>
    <t xml:space="preserve">127, 136, </t>
  </si>
  <si>
    <t xml:space="preserve">119, 127, 136, </t>
  </si>
  <si>
    <t>Caledonian Canal</t>
  </si>
  <si>
    <t>Bargrennan</t>
  </si>
  <si>
    <t>Glecknabae</t>
  </si>
  <si>
    <t xml:space="preserve">144-5, </t>
  </si>
  <si>
    <t>Ardmarnock</t>
  </si>
  <si>
    <t>Brackley</t>
  </si>
  <si>
    <t xml:space="preserve">144-6, </t>
  </si>
  <si>
    <t>Gort na h'Ulaidhe</t>
  </si>
  <si>
    <t>Campbeltown</t>
  </si>
  <si>
    <t xml:space="preserve">145-6, </t>
  </si>
  <si>
    <t xml:space="preserve">116, 145-6, </t>
  </si>
  <si>
    <t>Ardacheranbeg</t>
  </si>
  <si>
    <t>Dunan Mor</t>
  </si>
  <si>
    <t xml:space="preserve">144-7, </t>
  </si>
  <si>
    <t xml:space="preserve">14, 107, 120, 122, 147, </t>
  </si>
  <si>
    <t>Orkney-Cromarty-Hebridean</t>
  </si>
  <si>
    <t>Outer Isles</t>
  </si>
  <si>
    <t>Oban nam Fiadh</t>
  </si>
  <si>
    <t>Rudh'an Dunain</t>
  </si>
  <si>
    <t>Kilcoy South</t>
  </si>
  <si>
    <t>Kyleoag</t>
  </si>
  <si>
    <t xml:space="preserve">149-150, </t>
  </si>
  <si>
    <t xml:space="preserve">148, 150, </t>
  </si>
  <si>
    <t>Boath, Short</t>
  </si>
  <si>
    <t xml:space="preserve">150, </t>
  </si>
  <si>
    <t>Kinbrace Burn</t>
  </si>
  <si>
    <t>NC</t>
  </si>
  <si>
    <t>Skelpick Long</t>
  </si>
  <si>
    <t>Calf of Eday</t>
  </si>
  <si>
    <t>March Cairn</t>
  </si>
  <si>
    <t>Vementry</t>
  </si>
  <si>
    <t xml:space="preserve">150-1, </t>
  </si>
  <si>
    <t xml:space="preserve">151, </t>
  </si>
  <si>
    <t xml:space="preserve">117, 151, </t>
  </si>
  <si>
    <t xml:space="preserve">151-2, </t>
  </si>
  <si>
    <t xml:space="preserve">149, 152, </t>
  </si>
  <si>
    <t xml:space="preserve">137, 148-9, 152, </t>
  </si>
  <si>
    <t xml:space="preserve">141-2, 144-6, 153, </t>
  </si>
  <si>
    <t>Spey valley</t>
  </si>
  <si>
    <t>Knapperty Hill</t>
  </si>
  <si>
    <t xml:space="preserve">156, </t>
  </si>
  <si>
    <t xml:space="preserve">125-6, 133, 157, </t>
  </si>
  <si>
    <t xml:space="preserve">142-3, 148, 157-8, </t>
  </si>
  <si>
    <t xml:space="preserve">141-2, 148, 157, </t>
  </si>
  <si>
    <t>South Yarrows North</t>
  </si>
  <si>
    <t>Ormiegill</t>
  </si>
  <si>
    <t xml:space="preserve">159, </t>
  </si>
  <si>
    <t xml:space="preserve">157-9, </t>
  </si>
  <si>
    <t>Kenny's Cairn</t>
  </si>
  <si>
    <t>Round cairn</t>
  </si>
  <si>
    <t>East Bennan</t>
  </si>
  <si>
    <t xml:space="preserve">148, 159, </t>
  </si>
  <si>
    <t xml:space="preserve">150-1, 159, </t>
  </si>
  <si>
    <t>Punds Water</t>
  </si>
  <si>
    <t xml:space="preserve">158-9, </t>
  </si>
  <si>
    <t xml:space="preserve">101, 125, 137-8, 140, 143-4, 146-7, 152-3, 160-1, </t>
  </si>
  <si>
    <t xml:space="preserve">139, 160, </t>
  </si>
  <si>
    <t xml:space="preserve">138, 140, 153, 157, 161, </t>
  </si>
  <si>
    <t xml:space="preserve">119, 123, 160, </t>
  </si>
  <si>
    <t xml:space="preserve">117, 160, </t>
  </si>
  <si>
    <t xml:space="preserve">116, 160, </t>
  </si>
  <si>
    <t xml:space="preserve">102, 125, 131, 156, 158, 161, </t>
  </si>
  <si>
    <t>Bargrenna</t>
  </si>
  <si>
    <t xml:space="preserve">161, </t>
  </si>
  <si>
    <t>Glenvoidean</t>
  </si>
  <si>
    <t xml:space="preserve">125, 138, 140, 148, 152-4, 160-2, </t>
  </si>
  <si>
    <t xml:space="preserve">116, 119, 122, 137, 139, 151-3, 155, 160, 162, </t>
  </si>
  <si>
    <t xml:space="preserve">138, 160, 162, </t>
  </si>
  <si>
    <t xml:space="preserve">138, 154-5, 161-2, </t>
  </si>
  <si>
    <t xml:space="preserve">139, 152-3, 158, 160, 162, </t>
  </si>
  <si>
    <t xml:space="preserve">162, </t>
  </si>
  <si>
    <t xml:space="preserve">116, 122, 158, 160, 162, </t>
  </si>
  <si>
    <t xml:space="preserve">119, 142, 155, 162, </t>
  </si>
  <si>
    <t>Ness of Grunting</t>
  </si>
  <si>
    <t>Achategan</t>
  </si>
  <si>
    <t xml:space="preserve">164, </t>
  </si>
  <si>
    <t xml:space="preserve">125, 134, 162, 164, </t>
  </si>
  <si>
    <t xml:space="preserve">161, 164, </t>
  </si>
  <si>
    <t xml:space="preserve">125-6, 133, 153, 161, 164, </t>
  </si>
  <si>
    <t xml:space="preserve">125-6, 134, 155, 162, 164, </t>
  </si>
  <si>
    <t xml:space="preserve">162, 164, </t>
  </si>
  <si>
    <t xml:space="preserve">107, 134, 157, 164, </t>
  </si>
  <si>
    <t xml:space="preserve">102, 125, 132, 161, 164, </t>
  </si>
  <si>
    <t xml:space="preserve">155-6, 158, 161, 164, </t>
  </si>
  <si>
    <t xml:space="preserve">108, 111-3, 117, 122, 158, 165, </t>
  </si>
  <si>
    <t xml:space="preserve">121, 170, </t>
  </si>
  <si>
    <t xml:space="preserve">110, 170, </t>
  </si>
  <si>
    <t xml:space="preserve">100, 171, </t>
  </si>
  <si>
    <t>Lakenheath</t>
  </si>
  <si>
    <t>Forest Heath</t>
  </si>
  <si>
    <t xml:space="preserve">174, </t>
  </si>
  <si>
    <t>Tees</t>
  </si>
  <si>
    <t xml:space="preserve">112-3, 121, 123, 175, </t>
  </si>
  <si>
    <t xml:space="preserve">110, 112-3, 129, 175, </t>
  </si>
  <si>
    <t xml:space="preserve">175, </t>
  </si>
  <si>
    <t xml:space="preserve">Peak District </t>
  </si>
  <si>
    <t xml:space="preserve">139, 175-6, </t>
  </si>
  <si>
    <t>Corkragh</t>
  </si>
  <si>
    <t>Cist</t>
  </si>
  <si>
    <t xml:space="preserve">176-7, </t>
  </si>
  <si>
    <t xml:space="preserve">105-6, 108, 110, 122, 147, 178, </t>
  </si>
  <si>
    <t>Ram's Hill</t>
  </si>
  <si>
    <t>Norton Fitzwarren</t>
  </si>
  <si>
    <t>Taunton Deane</t>
  </si>
  <si>
    <t xml:space="preserve">179, </t>
  </si>
  <si>
    <t>West Lothian</t>
  </si>
  <si>
    <t>Cairnpapple</t>
  </si>
  <si>
    <t>Lothian</t>
  </si>
  <si>
    <t>Goatscrag</t>
  </si>
  <si>
    <t xml:space="preserve">Cave burial </t>
  </si>
  <si>
    <t>Mersey-Tees</t>
  </si>
  <si>
    <t>Bedd Branwen</t>
  </si>
  <si>
    <t>Largs</t>
  </si>
  <si>
    <t xml:space="preserve">180, </t>
  </si>
  <si>
    <t>Deverel</t>
  </si>
  <si>
    <t>Rimbury</t>
  </si>
  <si>
    <t xml:space="preserve">104, 111-4, 117, 119, 120-1, 180, </t>
  </si>
  <si>
    <t>South Ayrshire</t>
  </si>
  <si>
    <t>Doon Foot</t>
  </si>
  <si>
    <t>Ayrshire</t>
  </si>
  <si>
    <t xml:space="preserve">181, </t>
  </si>
  <si>
    <t>South Lanarkshire</t>
  </si>
  <si>
    <t>Lesmahagow Knocken</t>
  </si>
  <si>
    <t>Glasgow</t>
  </si>
  <si>
    <t>Greenoakhill</t>
  </si>
  <si>
    <t>Mount Vernon</t>
  </si>
  <si>
    <t>Craigbirnoch</t>
  </si>
  <si>
    <t>Craignish</t>
  </si>
  <si>
    <t>Cathkin Moor</t>
  </si>
  <si>
    <t>Garton Slack</t>
  </si>
  <si>
    <t>Goodmanham</t>
  </si>
  <si>
    <t>Wharram Percy</t>
  </si>
  <si>
    <t xml:space="preserve">105-6, 122, 172-4, 182, </t>
  </si>
  <si>
    <t xml:space="preserve">147, 182, </t>
  </si>
  <si>
    <t xml:space="preserve">182, </t>
  </si>
  <si>
    <t>Humber</t>
  </si>
  <si>
    <t>Trevisker</t>
  </si>
  <si>
    <t xml:space="preserve">181, 183, </t>
  </si>
  <si>
    <t>Hartington</t>
  </si>
  <si>
    <t>Parwich</t>
  </si>
  <si>
    <t>Rathbarron</t>
  </si>
  <si>
    <t>Coolaney</t>
  </si>
  <si>
    <t>Cavan</t>
  </si>
  <si>
    <t>Killicarney</t>
  </si>
  <si>
    <t>Blacklion</t>
  </si>
  <si>
    <t>Friar Mayne</t>
  </si>
  <si>
    <t xml:space="preserve">183, </t>
  </si>
  <si>
    <t>Stevenston</t>
  </si>
  <si>
    <t xml:space="preserve">14, 101, 105, 111, 118, 122, 155, 157, 161, 184, </t>
  </si>
  <si>
    <t xml:space="preserve">174, 184, </t>
  </si>
  <si>
    <t xml:space="preserve">185, </t>
  </si>
  <si>
    <t xml:space="preserve">181, 183, 185, </t>
  </si>
  <si>
    <t>East Ayrshire</t>
  </si>
  <si>
    <t>Skeldon</t>
  </si>
  <si>
    <t>High Banks Farm</t>
  </si>
  <si>
    <t>Corky</t>
  </si>
  <si>
    <t>Food vessel</t>
  </si>
  <si>
    <t>Omagh</t>
  </si>
  <si>
    <t>Corrower</t>
  </si>
  <si>
    <t>Aldbourne</t>
  </si>
  <si>
    <t xml:space="preserve">108, 112-3, 122, 186, </t>
  </si>
  <si>
    <t xml:space="preserve">100, 108, 110, 119, 186, </t>
  </si>
  <si>
    <t>Camerton</t>
  </si>
  <si>
    <t>Edmondsham</t>
  </si>
  <si>
    <t>Barrow group</t>
  </si>
  <si>
    <t>Brighton &amp; Hove</t>
  </si>
  <si>
    <t>Brighton</t>
  </si>
  <si>
    <t xml:space="preserve">190, </t>
  </si>
  <si>
    <t>Earls Barton</t>
  </si>
  <si>
    <t>Northants</t>
  </si>
  <si>
    <t xml:space="preserve">32, 176, 179, 180, 194, </t>
  </si>
  <si>
    <t xml:space="preserve">114, 166, 172-3, 175, 178-9, 180, 182, 184, 194, </t>
  </si>
  <si>
    <t xml:space="preserve">108, 182, 193, </t>
  </si>
  <si>
    <t xml:space="preserve">9, 100-1, 103, 105, 107-8, 110-2, 114, 116-7, 119, 121, 123, 165, 182, 190, 193, </t>
  </si>
  <si>
    <t xml:space="preserve">100, 108, 111, 122, 170, 175, 194, </t>
  </si>
  <si>
    <t xml:space="preserve">170, 194, </t>
  </si>
  <si>
    <t xml:space="preserve">xii, 9, 100-1, 107-8, 111, 114, 116-8, 122, 124, 137, 139, 140, 143, 147, 154-5, 160, 171, 184, 193-4, </t>
  </si>
  <si>
    <t>Galway</t>
  </si>
  <si>
    <t>Knocknague</t>
  </si>
  <si>
    <t>Hoard</t>
  </si>
  <si>
    <t xml:space="preserve">191-2, </t>
  </si>
  <si>
    <t>Kilbannon</t>
  </si>
  <si>
    <t>Munster</t>
  </si>
  <si>
    <t>Castletownroche</t>
  </si>
  <si>
    <t xml:space="preserve">192, </t>
  </si>
  <si>
    <t>Ballyvally</t>
  </si>
  <si>
    <t>Rath</t>
  </si>
  <si>
    <t xml:space="preserve">193, </t>
  </si>
  <si>
    <t>Offaly</t>
  </si>
  <si>
    <t>Frankford</t>
  </si>
  <si>
    <t>Kilcormac</t>
  </si>
  <si>
    <t>Migdale</t>
  </si>
  <si>
    <t xml:space="preserve">188-9, 190, 193, </t>
  </si>
  <si>
    <t>Isle of Wight</t>
  </si>
  <si>
    <t>Arreton Down</t>
  </si>
  <si>
    <t>Arreton</t>
  </si>
  <si>
    <t xml:space="preserve">190, 193-4, </t>
  </si>
  <si>
    <t xml:space="preserve">189, 190, 193, </t>
  </si>
  <si>
    <t xml:space="preserve">186, 189, 190, 193, </t>
  </si>
  <si>
    <t>Donegal</t>
  </si>
  <si>
    <t>Inch Island</t>
  </si>
  <si>
    <t xml:space="preserve">194, </t>
  </si>
  <si>
    <t>Leitrim</t>
  </si>
  <si>
    <t>Derryniggin</t>
  </si>
  <si>
    <t>Ballybeg</t>
  </si>
  <si>
    <t>Renfrewshire</t>
  </si>
  <si>
    <t>Gavel Moss</t>
  </si>
  <si>
    <t>Menai Bridge</t>
  </si>
  <si>
    <t>Ebnal</t>
  </si>
  <si>
    <t>Malpas</t>
  </si>
  <si>
    <t>Salop</t>
  </si>
  <si>
    <t xml:space="preserve">139, 172-3, 175-6, 179, 180, 184, 195, </t>
  </si>
  <si>
    <t xml:space="preserve">180, 182, 195, </t>
  </si>
  <si>
    <t xml:space="preserve">9, 18-9, 32-3, 101, 108, 110, 122-3, 127, 169, 170, 173, 178-9, 182, 184-9, 190, 193, 195, 197, </t>
  </si>
  <si>
    <t xml:space="preserve">165, 187, 195, </t>
  </si>
  <si>
    <t xml:space="preserve">196, </t>
  </si>
  <si>
    <t>Mam Tor</t>
  </si>
  <si>
    <t xml:space="preserve">197, </t>
  </si>
  <si>
    <t xml:space="preserve">178, 197, </t>
  </si>
  <si>
    <t>Grimthorpe</t>
  </si>
  <si>
    <t>Midlothian</t>
  </si>
  <si>
    <t>Kaimes Hill</t>
  </si>
  <si>
    <t>Edinburgh</t>
  </si>
  <si>
    <t>Dinorben</t>
  </si>
  <si>
    <t>Beddgelert</t>
  </si>
  <si>
    <t xml:space="preserve">165-6, 178-9, 180, 184, 197, </t>
  </si>
  <si>
    <t xml:space="preserve">106, 197, </t>
  </si>
  <si>
    <t xml:space="preserve">147, 197, </t>
  </si>
  <si>
    <t xml:space="preserve">112, 197, </t>
  </si>
  <si>
    <t xml:space="preserve">175, 197, </t>
  </si>
  <si>
    <t xml:space="preserve">165-6, 178-9, 197, </t>
  </si>
  <si>
    <t xml:space="preserve">8-9, 32, 100-1, 105, 107-9, 113, 115-6, 118, 120, 153, 155, 166, 171, 174-5, 184-5, 191-2, 194, 197, </t>
  </si>
  <si>
    <t>Beaker</t>
  </si>
  <si>
    <t xml:space="preserve">168, 223, </t>
  </si>
  <si>
    <t>101-2, 104, 107, 128, 168, 174, 223, 227</t>
  </si>
  <si>
    <t>Fifty Farm</t>
  </si>
  <si>
    <t>168, 223,</t>
  </si>
  <si>
    <t>135, 168, 224,</t>
  </si>
  <si>
    <t xml:space="preserve">117, 168, 224, </t>
  </si>
  <si>
    <t>Windy Pit</t>
  </si>
  <si>
    <t xml:space="preserve">168, 224, </t>
  </si>
  <si>
    <t xml:space="preserve">168, 224-5, 227-8, </t>
  </si>
  <si>
    <t>Tyne and Wear</t>
  </si>
  <si>
    <t>Chatton</t>
  </si>
  <si>
    <t>Sandyford</t>
  </si>
  <si>
    <t xml:space="preserve">116, 168, 224-5, </t>
  </si>
  <si>
    <t xml:space="preserve">112, 129, 168, 224, </t>
  </si>
  <si>
    <t xml:space="preserve">23, 107, 117, 119, 121, 123, 127, 129, 136, 168, 225, </t>
  </si>
  <si>
    <t>Wattisfield</t>
  </si>
  <si>
    <t xml:space="preserve">168, 225, </t>
  </si>
  <si>
    <t>Pit</t>
  </si>
  <si>
    <t xml:space="preserve">31, 100-1, 103-4, 106-8, 110, 112, 119, 127, 130, 135, 168, 225, </t>
  </si>
  <si>
    <t>Devil's Ring</t>
  </si>
  <si>
    <t>Brightwell</t>
  </si>
  <si>
    <t>Ysgwennant</t>
  </si>
  <si>
    <t>168, 225,</t>
  </si>
  <si>
    <t xml:space="preserve">168, 226, </t>
  </si>
  <si>
    <t>Eriswell</t>
  </si>
  <si>
    <t>Barbrook Ramsley Moor</t>
  </si>
  <si>
    <t>Barrow   Stone circle</t>
  </si>
  <si>
    <t>North-East Derbyshire</t>
  </si>
  <si>
    <t xml:space="preserve">168, 227, </t>
  </si>
  <si>
    <t xml:space="preserve">190, 228, </t>
  </si>
  <si>
    <t>Earl's Farm Down</t>
  </si>
  <si>
    <t>Harland Edge  Beeley Moor</t>
  </si>
  <si>
    <t xml:space="preserve">xi, 1, 8, 119, 127, 136, 168, 188, 197, 228, </t>
  </si>
  <si>
    <t>Worgret  Arne</t>
  </si>
  <si>
    <t>Wareham</t>
  </si>
  <si>
    <t>168, 228,</t>
  </si>
  <si>
    <t>City Farm</t>
  </si>
  <si>
    <t>Ring-ditch</t>
  </si>
  <si>
    <t>Hanborough</t>
  </si>
  <si>
    <t>226,</t>
  </si>
  <si>
    <t>Swarkeston Lows</t>
  </si>
  <si>
    <t>Swarkeston</t>
  </si>
  <si>
    <t xml:space="preserve">226, </t>
  </si>
  <si>
    <t>Whitestanes Moor</t>
  </si>
  <si>
    <t>Kirkmahoe</t>
  </si>
  <si>
    <t xml:space="preserve">179, 226-7, </t>
  </si>
  <si>
    <t>Kirkhill</t>
  </si>
  <si>
    <t>Hepple</t>
  </si>
  <si>
    <t xml:space="preserve">227, </t>
  </si>
  <si>
    <t xml:space="preserve">117, 129, 227, </t>
  </si>
  <si>
    <t xml:space="preserve">189, 228, </t>
  </si>
  <si>
    <t>Coney Island</t>
  </si>
  <si>
    <t>Lough Neath</t>
  </si>
  <si>
    <t>Hawkes</t>
  </si>
  <si>
    <t>Mulfra Quoit</t>
  </si>
  <si>
    <t xml:space="preserve">ii, </t>
  </si>
  <si>
    <t>Wolds</t>
  </si>
  <si>
    <t>Lowland Scotland</t>
  </si>
  <si>
    <t xml:space="preserve">30, </t>
  </si>
  <si>
    <t xml:space="preserve">30, 36, </t>
  </si>
  <si>
    <t xml:space="preserve">29, 37, </t>
  </si>
  <si>
    <t>South Downs</t>
  </si>
  <si>
    <t>Worthing</t>
  </si>
  <si>
    <t>Harrow Hill</t>
  </si>
  <si>
    <t xml:space="preserve">37, 39, </t>
  </si>
  <si>
    <t xml:space="preserve">1-2, 5, 40, </t>
  </si>
  <si>
    <t xml:space="preserve">40, </t>
  </si>
  <si>
    <t xml:space="preserve">41, </t>
  </si>
  <si>
    <t xml:space="preserve">42, </t>
  </si>
  <si>
    <t>Severn Estuary</t>
  </si>
  <si>
    <t xml:space="preserve">37, 42, </t>
  </si>
  <si>
    <t>St Nicholas</t>
  </si>
  <si>
    <t>Cardiff</t>
  </si>
  <si>
    <t>Ridgeway</t>
  </si>
  <si>
    <t>Uffington</t>
  </si>
  <si>
    <t>White horse</t>
  </si>
  <si>
    <t>Atlantic Sea</t>
  </si>
  <si>
    <t xml:space="preserve">44, </t>
  </si>
  <si>
    <t xml:space="preserve">46, </t>
  </si>
  <si>
    <t>North Channel</t>
  </si>
  <si>
    <t>Scotland    Ireland</t>
  </si>
  <si>
    <t xml:space="preserve">41-2, 47, </t>
  </si>
  <si>
    <t>St Kilda</t>
  </si>
  <si>
    <t xml:space="preserve">47, </t>
  </si>
  <si>
    <t>Medway</t>
  </si>
  <si>
    <t xml:space="preserve">43, 47, </t>
  </si>
  <si>
    <t xml:space="preserve">43, 46-7, </t>
  </si>
  <si>
    <t xml:space="preserve">1, 48, </t>
  </si>
  <si>
    <t xml:space="preserve">48, </t>
  </si>
  <si>
    <t xml:space="preserve">46, Plate III, Plate IV, </t>
  </si>
  <si>
    <t xml:space="preserve">47, 51, </t>
  </si>
  <si>
    <t>Stour</t>
  </si>
  <si>
    <t xml:space="preserve">29, 39, 40, 48, 54, </t>
  </si>
  <si>
    <t xml:space="preserve">47, 54, </t>
  </si>
  <si>
    <t xml:space="preserve">52, 54, </t>
  </si>
  <si>
    <t xml:space="preserve">1, 48, 54, </t>
  </si>
  <si>
    <t xml:space="preserve">29, 40, 57, </t>
  </si>
  <si>
    <t xml:space="preserve">59, 61, </t>
  </si>
  <si>
    <t>Norwich</t>
  </si>
  <si>
    <t>Stripple stones</t>
  </si>
  <si>
    <t>Henge    Stone circle</t>
  </si>
  <si>
    <t>Blisland</t>
  </si>
  <si>
    <t xml:space="preserve">45, 64, </t>
  </si>
  <si>
    <t>Recumbent stone circles</t>
  </si>
  <si>
    <t xml:space="preserve">1, 44, 61, 64, </t>
  </si>
  <si>
    <t>Nine Maidens</t>
  </si>
  <si>
    <t>St Columb Major</t>
  </si>
  <si>
    <t xml:space="preserve">46, 54, 64, </t>
  </si>
  <si>
    <t xml:space="preserve">42, 64, 66, </t>
  </si>
  <si>
    <t xml:space="preserve">46, 67, </t>
  </si>
  <si>
    <t>north-east Britain</t>
  </si>
  <si>
    <t xml:space="preserve">30, 64, 67, </t>
  </si>
  <si>
    <t>Folkton</t>
  </si>
  <si>
    <t>Loose Howe</t>
  </si>
  <si>
    <t>Rosedale Head</t>
  </si>
  <si>
    <t xml:space="preserve">2, 52, 64, 72, </t>
  </si>
  <si>
    <t xml:space="preserve">46, 54, 72, </t>
  </si>
  <si>
    <t>Normanton</t>
  </si>
  <si>
    <t xml:space="preserve">1, 29, 37, 74, </t>
  </si>
  <si>
    <t xml:space="preserve">35, 48-9, 54, 66-8, 76, </t>
  </si>
  <si>
    <t xml:space="preserve">45-6, 51, 54-5, 67, 76, </t>
  </si>
  <si>
    <t xml:space="preserve">46, 76, </t>
  </si>
  <si>
    <t>Yorkshire North-East</t>
  </si>
  <si>
    <t>Cleveland Hills</t>
  </si>
  <si>
    <t>Grimspound</t>
  </si>
  <si>
    <t xml:space="preserve">54, 77, </t>
  </si>
  <si>
    <t xml:space="preserve">66, 70, 77, </t>
  </si>
  <si>
    <t xml:space="preserve">29, 48, 54, 77, </t>
  </si>
  <si>
    <t xml:space="preserve">2, 44-6, 51-2, 54-6, 62, 67-8, 70, 72, 76, 78, </t>
  </si>
  <si>
    <t xml:space="preserve">1-2, 78, </t>
  </si>
  <si>
    <t xml:space="preserve">63, Plate VII, </t>
  </si>
  <si>
    <t xml:space="preserve">Henge  Barrow    Timber circle  </t>
  </si>
  <si>
    <t>Lancaster</t>
  </si>
  <si>
    <t>Grunty Fen</t>
  </si>
  <si>
    <t>Findspot</t>
  </si>
  <si>
    <t>Longholme Drive</t>
  </si>
  <si>
    <t xml:space="preserve">64-6, 77, 83, </t>
  </si>
  <si>
    <t xml:space="preserve">29, 54, 70, 84, </t>
  </si>
  <si>
    <t xml:space="preserve">57, 59, 60-3, Plates V-VI, 76, 152-3, </t>
  </si>
  <si>
    <t xml:space="preserve">29, 57-9, 63, 76, 153, </t>
  </si>
  <si>
    <t xml:space="preserve">41, 72-3, 154, </t>
  </si>
  <si>
    <t xml:space="preserve">29, 30, 52, 76, 78, 152, 154-5, </t>
  </si>
  <si>
    <t xml:space="preserve">29, 41, 55, 62, 68, 156, </t>
  </si>
  <si>
    <t>Rushmore</t>
  </si>
  <si>
    <t xml:space="preserve">2, 57, 160, </t>
  </si>
  <si>
    <t xml:space="preserve">63, 161, </t>
  </si>
  <si>
    <t xml:space="preserve">37, 48, 163, </t>
  </si>
  <si>
    <t xml:space="preserve">37, 41, 48, 52, 62-4, 66, 70, 72-4, 76, 78, 83, 163, </t>
  </si>
  <si>
    <t xml:space="preserve">37, 42, 47, 51-2, 55, 151, 168, </t>
  </si>
  <si>
    <t xml:space="preserve">1, 169, </t>
  </si>
  <si>
    <t>Shippea Hill  Peacock's Farm</t>
  </si>
  <si>
    <t>Vale of Glamorgan</t>
  </si>
  <si>
    <t xml:space="preserve">170-1, </t>
  </si>
  <si>
    <t xml:space="preserve">40, 171, </t>
  </si>
  <si>
    <t xml:space="preserve">169, 170, 172, 175, </t>
  </si>
  <si>
    <t xml:space="preserve">29, 33-6, 40, 43-4, 48-9, 52, 54, 176, </t>
  </si>
  <si>
    <t>Bradley</t>
  </si>
  <si>
    <t>Tyne &amp; Wear</t>
  </si>
  <si>
    <t>Central Eire</t>
  </si>
  <si>
    <t>south-west</t>
  </si>
  <si>
    <t>central England</t>
  </si>
  <si>
    <t>south</t>
  </si>
  <si>
    <t>north-west</t>
  </si>
  <si>
    <t>central</t>
  </si>
  <si>
    <t>north</t>
  </si>
  <si>
    <t>south &amp; east</t>
  </si>
  <si>
    <t>QUERY</t>
  </si>
  <si>
    <t>TOTAL GB</t>
  </si>
  <si>
    <t>rest of England</t>
  </si>
  <si>
    <t>rest of GB</t>
  </si>
  <si>
    <t>Britain</t>
  </si>
  <si>
    <t>lowland Britain</t>
  </si>
  <si>
    <t>upland Britain</t>
  </si>
  <si>
    <t>Navan Fort</t>
  </si>
  <si>
    <t>Lambay Island</t>
  </si>
  <si>
    <t>Settlement   Burial</t>
  </si>
  <si>
    <t>northern Isles</t>
  </si>
  <si>
    <t xml:space="preserve">10, </t>
  </si>
  <si>
    <t>northern Ireland</t>
  </si>
  <si>
    <t>Irish Republic</t>
  </si>
  <si>
    <t xml:space="preserve">12, </t>
  </si>
  <si>
    <t>Dee</t>
  </si>
  <si>
    <t>Solway</t>
  </si>
  <si>
    <t>Scotland   England</t>
  </si>
  <si>
    <t>Southern Uplands</t>
  </si>
  <si>
    <t>Forth estuary</t>
  </si>
  <si>
    <t xml:space="preserve">12, 14, </t>
  </si>
  <si>
    <t>lowland</t>
  </si>
  <si>
    <t>southern Ireland</t>
  </si>
  <si>
    <t>Straits of Dover</t>
  </si>
  <si>
    <t xml:space="preserve">10, 22, </t>
  </si>
  <si>
    <t>Stonehall</t>
  </si>
  <si>
    <t>central Scotland</t>
  </si>
  <si>
    <t>Carsie Mains</t>
  </si>
  <si>
    <t>Rhum</t>
  </si>
  <si>
    <t>Bharpa Carinish</t>
  </si>
  <si>
    <t>Eilean Domnhuil</t>
  </si>
  <si>
    <t xml:space="preserve">14, 28, </t>
  </si>
  <si>
    <t>Carrock Fell</t>
  </si>
  <si>
    <t>Allerdale</t>
  </si>
  <si>
    <t>Star Carr</t>
  </si>
  <si>
    <t>Mesolithic settlement</t>
  </si>
  <si>
    <t>Scarborough</t>
  </si>
  <si>
    <t>Eynesbury</t>
  </si>
  <si>
    <t>Huntingdonshire</t>
  </si>
  <si>
    <t>Fornham All Saints</t>
  </si>
  <si>
    <t>Cursus  Causewayed enclosure</t>
  </si>
  <si>
    <t>St Edmondsbury</t>
  </si>
  <si>
    <t>English-Welsh borderlands</t>
  </si>
  <si>
    <t>Dallington</t>
  </si>
  <si>
    <t>Causewayed enclosure</t>
  </si>
  <si>
    <t>Leicestershire</t>
  </si>
  <si>
    <t>Husbands Bosworth</t>
  </si>
  <si>
    <t>Harborough</t>
  </si>
  <si>
    <t>Raunds</t>
  </si>
  <si>
    <t>West Cotton</t>
  </si>
  <si>
    <t>south midlands</t>
  </si>
  <si>
    <t>River Ouse</t>
  </si>
  <si>
    <t>General N/EBA</t>
  </si>
  <si>
    <t>Irish coast</t>
  </si>
  <si>
    <t>western Isles</t>
  </si>
  <si>
    <t>Firth of Clyde</t>
  </si>
  <si>
    <t>Firth of Forth</t>
  </si>
  <si>
    <t xml:space="preserve">12, 14,  </t>
  </si>
  <si>
    <t xml:space="preserve">12, 15, </t>
  </si>
  <si>
    <t>north Ireland</t>
  </si>
  <si>
    <t xml:space="preserve">12, 20, </t>
  </si>
  <si>
    <t xml:space="preserve">7, 20, </t>
  </si>
  <si>
    <t>Stanwell</t>
  </si>
  <si>
    <t>Ashford</t>
  </si>
  <si>
    <t>Yarnton</t>
  </si>
  <si>
    <t>Court Hill</t>
  </si>
  <si>
    <t>Chalk Hill  Ramsgate</t>
  </si>
  <si>
    <t>Causewayed enclosure  Cursus</t>
  </si>
  <si>
    <t>Thanet</t>
  </si>
  <si>
    <t>Whitehorse Stone</t>
  </si>
  <si>
    <t>Aylesford</t>
  </si>
  <si>
    <t>Flagstones</t>
  </si>
  <si>
    <t>Rybury</t>
  </si>
  <si>
    <t>Helman Tor</t>
  </si>
  <si>
    <t>Lanlivery</t>
  </si>
  <si>
    <t>Aveline's Hole</t>
  </si>
  <si>
    <t>North Somerset</t>
  </si>
  <si>
    <t>Billown</t>
  </si>
  <si>
    <t>Malew</t>
  </si>
  <si>
    <t>Irish Midlands</t>
  </si>
  <si>
    <t>Derry</t>
  </si>
  <si>
    <t>Thornhill</t>
  </si>
  <si>
    <t>Ballynashallog</t>
  </si>
  <si>
    <t>Ferriter's Cove</t>
  </si>
  <si>
    <t>Dingle</t>
  </si>
  <si>
    <t>Q</t>
  </si>
  <si>
    <t xml:space="preserve">29, 32, </t>
  </si>
  <si>
    <t xml:space="preserve">7, 12, 15, 37, </t>
  </si>
  <si>
    <t xml:space="preserve">28, 37, </t>
  </si>
  <si>
    <t>Kildare</t>
  </si>
  <si>
    <t>Corbally</t>
  </si>
  <si>
    <t xml:space="preserve">39, </t>
  </si>
  <si>
    <t>Lismore Fields</t>
  </si>
  <si>
    <t xml:space="preserve">39, 40, </t>
  </si>
  <si>
    <t xml:space="preserve">29, 43, </t>
  </si>
  <si>
    <t xml:space="preserve">29, 44, </t>
  </si>
  <si>
    <t>Ceide</t>
  </si>
  <si>
    <t>Field system</t>
  </si>
  <si>
    <t>North Mayo coast</t>
  </si>
  <si>
    <t>Kilverstone</t>
  </si>
  <si>
    <t>Early Neolithic pits</t>
  </si>
  <si>
    <t>Spong Hill</t>
  </si>
  <si>
    <t xml:space="preserve">29, 48, </t>
  </si>
  <si>
    <t>Rotunda graves</t>
  </si>
  <si>
    <t xml:space="preserve">28, 50, </t>
  </si>
  <si>
    <t xml:space="preserve">29, 50, </t>
  </si>
  <si>
    <t xml:space="preserve">45, 50, </t>
  </si>
  <si>
    <t xml:space="preserve">28, 45, 50, </t>
  </si>
  <si>
    <t xml:space="preserve">28, 41, 50, </t>
  </si>
  <si>
    <t>Edenmore</t>
  </si>
  <si>
    <t>Mayobridge</t>
  </si>
  <si>
    <t>Cohaw</t>
  </si>
  <si>
    <t>Cootehill</t>
  </si>
  <si>
    <t xml:space="preserve">28, 41, 52-3, </t>
  </si>
  <si>
    <t xml:space="preserve">29, 50-1, 53, </t>
  </si>
  <si>
    <t>St. Albans</t>
  </si>
  <si>
    <t>South Hertfordshire</t>
  </si>
  <si>
    <t>Grendon</t>
  </si>
  <si>
    <t>East Midlands</t>
  </si>
  <si>
    <t>West Heslerton</t>
  </si>
  <si>
    <t>Pipton</t>
  </si>
  <si>
    <t>Brecknoockshire</t>
  </si>
  <si>
    <t xml:space="preserve">4, 14, 59, </t>
  </si>
  <si>
    <t>Auchenlaich</t>
  </si>
  <si>
    <t xml:space="preserve">62-3, </t>
  </si>
  <si>
    <t xml:space="preserve">28, 42, 62-3, </t>
  </si>
  <si>
    <t>Douglasmuir</t>
  </si>
  <si>
    <t>Rectangular pit enclosure</t>
  </si>
  <si>
    <t xml:space="preserve">28, 62-4, </t>
  </si>
  <si>
    <t>Cursus    Bank barrow</t>
  </si>
  <si>
    <t xml:space="preserve">29, 64, </t>
  </si>
  <si>
    <t xml:space="preserve">29, 65, </t>
  </si>
  <si>
    <t xml:space="preserve">28, 62, 65, </t>
  </si>
  <si>
    <t>Balneaves</t>
  </si>
  <si>
    <t>Cursus  Double pit alignment</t>
  </si>
  <si>
    <t>Brampton</t>
  </si>
  <si>
    <t>Godmanchester</t>
  </si>
  <si>
    <t xml:space="preserve">29, 65-7, </t>
  </si>
  <si>
    <t xml:space="preserve">12-4, 23, 68, </t>
  </si>
  <si>
    <t xml:space="preserve">29, 70, </t>
  </si>
  <si>
    <t>Roughton</t>
  </si>
  <si>
    <t>North Norfolk</t>
  </si>
  <si>
    <t>Freston</t>
  </si>
  <si>
    <t>Babergh</t>
  </si>
  <si>
    <t xml:space="preserve">29, 73, </t>
  </si>
  <si>
    <t xml:space="preserve">69, 72, 74, </t>
  </si>
  <si>
    <t xml:space="preserve">29, 70-1, 73-4, </t>
  </si>
  <si>
    <t xml:space="preserve">28, 71, 74, </t>
  </si>
  <si>
    <t xml:space="preserve">29, 70, 72-5, </t>
  </si>
  <si>
    <t xml:space="preserve">29, 76, </t>
  </si>
  <si>
    <t xml:space="preserve">6, 29, 76, </t>
  </si>
  <si>
    <t xml:space="preserve">29, 73, 77, </t>
  </si>
  <si>
    <t>River Welland</t>
  </si>
  <si>
    <t>River Lark</t>
  </si>
  <si>
    <t xml:space="preserve">28, 79, </t>
  </si>
  <si>
    <t xml:space="preserve">29, 71-4, 76-7, 79, </t>
  </si>
  <si>
    <t xml:space="preserve">29, 65-7, 81, </t>
  </si>
  <si>
    <t xml:space="preserve">29, 75, 82, </t>
  </si>
  <si>
    <t xml:space="preserve">29, 82-3, </t>
  </si>
  <si>
    <t xml:space="preserve">29, 82, </t>
  </si>
  <si>
    <t xml:space="preserve">29, 83, </t>
  </si>
  <si>
    <t>Henge  Cursus</t>
  </si>
  <si>
    <t xml:space="preserve">76, 83, 85, </t>
  </si>
  <si>
    <t>Biggar Common</t>
  </si>
  <si>
    <t>Crossiecrown</t>
  </si>
  <si>
    <t>Cuween</t>
  </si>
  <si>
    <t>The Howe</t>
  </si>
  <si>
    <t>Broomend of Crichie</t>
  </si>
  <si>
    <t>Henge  Stone circle  timber circle</t>
  </si>
  <si>
    <t>Moray firth</t>
  </si>
  <si>
    <t>Mid-Argyll</t>
  </si>
  <si>
    <t>Kilmartin</t>
  </si>
  <si>
    <t xml:space="preserve">12, 14, 28, 90, </t>
  </si>
  <si>
    <t xml:space="preserve">89, 90, </t>
  </si>
  <si>
    <t>Blackhouse Burn</t>
  </si>
  <si>
    <t>Cairn  Enclosure</t>
  </si>
  <si>
    <t>Dunragit</t>
  </si>
  <si>
    <t>Cursus  Timber enclosure</t>
  </si>
  <si>
    <t xml:space="preserve">28, 91, </t>
  </si>
  <si>
    <t>Mayburgh</t>
  </si>
  <si>
    <t>Henge  4-Poster</t>
  </si>
  <si>
    <t>Mountain</t>
  </si>
  <si>
    <t>Pike O'Stickle</t>
  </si>
  <si>
    <t>Shap</t>
  </si>
  <si>
    <t xml:space="preserve">12, 91, </t>
  </si>
  <si>
    <t xml:space="preserve">29, 91, </t>
  </si>
  <si>
    <t>Weald</t>
  </si>
  <si>
    <t xml:space="preserve">70, 91, </t>
  </si>
  <si>
    <t xml:space="preserve">28-9, 36, 91, </t>
  </si>
  <si>
    <t>Catterick</t>
  </si>
  <si>
    <t>Catterick Racecourse</t>
  </si>
  <si>
    <t>Yorkshire West</t>
  </si>
  <si>
    <t>Ferrybridge</t>
  </si>
  <si>
    <t>Church Lawford</t>
  </si>
  <si>
    <t>Rugby</t>
  </si>
  <si>
    <t>Lawford</t>
  </si>
  <si>
    <t>Tendring</t>
  </si>
  <si>
    <t>Seahenge</t>
  </si>
  <si>
    <t>Holme next the Sea</t>
  </si>
  <si>
    <t>Sutton Hoo</t>
  </si>
  <si>
    <t>West Whittlesey</t>
  </si>
  <si>
    <t>East Peterborough</t>
  </si>
  <si>
    <t>Catholme</t>
  </si>
  <si>
    <t>Milton Keynes</t>
  </si>
  <si>
    <t>Gayhurst</t>
  </si>
  <si>
    <t>North Milton Keynes</t>
  </si>
  <si>
    <t>Hindwell</t>
  </si>
  <si>
    <t>Radnorshire</t>
  </si>
  <si>
    <t>Walton</t>
  </si>
  <si>
    <t xml:space="preserve">8, 29, 91, </t>
  </si>
  <si>
    <t>Brenig</t>
  </si>
  <si>
    <t>Copper mine</t>
  </si>
  <si>
    <t>Llandudno</t>
  </si>
  <si>
    <t xml:space="preserve">28-9, 91, </t>
  </si>
  <si>
    <t>Belle Tout</t>
  </si>
  <si>
    <t>Wealden</t>
  </si>
  <si>
    <t>TV</t>
  </si>
  <si>
    <t>Monkton</t>
  </si>
  <si>
    <t>Ringlemere</t>
  </si>
  <si>
    <t>Dover</t>
  </si>
  <si>
    <t>Wyke Down</t>
  </si>
  <si>
    <t>Maumbury Rings</t>
  </si>
  <si>
    <t>Greyhound Yard</t>
  </si>
  <si>
    <t>Crouch Hill</t>
  </si>
  <si>
    <t>Christchurch</t>
  </si>
  <si>
    <t xml:space="preserve">7, 91, </t>
  </si>
  <si>
    <t>Fermanagh</t>
  </si>
  <si>
    <t>Kiltierney</t>
  </si>
  <si>
    <t>Ring cairn</t>
  </si>
  <si>
    <t xml:space="preserve">29, 80, 91, </t>
  </si>
  <si>
    <t>Balgatheran</t>
  </si>
  <si>
    <t>Keenoge</t>
  </si>
  <si>
    <t>Kilkenny</t>
  </si>
  <si>
    <t>Knockroe</t>
  </si>
  <si>
    <t>Carrick-on-Suir</t>
  </si>
  <si>
    <t>Ross Island</t>
  </si>
  <si>
    <t>Killarney</t>
  </si>
  <si>
    <t>Knocknarea</t>
  </si>
  <si>
    <t>Strandhill</t>
  </si>
  <si>
    <t xml:space="preserve">7, 12, 15, 68, 99, </t>
  </si>
  <si>
    <t>Tomb 51</t>
  </si>
  <si>
    <t>Passage tomb</t>
  </si>
  <si>
    <t>Drogheda</t>
  </si>
  <si>
    <t xml:space="preserve">29, 50, 52, 91, 99, 100, 102, </t>
  </si>
  <si>
    <t xml:space="preserve">91, 102, </t>
  </si>
  <si>
    <t xml:space="preserve">91, 95, 101-2, </t>
  </si>
  <si>
    <t xml:space="preserve">91, 103, </t>
  </si>
  <si>
    <t xml:space="preserve">91, 100-2, 104-5, </t>
  </si>
  <si>
    <t>Maeshowe</t>
  </si>
  <si>
    <t xml:space="preserve">90, 110, </t>
  </si>
  <si>
    <t xml:space="preserve">28, 40-1, 90, 110, </t>
  </si>
  <si>
    <t xml:space="preserve">90, 108, 110, </t>
  </si>
  <si>
    <t xml:space="preserve">90, 106, 110, </t>
  </si>
  <si>
    <t xml:space="preserve">91, 95, 99, 106-7, 110, </t>
  </si>
  <si>
    <t>Quoyness</t>
  </si>
  <si>
    <t xml:space="preserve">90, 112, </t>
  </si>
  <si>
    <t xml:space="preserve">90, 95, 108-9, 110, 112, </t>
  </si>
  <si>
    <t xml:space="preserve">91, 113, </t>
  </si>
  <si>
    <t>The Grange'</t>
  </si>
  <si>
    <t>Dun Ruadh</t>
  </si>
  <si>
    <t>Longstone Rath</t>
  </si>
  <si>
    <t>Henge  Standing stone</t>
  </si>
  <si>
    <t>Kill</t>
  </si>
  <si>
    <t>Belfast</t>
  </si>
  <si>
    <t xml:space="preserve">92, 106, 116, </t>
  </si>
  <si>
    <t xml:space="preserve">92, 113-4, 116, </t>
  </si>
  <si>
    <t>Fylingdales Moor</t>
  </si>
  <si>
    <t>Rock art</t>
  </si>
  <si>
    <t xml:space="preserve">91, 117, </t>
  </si>
  <si>
    <t xml:space="preserve">7-8, 12, 15, 28, 41, 50, 90, 118, </t>
  </si>
  <si>
    <t xml:space="preserve">91, 118, </t>
  </si>
  <si>
    <t xml:space="preserve">91, 104, 106, 118, </t>
  </si>
  <si>
    <t xml:space="preserve">90, 95, 97, 108, 119, </t>
  </si>
  <si>
    <t>91, 119 ,</t>
  </si>
  <si>
    <t>Lewis</t>
  </si>
  <si>
    <t xml:space="preserve">90, 118, 120, </t>
  </si>
  <si>
    <t xml:space="preserve">91, 118, 120, </t>
  </si>
  <si>
    <t xml:space="preserve">90, 120, </t>
  </si>
  <si>
    <t xml:space="preserve">29, 91, 118, 120, </t>
  </si>
  <si>
    <t xml:space="preserve">7-8, 10, 12, 20, 29, 43, 90-1, 117-8, 120, </t>
  </si>
  <si>
    <t xml:space="preserve">28, 37, 56, 70-1, 74, 91, 118, 120, </t>
  </si>
  <si>
    <t xml:space="preserve">91, 118, 121-2, </t>
  </si>
  <si>
    <t xml:space="preserve">91, 122, </t>
  </si>
  <si>
    <t xml:space="preserve">91, 123, </t>
  </si>
  <si>
    <t xml:space="preserve">6, 90, 95, 99, 108-9, 110-2, 116-8, 121-3, </t>
  </si>
  <si>
    <t xml:space="preserve">91, 121, 124, </t>
  </si>
  <si>
    <t>Northern Circle</t>
  </si>
  <si>
    <t>Southern Circle</t>
  </si>
  <si>
    <t xml:space="preserve">91, 113-5, 118, 120, 124, </t>
  </si>
  <si>
    <t>Outer Circle</t>
  </si>
  <si>
    <t xml:space="preserve">125, </t>
  </si>
  <si>
    <t xml:space="preserve">90, 112-3, 118, 126, </t>
  </si>
  <si>
    <t xml:space="preserve">91, 126, </t>
  </si>
  <si>
    <t xml:space="preserve">90, 107, 118-9, 127, </t>
  </si>
  <si>
    <t xml:space="preserve">123-4, 126-7, </t>
  </si>
  <si>
    <t>Dishforth</t>
  </si>
  <si>
    <t>Double pit alignment</t>
  </si>
  <si>
    <t xml:space="preserve">29, 83, 85, 91, 128, </t>
  </si>
  <si>
    <t xml:space="preserve">91, 128, </t>
  </si>
  <si>
    <t xml:space="preserve">67, 91, 127-8, </t>
  </si>
  <si>
    <t xml:space="preserve">91, 128-9, </t>
  </si>
  <si>
    <t xml:space="preserve">125, 130, </t>
  </si>
  <si>
    <t xml:space="preserve">91, 130, </t>
  </si>
  <si>
    <t xml:space="preserve">129, 130,  </t>
  </si>
  <si>
    <t>Milfield North</t>
  </si>
  <si>
    <t xml:space="preserve">130, </t>
  </si>
  <si>
    <t xml:space="preserve">28, 64, 90, 123, 130, </t>
  </si>
  <si>
    <t xml:space="preserve">91, 131, </t>
  </si>
  <si>
    <t>Conquer Barrow</t>
  </si>
  <si>
    <t xml:space="preserve">91, 130-1, </t>
  </si>
  <si>
    <t xml:space="preserve">30, 39, 60, 62, 64-5, 68-9, 76, 97-8, 130, </t>
  </si>
  <si>
    <t xml:space="preserve">14, 128, 130, </t>
  </si>
  <si>
    <t xml:space="preserve">6, 12, 91, 94-5, 101-3, 105, 108, 113, 116-7, 121, 132, </t>
  </si>
  <si>
    <t xml:space="preserve">91, 133, </t>
  </si>
  <si>
    <t xml:space="preserve">7, 133, </t>
  </si>
  <si>
    <t xml:space="preserve">12, 29, 91, 133, </t>
  </si>
  <si>
    <t>Fen Edge</t>
  </si>
  <si>
    <t>Carlisle</t>
  </si>
  <si>
    <t xml:space="preserve">134, </t>
  </si>
  <si>
    <t xml:space="preserve">91, 120, 134-5, </t>
  </si>
  <si>
    <t xml:space="preserve">91, 120, 135, </t>
  </si>
  <si>
    <t xml:space="preserve">20, 28, 37, 74, 91, 120, 134-5, </t>
  </si>
  <si>
    <t xml:space="preserve">14-5, 17, 39, 47, 49, 58, 70, 72, 79, 118, 130, 135, </t>
  </si>
  <si>
    <t xml:space="preserve">90, 112, 126, 136, </t>
  </si>
  <si>
    <t xml:space="preserve">91, 134-6, </t>
  </si>
  <si>
    <t xml:space="preserve">91, 129, 130, 135-6, </t>
  </si>
  <si>
    <t xml:space="preserve">91, 118, 120, 129, 136, </t>
  </si>
  <si>
    <t xml:space="preserve">137, </t>
  </si>
  <si>
    <t xml:space="preserve">138, </t>
  </si>
  <si>
    <t xml:space="preserve">137, 139, </t>
  </si>
  <si>
    <t xml:space="preserve">83, 91, 136, 139, </t>
  </si>
  <si>
    <t xml:space="preserve">123, 138, 140, </t>
  </si>
  <si>
    <t xml:space="preserve">121, 124-5, 141, </t>
  </si>
  <si>
    <t>Stonehenge Avenue</t>
  </si>
  <si>
    <t xml:space="preserve">137, 141, </t>
  </si>
  <si>
    <t xml:space="preserve">20, 137, </t>
  </si>
  <si>
    <t xml:space="preserve">20, 29, 91, 119, 125, 140, </t>
  </si>
  <si>
    <t xml:space="preserve">91, 140, </t>
  </si>
  <si>
    <t xml:space="preserve">50, 95, 110, 116-8, 126, 136, 140, </t>
  </si>
  <si>
    <t xml:space="preserve">91, 121, 123-4, 130, 140-2, </t>
  </si>
  <si>
    <t xml:space="preserve">91, 114, 147, </t>
  </si>
  <si>
    <t xml:space="preserve">6, 91, 102-6, 110, 112-6, 118, 125, 132, 147, </t>
  </si>
  <si>
    <t xml:space="preserve">29, 69, 91, 94, 100, 102-4, 106, 112, 114, 119, 120, 126, 147, </t>
  </si>
  <si>
    <t xml:space="preserve">1-2, 12, 14, 17, 19, 30, 146-7, </t>
  </si>
  <si>
    <t xml:space="preserve">91, 150, </t>
  </si>
  <si>
    <t xml:space="preserve">91, 119, 120, 123-4, 128, 130, 133, 138, 141-2, 150, </t>
  </si>
  <si>
    <t xml:space="preserve">31, 78, 80-1, 89, 94, 96, 118, 136, 150, </t>
  </si>
  <si>
    <t xml:space="preserve">10, 12, 14, 17, 19, 20, 116, 119, 133, 150, </t>
  </si>
  <si>
    <t xml:space="preserve">8, 14-5, 17, 20, 47, 60, 78, 132-4, 150, </t>
  </si>
  <si>
    <t xml:space="preserve">91, 151, </t>
  </si>
  <si>
    <t xml:space="preserve">8, 16-7, 29, 30, 39, 43-4, 48, 56, 60, 71, 76-7, 82, 91, 123, 151, </t>
  </si>
  <si>
    <t xml:space="preserve">91, 121, 124, 128-9, 131, 141, 152, </t>
  </si>
  <si>
    <t xml:space="preserve">91, 154, </t>
  </si>
  <si>
    <t xml:space="preserve">133, 154, </t>
  </si>
  <si>
    <t>island of Thanet</t>
  </si>
  <si>
    <t xml:space="preserve">22, 29, 91, 152, 154, </t>
  </si>
  <si>
    <t>Lockington</t>
  </si>
  <si>
    <t>NW Leicestershire</t>
  </si>
  <si>
    <t xml:space="preserve">56, 76, 81, 154, </t>
  </si>
  <si>
    <t xml:space="preserve">56, 91, 154, </t>
  </si>
  <si>
    <t>Scotland   Ireland</t>
  </si>
  <si>
    <t>Brighton and Hove</t>
  </si>
  <si>
    <t>Eire Total</t>
  </si>
  <si>
    <t>N Ireland Total</t>
  </si>
  <si>
    <t>GB Query</t>
  </si>
  <si>
    <t>GB Total</t>
  </si>
  <si>
    <t xml:space="preserve">Henge  Barrow </t>
  </si>
  <si>
    <t xml:space="preserve">5, 14-5, 34, 68, 122, 133, 157, </t>
  </si>
  <si>
    <t xml:space="preserve">70, 91, 156-7, </t>
  </si>
  <si>
    <t xml:space="preserve">12, 17-8, 20, 29, 91, 157, </t>
  </si>
  <si>
    <t xml:space="preserve">8, 10, 12, 14, 17, 19, 20, 24, 32, 37, 47, 82, 146, 149, 156-7, </t>
  </si>
  <si>
    <t xml:space="preserve">17, 73, 157, </t>
  </si>
  <si>
    <t xml:space="preserve">17, 27, 29, 32, 91, 97, 146-7, 156, </t>
  </si>
  <si>
    <t xml:space="preserve">91, 145-7, 156, </t>
  </si>
  <si>
    <t xml:space="preserve">xviii, 8, 20, 28, 158, </t>
  </si>
  <si>
    <t>south-south-west Scotland</t>
  </si>
  <si>
    <t xml:space="preserve">158, </t>
  </si>
  <si>
    <t xml:space="preserve">91, 154, 159, </t>
  </si>
  <si>
    <t xml:space="preserve">56, 159, </t>
  </si>
  <si>
    <t>Normanton Down  Druid's Barrows</t>
  </si>
  <si>
    <t xml:space="preserve">91, 150, 159, </t>
  </si>
  <si>
    <t xml:space="preserve">6, 16, 91, 124-6, 128, 136, 160, </t>
  </si>
  <si>
    <t xml:space="preserve">91, 161, </t>
  </si>
  <si>
    <t xml:space="preserve">12, 20, 91, 161, </t>
  </si>
  <si>
    <t xml:space="preserve">128, 161, </t>
  </si>
  <si>
    <t xml:space="preserve">91, 154, 162, </t>
  </si>
  <si>
    <t xml:space="preserve">91, 162, </t>
  </si>
  <si>
    <t xml:space="preserve">91, 162-3, </t>
  </si>
  <si>
    <t xml:space="preserve">17, 29, 39, 40, 80, 91, 100, 105, 148, 162-3, </t>
  </si>
  <si>
    <t xml:space="preserve">91, 164, </t>
  </si>
  <si>
    <t xml:space="preserve">79, 91, 164, </t>
  </si>
  <si>
    <t>Cursus barrow group</t>
  </si>
  <si>
    <t xml:space="preserve">165, </t>
  </si>
  <si>
    <t xml:space="preserve">91, 151, 164, 167, </t>
  </si>
  <si>
    <t xml:space="preserve">28, 52, 80, 91, 154, 166, </t>
  </si>
  <si>
    <t xml:space="preserve">4, 12, 17-8, 20, 23, 28-9, 30, 37, 56, 64, 66, 69, 76, 80, 82, 91, 120-1, 130-3, 136, 151, 153-6, 161, 164, 166, </t>
  </si>
  <si>
    <t xml:space="preserve">1, 4, 14, 17, 23, 29, 30, 32, 37, 39, 42, 60-1, 69, 77, 86, 96, 120-1, 126-7, 131, 140, 142, 150, 153-5, 157, 161, 168, </t>
  </si>
  <si>
    <t xml:space="preserve">2, 4, 6-8, 12, 28, 39, 41, 90, 95, 98-9, 106, 108, 118, 120, 132-4, 168, </t>
  </si>
  <si>
    <t xml:space="preserve">90, 125, 168, </t>
  </si>
  <si>
    <t xml:space="preserve">91, 101, 113-4, 168, </t>
  </si>
  <si>
    <t xml:space="preserve">8, 117, 161, 168, </t>
  </si>
  <si>
    <t xml:space="preserve">1, 6, 12, 17-8, 28-9, 43, 56, 64, 68, 75-6, 80, 91, 132-3, 150, 164, 168, </t>
  </si>
  <si>
    <t xml:space="preserve">29, 81, 91, 154, 168, </t>
  </si>
  <si>
    <t>Moel Trigarn</t>
  </si>
  <si>
    <t xml:space="preserve">169, </t>
  </si>
  <si>
    <t xml:space="preserve">17, 29, 67, 69, 76, 91, 121, 124, 132, 154, 168, </t>
  </si>
  <si>
    <t xml:space="preserve">12, 17, 28-9, 80, 91, 117, 132, 161, 169, </t>
  </si>
  <si>
    <t xml:space="preserve">2, 4, 7-8, 10-12, 14-5, 19, 20, 22, 27-29, 30, 32, 37-9, 41-3, 64-5, 69, 86, 96, 106, 110, 118, 120, 122, 125, 130, 133-4, 152, 154, 158-9, 160, 169, </t>
  </si>
  <si>
    <t xml:space="preserve">17, 28, 57-8, 65-6, 80, 82-3, 91, 122-3, 132-3, 136, 139, 153-4, 161-2, 168-9, </t>
  </si>
  <si>
    <t xml:space="preserve">91, 170, </t>
  </si>
  <si>
    <t xml:space="preserve">91, 150, 170, </t>
  </si>
  <si>
    <t xml:space="preserve">12, 110, 150, 170, </t>
  </si>
  <si>
    <t>South Uist</t>
  </si>
  <si>
    <t xml:space="preserve">170, </t>
  </si>
  <si>
    <t>Fifty Farm  West Row Fen</t>
  </si>
  <si>
    <t xml:space="preserve">91, 169, 171, </t>
  </si>
  <si>
    <t xml:space="preserve">12, 14, 23, 68, 73, 81, 97, 171, </t>
  </si>
  <si>
    <t xml:space="preserve">91, 171, </t>
  </si>
  <si>
    <t xml:space="preserve">12, 91, 119, 121, 134, 171, </t>
  </si>
  <si>
    <t xml:space="preserve">1, 4-5, 7, 10-12, 14-7, 19, 22, 27-9, 30, 37-9, 42-4, 50, 61-2, 64-5, 68, 70, 75, 96-7, 125, 152, 154, 160-1, 171, </t>
  </si>
  <si>
    <t xml:space="preserve">20, 29, 43, 45, 47, 50-1, 55, 70, 80, 91, 99, 107, 148, 161, 169, 172, </t>
  </si>
  <si>
    <t xml:space="preserve">2, 7-8, 12, 15, 28, 43, 90, 96, 172, </t>
  </si>
  <si>
    <t xml:space="preserve">12, 14, 22, 172, </t>
  </si>
  <si>
    <t xml:space="preserve">6, 12, 28, 37, 43, 90, 120, 169, 172, </t>
  </si>
  <si>
    <t xml:space="preserve">91, 169, 172, </t>
  </si>
  <si>
    <t>Great Orme Head</t>
  </si>
  <si>
    <t>Lincolnshire South</t>
  </si>
  <si>
    <t>Deeping St Nicholas</t>
  </si>
  <si>
    <t>Bourne</t>
  </si>
  <si>
    <t xml:space="preserve">173, </t>
  </si>
  <si>
    <t xml:space="preserve">14, 16, 29, 34, 39, 55, 69, 80, 89, 97, 119, 156-7, 161-2, 172, </t>
  </si>
  <si>
    <t xml:space="preserve">5, 7, 10-12, 15-7, 19, 22, 27, 29, 38-9, 42-3, 50, 64, 69, 96, 130, 140, 152, 156, 160, 172, </t>
  </si>
  <si>
    <t xml:space="preserve">91, 169, 173, </t>
  </si>
  <si>
    <t xml:space="preserve">xviii, 2-3, 5-8, 10-12, 14-5, 17, 19, 20, 22, 24, 27, 29, 30, 34-5, 38-9, 40-4, 49, 50, 52, 54, 58, 60-2, 64-5, 68-9, 80, 83-4, 94-9, 101-6, 108, 110, 112-4, 116-9, 120-2, 133-4, 146-9, 150, 152, 154, 156-7, 160-1, 168, 174,  </t>
  </si>
  <si>
    <t xml:space="preserve">90, 174, </t>
  </si>
  <si>
    <t xml:space="preserve">28, 90, 132, 174, </t>
  </si>
  <si>
    <t xml:space="preserve">13, 28, 55, 58, 67, 90, 123, 154, 174, </t>
  </si>
  <si>
    <t xml:space="preserve">90, 173-4, </t>
  </si>
  <si>
    <t xml:space="preserve">2, 14, 16, 20, 28, 37, 44, 52, 60, 90, 99, 106, 113, 132, 150, 152, 156, 168, 174-5, </t>
  </si>
  <si>
    <t xml:space="preserve">28, 90, 125, 133, 157, 174-5, </t>
  </si>
  <si>
    <t xml:space="preserve">169, 174-5, </t>
  </si>
  <si>
    <t xml:space="preserve">10, 17, 20, 76, 99, 118, 175, </t>
  </si>
  <si>
    <t xml:space="preserve">6, 15, 20, 22, 29, 91, 123, 156, 175, </t>
  </si>
  <si>
    <t xml:space="preserve">7-8, 14, 17, 24, 28, 37, 44, 50, 60, 68, 90, 97, 118, 120, 150, 157, 161, 168, 175, </t>
  </si>
  <si>
    <t xml:space="preserve">91, 172, 176, </t>
  </si>
  <si>
    <t xml:space="preserve">91, 173-5, </t>
  </si>
  <si>
    <t xml:space="preserve">1, 5-6, 23, 25, 29, 82-3, 86, 91, 137-9, 140-2, 150, 156, 160, 168, 176, </t>
  </si>
  <si>
    <t xml:space="preserve">2-3, 8, 10-12, 14, 16-7, 20, 22-3, 25, 30, 35, 37, 42, 44, 54, 57-8, 60, 64-5, 68-9, 71, 73-4, 80, 83-4, 89, 96, 98, 100, 114, 120, 126, 128, 132, 137, 144, 146, 148-9, 150, 152-3, 155-7, 177, </t>
  </si>
  <si>
    <t>south-east</t>
  </si>
  <si>
    <t>Parker Pearson</t>
  </si>
  <si>
    <t xml:space="preserve">19, 22, 24, 36-7, </t>
  </si>
  <si>
    <t xml:space="preserve">12, 26, </t>
  </si>
  <si>
    <t xml:space="preserve">23, </t>
  </si>
  <si>
    <t xml:space="preserve">45, 47, </t>
  </si>
  <si>
    <t>Black Mountains</t>
  </si>
  <si>
    <t xml:space="preserve">27, </t>
  </si>
  <si>
    <t xml:space="preserve">43, 45, 47, </t>
  </si>
  <si>
    <t xml:space="preserve">43, 45, </t>
  </si>
  <si>
    <t xml:space="preserve">22, 41, </t>
  </si>
  <si>
    <t>Gloucester</t>
  </si>
  <si>
    <t xml:space="preserve">15, 20, 22, 38, </t>
  </si>
  <si>
    <t xml:space="preserve">15-6, 18, 24, 34, </t>
  </si>
  <si>
    <t>Cambridge</t>
  </si>
  <si>
    <t xml:space="preserve">23, 41, </t>
  </si>
  <si>
    <t xml:space="preserve">36-7, </t>
  </si>
  <si>
    <t xml:space="preserve">36-8, </t>
  </si>
  <si>
    <t>Dingle Peninsula</t>
  </si>
  <si>
    <t>Peninsula</t>
  </si>
  <si>
    <t>Dublin Bay</t>
  </si>
  <si>
    <t xml:space="preserve">40, 45, </t>
  </si>
  <si>
    <t xml:space="preserve">26, 40, </t>
  </si>
  <si>
    <t>Upper Teesdale</t>
  </si>
  <si>
    <t xml:space="preserve">28, 30, 38, </t>
  </si>
  <si>
    <t>Stepleton Enclosure</t>
  </si>
  <si>
    <t xml:space="preserve">35-6, </t>
  </si>
  <si>
    <t xml:space="preserve">35, 37, </t>
  </si>
  <si>
    <t>Gordano Services</t>
  </si>
  <si>
    <t>Bristol</t>
  </si>
  <si>
    <t>Staines</t>
  </si>
  <si>
    <t>Whitesheet Hill</t>
  </si>
  <si>
    <t>Maguire's Bridge</t>
  </si>
  <si>
    <t>Enniskillen</t>
  </si>
  <si>
    <t>Carmarthen</t>
  </si>
  <si>
    <t>Long Down</t>
  </si>
  <si>
    <t>Behy</t>
  </si>
  <si>
    <t>Belderg</t>
  </si>
  <si>
    <t>Belderg Beg</t>
  </si>
  <si>
    <t>Glenulra</t>
  </si>
  <si>
    <t xml:space="preserve">40-1, </t>
  </si>
  <si>
    <t>F</t>
  </si>
  <si>
    <t>Tankardstown</t>
  </si>
  <si>
    <t>Cashelkeelty</t>
  </si>
  <si>
    <t>Lauragh</t>
  </si>
  <si>
    <t>V</t>
  </si>
  <si>
    <t>Ballyscullion</t>
  </si>
  <si>
    <t xml:space="preserve">23, 38, </t>
  </si>
  <si>
    <t>Yorkshire South</t>
  </si>
  <si>
    <t>Rotherham</t>
  </si>
  <si>
    <t>Sheffield</t>
  </si>
  <si>
    <t>Lough Neagh</t>
  </si>
  <si>
    <t>River Bann</t>
  </si>
  <si>
    <t xml:space="preserve">23, 34, </t>
  </si>
  <si>
    <t xml:space="preserve">23-4, </t>
  </si>
  <si>
    <t>London Inner</t>
  </si>
  <si>
    <t>West Heath Spa</t>
  </si>
  <si>
    <t>Hampstead</t>
  </si>
  <si>
    <t>Ellerside Moss</t>
  </si>
  <si>
    <t>Haverthwaite</t>
  </si>
  <si>
    <t>Portland Bill</t>
  </si>
  <si>
    <t>Isle of Portland</t>
  </si>
  <si>
    <t>Polden Hills</t>
  </si>
  <si>
    <t>Westhay Mere</t>
  </si>
  <si>
    <t>Parkbury</t>
  </si>
  <si>
    <t>Early Neolithic dugout logboat</t>
  </si>
  <si>
    <t xml:space="preserve">22-3, 38, 50-1, </t>
  </si>
  <si>
    <t xml:space="preserve">49, 51, </t>
  </si>
  <si>
    <t xml:space="preserve">44, 47-8, 51, </t>
  </si>
  <si>
    <t xml:space="preserve">23, 51, </t>
  </si>
  <si>
    <t xml:space="preserve">51-2, </t>
  </si>
  <si>
    <t xml:space="preserve">52-3, </t>
  </si>
  <si>
    <t>Buxton</t>
  </si>
  <si>
    <t>Castor</t>
  </si>
  <si>
    <t>Wooden enclosure</t>
  </si>
  <si>
    <t>Eilean Domnhuil       Loch Olabhat crannog</t>
  </si>
  <si>
    <t>Hullbridge Estuary</t>
  </si>
  <si>
    <t xml:space="preserve">51, 53, 58, </t>
  </si>
  <si>
    <t xml:space="preserve">43, 52-3, 58, </t>
  </si>
  <si>
    <t>Comet Stone</t>
  </si>
  <si>
    <t>Cursus  Monolith</t>
  </si>
  <si>
    <t xml:space="preserve">60, 62, </t>
  </si>
  <si>
    <t>Ballinacrad</t>
  </si>
  <si>
    <t>Tombs</t>
  </si>
  <si>
    <t xml:space="preserve">45, 61, </t>
  </si>
  <si>
    <t xml:space="preserve">62, 65-6, </t>
  </si>
  <si>
    <t xml:space="preserve">36, 72, </t>
  </si>
  <si>
    <t>West Country</t>
  </si>
  <si>
    <t>Milfield Basin</t>
  </si>
  <si>
    <t xml:space="preserve">66, 71, 73, </t>
  </si>
  <si>
    <t xml:space="preserve">55-9, 60, 66, </t>
  </si>
  <si>
    <t xml:space="preserve">55-9, 60-1, 66, </t>
  </si>
  <si>
    <t xml:space="preserve">38, 67, </t>
  </si>
  <si>
    <t xml:space="preserve">62, 67, 69, </t>
  </si>
  <si>
    <t xml:space="preserve">70, 72, </t>
  </si>
  <si>
    <t xml:space="preserve">62, 70, </t>
  </si>
  <si>
    <t>King Arthur's Round Table</t>
  </si>
  <si>
    <t xml:space="preserve">Henge </t>
  </si>
  <si>
    <t>Knowlton</t>
  </si>
  <si>
    <t>Henges</t>
  </si>
  <si>
    <t>Goldington</t>
  </si>
  <si>
    <t>Cursuses  Long enclosures</t>
  </si>
  <si>
    <t xml:space="preserve">65, 67, </t>
  </si>
  <si>
    <t>Drayton</t>
  </si>
  <si>
    <t>Yeavering</t>
  </si>
  <si>
    <t>Marlborough Mound</t>
  </si>
  <si>
    <t>Devil's Arrows</t>
  </si>
  <si>
    <t>Standing stone alignment</t>
  </si>
  <si>
    <t xml:space="preserve">62, 64-5, 73, </t>
  </si>
  <si>
    <t xml:space="preserve">36, 43, 72, 74, </t>
  </si>
  <si>
    <t xml:space="preserve">60, 74, </t>
  </si>
  <si>
    <t xml:space="preserve">60, 75, </t>
  </si>
  <si>
    <t>Ballygowan</t>
  </si>
  <si>
    <t xml:space="preserve">35, 38, 76, </t>
  </si>
  <si>
    <t>Axe production site</t>
  </si>
  <si>
    <t xml:space="preserve">35, 76, </t>
  </si>
  <si>
    <t>Irthlingborough</t>
  </si>
  <si>
    <t>East Northamptonshire</t>
  </si>
  <si>
    <t>Whitby</t>
  </si>
  <si>
    <t>River Nene</t>
  </si>
  <si>
    <t>Longford</t>
  </si>
  <si>
    <t>Central!</t>
  </si>
  <si>
    <t>Corlea</t>
  </si>
  <si>
    <t>Ancient wooden trackway</t>
  </si>
  <si>
    <t>Mount Gabriel</t>
  </si>
  <si>
    <t>South-west Ireland</t>
  </si>
  <si>
    <t xml:space="preserve">83-4, </t>
  </si>
  <si>
    <t>Newquay</t>
  </si>
  <si>
    <t>Trethellan Farm</t>
  </si>
  <si>
    <t xml:space="preserve">49, 50, 81-2, 84, </t>
  </si>
  <si>
    <t>Green Low</t>
  </si>
  <si>
    <t xml:space="preserve">85-6, </t>
  </si>
  <si>
    <t xml:space="preserve">34, 38, 86, </t>
  </si>
  <si>
    <t xml:space="preserve">70, 72, 86, </t>
  </si>
  <si>
    <t xml:space="preserve">26, 85, </t>
  </si>
  <si>
    <t>Bowl's barrow</t>
  </si>
  <si>
    <t xml:space="preserve">35, 43, 45, 88, </t>
  </si>
  <si>
    <t xml:space="preserve">81, 87, </t>
  </si>
  <si>
    <t>33, 73, 82, 84, 88, 91,</t>
  </si>
  <si>
    <t xml:space="preserve">69, 90-1, </t>
  </si>
  <si>
    <t xml:space="preserve">61, 66-7, 91, </t>
  </si>
  <si>
    <t xml:space="preserve">71, 91, </t>
  </si>
  <si>
    <t>Snail Valley</t>
  </si>
  <si>
    <t>Ely</t>
  </si>
  <si>
    <t xml:space="preserve">92-3, </t>
  </si>
  <si>
    <t>Cassington</t>
  </si>
  <si>
    <t xml:space="preserve">60-2, 92, </t>
  </si>
  <si>
    <t xml:space="preserve">92-4, </t>
  </si>
  <si>
    <t xml:space="preserve">88, 94, </t>
  </si>
  <si>
    <t xml:space="preserve">43, 58-9, 60-1, 95, </t>
  </si>
  <si>
    <t xml:space="preserve">96, </t>
  </si>
  <si>
    <t>Flag Fen</t>
  </si>
  <si>
    <t>Harlyn Bay</t>
  </si>
  <si>
    <t>BA sword findspot</t>
  </si>
  <si>
    <t>St. Merryn</t>
  </si>
  <si>
    <t xml:space="preserve">36, 76, 86, 2 colour plates, </t>
  </si>
  <si>
    <t xml:space="preserve">55, 61, 66-7, 69, 72, colour plate, </t>
  </si>
  <si>
    <t xml:space="preserve">67, colour plate, </t>
  </si>
  <si>
    <t xml:space="preserve">43, 47, 87, 91, 2 colour plates, </t>
  </si>
  <si>
    <t xml:space="preserve">Memsie </t>
  </si>
  <si>
    <t>Stone cairn</t>
  </si>
  <si>
    <t>Banff &amp; Buchan</t>
  </si>
  <si>
    <t xml:space="preserve">colour plate, </t>
  </si>
  <si>
    <t>Mousland</t>
  </si>
  <si>
    <t>Circular cairn</t>
  </si>
  <si>
    <t xml:space="preserve">2 colour plates, </t>
  </si>
  <si>
    <t>Heights of Brae</t>
  </si>
  <si>
    <t xml:space="preserve">97, </t>
  </si>
  <si>
    <t>Wistman's Wood</t>
  </si>
  <si>
    <t>Woodland</t>
  </si>
  <si>
    <t xml:space="preserve">27, 35, 66, 85, 99, </t>
  </si>
  <si>
    <t xml:space="preserve">84, 99, </t>
  </si>
  <si>
    <t xml:space="preserve">23, 99, </t>
  </si>
  <si>
    <t xml:space="preserve">66, 99, </t>
  </si>
  <si>
    <t>Zennor</t>
  </si>
  <si>
    <t>St. Ives</t>
  </si>
  <si>
    <t>White Peak</t>
  </si>
  <si>
    <t>Dark Peak</t>
  </si>
  <si>
    <t xml:space="preserve">60, 68, 99, 100, </t>
  </si>
  <si>
    <t xml:space="preserve">22, 43, 99, 100, </t>
  </si>
  <si>
    <t xml:space="preserve">43, 60, 62, 66, 99, 101, </t>
  </si>
  <si>
    <t xml:space="preserve">84, 87, 103, </t>
  </si>
  <si>
    <t xml:space="preserve">100, 102, </t>
  </si>
  <si>
    <t xml:space="preserve">99, 102, </t>
  </si>
  <si>
    <t>Entrance graves</t>
  </si>
  <si>
    <t>Scilly Isles &amp; Cornwall</t>
  </si>
  <si>
    <t>Tregiffian</t>
  </si>
  <si>
    <t>St. Buryan</t>
  </si>
  <si>
    <t>Knackyboy Cairn</t>
  </si>
  <si>
    <t>St. Martin's</t>
  </si>
  <si>
    <t>SV</t>
  </si>
  <si>
    <t>Shaugh Moor</t>
  </si>
  <si>
    <t>Everley Water Meadow</t>
  </si>
  <si>
    <t xml:space="preserve">28-28, 30, 40, 48, 104, </t>
  </si>
  <si>
    <t xml:space="preserve">106, </t>
  </si>
  <si>
    <t xml:space="preserve">105-7, </t>
  </si>
  <si>
    <t xml:space="preserve">106, 108-9, </t>
  </si>
  <si>
    <t>central southern Britain</t>
  </si>
  <si>
    <t>Salcombe</t>
  </si>
  <si>
    <t>Plym Valley</t>
  </si>
  <si>
    <t>Puncknowle</t>
  </si>
  <si>
    <t xml:space="preserve">109, 111, </t>
  </si>
  <si>
    <t xml:space="preserve">34, 43, 73-4, 81, 87, 91, 96, 102, 112, </t>
  </si>
  <si>
    <t xml:space="preserve">19, 28, 36, 38, 43, 46, 61, 65-6, 72, 74, 81, 94, 100-1, 105, 108-9, 110, 112, </t>
  </si>
  <si>
    <t xml:space="preserve">96, 109, 111-2, </t>
  </si>
  <si>
    <t xml:space="preserve">109, 111-2, </t>
  </si>
  <si>
    <t xml:space="preserve">23, 37-8, 76, 84, 102-3, 112, </t>
  </si>
  <si>
    <t xml:space="preserve">84, 106-8, 112, </t>
  </si>
  <si>
    <t xml:space="preserve">38, 112, </t>
  </si>
  <si>
    <t xml:space="preserve">66, 113, </t>
  </si>
  <si>
    <t>Timber platform &amp; walkway   Museum</t>
  </si>
  <si>
    <t>Holme Fen</t>
  </si>
  <si>
    <t xml:space="preserve">113, 115, </t>
  </si>
  <si>
    <t xml:space="preserve">23, 26-7, 34, 45, 113, 116, </t>
  </si>
  <si>
    <t xml:space="preserve">43, 51, 66, 113, 115-6, </t>
  </si>
  <si>
    <t xml:space="preserve">96, 113-6, </t>
  </si>
  <si>
    <t>Clifton</t>
  </si>
  <si>
    <t xml:space="preserve">66, 116, </t>
  </si>
  <si>
    <t>Jarlshof</t>
  </si>
  <si>
    <t>Dainton</t>
  </si>
  <si>
    <t xml:space="preserve">19, 45, 94, 99, 116, </t>
  </si>
  <si>
    <t xml:space="preserve">19, 25, 116, </t>
  </si>
  <si>
    <t xml:space="preserve">20, 25, 40, 94, 109, 116, </t>
  </si>
  <si>
    <t xml:space="preserve">38, 81, 101, 117, </t>
  </si>
  <si>
    <t xml:space="preserve">84, 117, </t>
  </si>
  <si>
    <t>BA gold hoard</t>
  </si>
  <si>
    <t>West Clare</t>
  </si>
  <si>
    <t>Mooghaun North</t>
  </si>
  <si>
    <t xml:space="preserve">colour plate, 117, </t>
  </si>
  <si>
    <t>Witham River</t>
  </si>
  <si>
    <t>Syon Reach</t>
  </si>
  <si>
    <t>Richmond</t>
  </si>
  <si>
    <t xml:space="preserve">27, 50-1, 65, 67, 74, 85, 91, 102, 117-8, </t>
  </si>
  <si>
    <t xml:space="preserve">83, 85, 87, 109, 112, 118, </t>
  </si>
  <si>
    <t xml:space="preserve">24, 46, 66, 101, 117-8, </t>
  </si>
  <si>
    <t xml:space="preserve">26-7, 37, 50, 67, 83, 102, 116, 118, </t>
  </si>
  <si>
    <t>River Shannon</t>
  </si>
  <si>
    <t xml:space="preserve">23, 45, 78, 87, 101, 108, 113, 125, </t>
  </si>
  <si>
    <t xml:space="preserve">36, 82, 125, </t>
  </si>
  <si>
    <t xml:space="preserve">66, 126, </t>
  </si>
  <si>
    <t xml:space="preserve">27, 48-9, 50, 66-8, 78, 99, 102, 118, 126, </t>
  </si>
  <si>
    <t xml:space="preserve">12, 19, 22-3, 25-7, 43, 49, 50, 60, 67, 72, 74, 82-3, 86, 96, 100, 102, 116-8, 125-6, </t>
  </si>
  <si>
    <t xml:space="preserve">43, 127, </t>
  </si>
  <si>
    <t xml:space="preserve">43, 45, 55, 58-61, 66, 72, 74, 87, 91, 101-2, 125, 127, </t>
  </si>
  <si>
    <t xml:space="preserve">67, 102, 127, </t>
  </si>
  <si>
    <t xml:space="preserve">60, 62, 71, 75, 86, 95, 128, </t>
  </si>
  <si>
    <t xml:space="preserve">48-9, 128, </t>
  </si>
  <si>
    <t xml:space="preserve">78, 80-2, 84, 91-2, 101-2, 129, </t>
  </si>
  <si>
    <t xml:space="preserve">31, colour plate, 116, 131, </t>
  </si>
  <si>
    <t xml:space="preserve">71, 96, colour plate, 130-1, </t>
  </si>
  <si>
    <t xml:space="preserve">49, 91, 94-5, 131, </t>
  </si>
  <si>
    <t xml:space="preserve">70-1, 91, 2 colour plates, 131, </t>
  </si>
  <si>
    <t xml:space="preserve">78, 91, 132, </t>
  </si>
  <si>
    <t xml:space="preserve">62, 69, 70, 76, 88, 91, 93-6, colour plate, 100-1, 131-2, </t>
  </si>
  <si>
    <t xml:space="preserve">12, 15, 17-8, 22-3, 25, 34, 36, 49, 52, 72, 76, 81-2, 84-6, 91, 94-5, 102, 109, 113, 116, 132, </t>
  </si>
  <si>
    <t xml:space="preserve">40, 66, 70, 81, 87-8, 94-6, 99, 101, 105-6, 109, 112, 125-6, 131, </t>
  </si>
  <si>
    <t xml:space="preserve">103-5, 132, </t>
  </si>
  <si>
    <t xml:space="preserve">11, 23, 97-9, 103, 133, </t>
  </si>
  <si>
    <t>Trethevy Quoit</t>
  </si>
  <si>
    <t>St Cleer</t>
  </si>
  <si>
    <t>Kingston Russell</t>
  </si>
  <si>
    <t>Windmill Tump  Rodmarton</t>
  </si>
  <si>
    <t>Rodmarton</t>
  </si>
  <si>
    <t>Dorstone</t>
  </si>
  <si>
    <t>Mitchell's Fold</t>
  </si>
  <si>
    <t>Chirbury</t>
  </si>
  <si>
    <t>Winchester</t>
  </si>
  <si>
    <t>Nine Ladies</t>
  </si>
  <si>
    <t>Tinkinswood</t>
  </si>
  <si>
    <t>Bodowyr</t>
  </si>
  <si>
    <t>Din Dryfol</t>
  </si>
  <si>
    <t>Machrie Moor</t>
  </si>
  <si>
    <t>Nether Largie South</t>
  </si>
  <si>
    <t>Easter Aquhorthies</t>
  </si>
  <si>
    <t>Hill of Many Stanes     Mid-clyth</t>
  </si>
  <si>
    <t>Dwarfie Stane</t>
  </si>
  <si>
    <t>Rock-cut tomb</t>
  </si>
  <si>
    <t>Hoy</t>
  </si>
  <si>
    <t>Stanydale 'temple'</t>
  </si>
  <si>
    <t>Sandsting</t>
  </si>
  <si>
    <t>south-east Wales</t>
  </si>
  <si>
    <t>Nottinghamshire</t>
  </si>
  <si>
    <t>wedge tomb</t>
  </si>
  <si>
    <t>Burren</t>
  </si>
  <si>
    <t>Wedge tomb</t>
  </si>
  <si>
    <t>Roughan Hill  Burren</t>
  </si>
  <si>
    <t>Carrick</t>
  </si>
  <si>
    <t>Malin More</t>
  </si>
  <si>
    <t>Ballymore Eustace</t>
  </si>
  <si>
    <t>Proleek /The Giant's Load</t>
  </si>
  <si>
    <t>Dundalk</t>
  </si>
  <si>
    <t>Magheraghanrush / Deerpark tomb</t>
  </si>
  <si>
    <t>Broadstone</t>
  </si>
  <si>
    <t>Ballykeel</t>
  </si>
  <si>
    <t>Newtownhamilton</t>
  </si>
  <si>
    <t>Creggandevesky</t>
  </si>
  <si>
    <t>St. Mary's</t>
  </si>
  <si>
    <t>Total references</t>
  </si>
  <si>
    <t>Caernarvonshire</t>
  </si>
  <si>
    <t>northern coast</t>
  </si>
  <si>
    <t>southern coast</t>
  </si>
  <si>
    <t>north-east coast</t>
  </si>
  <si>
    <t>south-eastern coast</t>
  </si>
  <si>
    <t xml:space="preserve">15, 17, </t>
  </si>
  <si>
    <t>Western</t>
  </si>
  <si>
    <t>sea route</t>
  </si>
  <si>
    <t>Rinyo-Clacton culture</t>
  </si>
  <si>
    <t xml:space="preserve">18, </t>
  </si>
  <si>
    <t>highland zone</t>
  </si>
  <si>
    <t xml:space="preserve">29, 30, </t>
  </si>
  <si>
    <t xml:space="preserve">15, 29, </t>
  </si>
  <si>
    <t>Glencrutchery</t>
  </si>
  <si>
    <t>Legis Tor</t>
  </si>
  <si>
    <t>West Devon</t>
  </si>
  <si>
    <t>Kemp Howe</t>
  </si>
  <si>
    <t>Long barrow  Neolithic house</t>
  </si>
  <si>
    <t>Eaton Heath</t>
  </si>
  <si>
    <t xml:space="preserve">31-5, </t>
  </si>
  <si>
    <t xml:space="preserve">17, 34-5, </t>
  </si>
  <si>
    <t>Gruting school</t>
  </si>
  <si>
    <t>Gairdie</t>
  </si>
  <si>
    <t>Benie Hoose</t>
  </si>
  <si>
    <t>Whalsay</t>
  </si>
  <si>
    <t xml:space="preserve">34-6, </t>
  </si>
  <si>
    <t xml:space="preserve">29, 30, 36, </t>
  </si>
  <si>
    <t>Flamborough</t>
  </si>
  <si>
    <t>Flamborough Head</t>
  </si>
  <si>
    <t xml:space="preserve">31, 36, </t>
  </si>
  <si>
    <t>Woodhead</t>
  </si>
  <si>
    <t>Haltwhistle  Pennines</t>
  </si>
  <si>
    <t xml:space="preserve">31, 38, </t>
  </si>
  <si>
    <t>Willington</t>
  </si>
  <si>
    <t>South Derbyshire</t>
  </si>
  <si>
    <t>Carrigillihy</t>
  </si>
  <si>
    <t>Shearplace Hill         Sydling St Nicholas</t>
  </si>
  <si>
    <t xml:space="preserve">16, 61, </t>
  </si>
  <si>
    <t xml:space="preserve">14, 16, 61, </t>
  </si>
  <si>
    <t>Severn Valley</t>
  </si>
  <si>
    <t>Middlesex</t>
  </si>
  <si>
    <t>Causewayed enclosure   Settlement</t>
  </si>
  <si>
    <t xml:space="preserve">62-4, </t>
  </si>
  <si>
    <t>Barkhale</t>
  </si>
  <si>
    <t>Spelthorpe</t>
  </si>
  <si>
    <t xml:space="preserve">62-5, </t>
  </si>
  <si>
    <t xml:space="preserve">62-3, 65,  </t>
  </si>
  <si>
    <t xml:space="preserve">18, 67, </t>
  </si>
  <si>
    <t>Long Bredy</t>
  </si>
  <si>
    <t xml:space="preserve">69, 71, </t>
  </si>
  <si>
    <t>Fforde-Johnson</t>
  </si>
  <si>
    <t>Heddington</t>
  </si>
  <si>
    <t>Hanging Grimston</t>
  </si>
  <si>
    <t xml:space="preserve">69, 71-5, </t>
  </si>
  <si>
    <t xml:space="preserve">74, 76, </t>
  </si>
  <si>
    <t>Pentridge</t>
  </si>
  <si>
    <t>Salisbury</t>
  </si>
  <si>
    <t>Sussex coast</t>
  </si>
  <si>
    <t xml:space="preserve">78-9, 80, </t>
  </si>
  <si>
    <t xml:space="preserve">15, 82, </t>
  </si>
  <si>
    <t>Carreg Samson     Longhouse</t>
  </si>
  <si>
    <t>Hanging Stone   Burton</t>
  </si>
  <si>
    <t>Tyddyn Bleiddyn</t>
  </si>
  <si>
    <t>Minninglow</t>
  </si>
  <si>
    <t>Five Wells</t>
  </si>
  <si>
    <t>Cotswold-Severn</t>
  </si>
  <si>
    <t xml:space="preserve">15, 84, </t>
  </si>
  <si>
    <t xml:space="preserve">84, 86, </t>
  </si>
  <si>
    <t>Bridestones</t>
  </si>
  <si>
    <t>East Cheshire</t>
  </si>
  <si>
    <t>Heston Brake</t>
  </si>
  <si>
    <t>Monmouthshire</t>
  </si>
  <si>
    <t>Penmaen Burrows</t>
  </si>
  <si>
    <t xml:space="preserve">71, 73, 86, </t>
  </si>
  <si>
    <t>Solway Firth</t>
  </si>
  <si>
    <t xml:space="preserve">17, 88, </t>
  </si>
  <si>
    <t xml:space="preserve">15, 87-8, </t>
  </si>
  <si>
    <t>Shetland tombs</t>
  </si>
  <si>
    <t>Stone circle     Chambered tomb</t>
  </si>
  <si>
    <t>Eday Manse           Vinquoy</t>
  </si>
  <si>
    <t>Camster</t>
  </si>
  <si>
    <t xml:space="preserve">89, 93, </t>
  </si>
  <si>
    <t xml:space="preserve">89, 93-4, </t>
  </si>
  <si>
    <t xml:space="preserve">34-6, 90, 94, </t>
  </si>
  <si>
    <t xml:space="preserve">93-4, </t>
  </si>
  <si>
    <t>Dowth North</t>
  </si>
  <si>
    <t>Dowth South</t>
  </si>
  <si>
    <t>Knowth Site J</t>
  </si>
  <si>
    <t>Knowth Site K</t>
  </si>
  <si>
    <t xml:space="preserve">94, 96, </t>
  </si>
  <si>
    <t>Fourknocks II</t>
  </si>
  <si>
    <t>Fourknocks III</t>
  </si>
  <si>
    <t xml:space="preserve">Loughcrew D </t>
  </si>
  <si>
    <t>Loughcrew L</t>
  </si>
  <si>
    <t>Loughcrew T</t>
  </si>
  <si>
    <t>Carrowkeel K</t>
  </si>
  <si>
    <t xml:space="preserve">94, 97, </t>
  </si>
  <si>
    <t xml:space="preserve">94, 96, 98, </t>
  </si>
  <si>
    <t xml:space="preserve">96, 98, </t>
  </si>
  <si>
    <t xml:space="preserve">97-8, </t>
  </si>
  <si>
    <t>Northern Wedges</t>
  </si>
  <si>
    <t>Southern Wedges</t>
  </si>
  <si>
    <t xml:space="preserve">94, 98, </t>
  </si>
  <si>
    <t>Scilly-Tramore tombs</t>
  </si>
  <si>
    <t xml:space="preserve">83, 98, </t>
  </si>
  <si>
    <t>Ballyrenan  Cloghogle</t>
  </si>
  <si>
    <t>Newtownstewart</t>
  </si>
  <si>
    <t>Cloghagalla  Boviel</t>
  </si>
  <si>
    <t>Cappaghkennedy</t>
  </si>
  <si>
    <t>Kilfeaghan</t>
  </si>
  <si>
    <t>Glendruid  The Druids' Altar</t>
  </si>
  <si>
    <t>Brennanstown</t>
  </si>
  <si>
    <t>Knockeen</t>
  </si>
  <si>
    <t xml:space="preserve">90-2, 94, 103, </t>
  </si>
  <si>
    <t xml:space="preserve">17, 82, 84, 86-8, 94, 101-3, </t>
  </si>
  <si>
    <t xml:space="preserve">15, 87, 97, 103, </t>
  </si>
  <si>
    <t xml:space="preserve">87-8, 97, 103, </t>
  </si>
  <si>
    <t xml:space="preserve">17, 88, 93-4, 104, </t>
  </si>
  <si>
    <t xml:space="preserve">107, </t>
  </si>
  <si>
    <t>Castilly</t>
  </si>
  <si>
    <t>Luxulyan</t>
  </si>
  <si>
    <t>Castlewitch</t>
  </si>
  <si>
    <t>Pengelly</t>
  </si>
  <si>
    <t>Meini-Gwyr</t>
  </si>
  <si>
    <t>Ffynnon-Brodyr</t>
  </si>
  <si>
    <t>Castle Bucket</t>
  </si>
  <si>
    <t>Dan-y-Coed</t>
  </si>
  <si>
    <t>Llandegai North</t>
  </si>
  <si>
    <t>Llandegai South</t>
  </si>
  <si>
    <t xml:space="preserve">107-9, </t>
  </si>
  <si>
    <t>Gib Hill</t>
  </si>
  <si>
    <t>henge</t>
  </si>
  <si>
    <t>Bull Ring</t>
  </si>
  <si>
    <t>Cana Barn</t>
  </si>
  <si>
    <t>Harrogate</t>
  </si>
  <si>
    <t>Hutton Moor</t>
  </si>
  <si>
    <t>Nunwick</t>
  </si>
  <si>
    <t>Castle Dykes</t>
  </si>
  <si>
    <t>Yarnbury</t>
  </si>
  <si>
    <t>Grassington</t>
  </si>
  <si>
    <t>Paddock Hill   Foxholes</t>
  </si>
  <si>
    <t>Bangor</t>
  </si>
  <si>
    <t>Ripon</t>
  </si>
  <si>
    <t xml:space="preserve">110-1, </t>
  </si>
  <si>
    <t>Broomrigg</t>
  </si>
  <si>
    <t>Loch of Harray</t>
  </si>
  <si>
    <t>Mainland</t>
  </si>
  <si>
    <t>Loch of Stenness</t>
  </si>
  <si>
    <t xml:space="preserve">111-2, </t>
  </si>
  <si>
    <t>Little Round Table</t>
  </si>
  <si>
    <t>Dumfriesshire</t>
  </si>
  <si>
    <t xml:space="preserve">87-8, 112, </t>
  </si>
  <si>
    <t>Conon Bridge</t>
  </si>
  <si>
    <t>Contin</t>
  </si>
  <si>
    <t>Culbokie</t>
  </si>
  <si>
    <t>112,</t>
  </si>
  <si>
    <t>Muir of Ord</t>
  </si>
  <si>
    <t>Clashindarrock</t>
  </si>
  <si>
    <t>Huntingtower</t>
  </si>
  <si>
    <t>Perth</t>
  </si>
  <si>
    <t>Normangill</t>
  </si>
  <si>
    <t>Weston   Newbigging    Whitewellbrae Wood</t>
  </si>
  <si>
    <t>Coupland</t>
  </si>
  <si>
    <t>Broadlee</t>
  </si>
  <si>
    <t>Rachan Hill             Rachan Slack</t>
  </si>
  <si>
    <t xml:space="preserve">94, 96, 113, </t>
  </si>
  <si>
    <t>Overhowden</t>
  </si>
  <si>
    <t>Ballymeanoch</t>
  </si>
  <si>
    <t>Stone circle    Henge</t>
  </si>
  <si>
    <t>The Grange</t>
  </si>
  <si>
    <t>Lios Grange</t>
  </si>
  <si>
    <t>Lisroughan</t>
  </si>
  <si>
    <t>Knowth  Henge A</t>
  </si>
  <si>
    <t>Knowth  Henge B</t>
  </si>
  <si>
    <t xml:space="preserve">95-7, 113, </t>
  </si>
  <si>
    <t>Henge C</t>
  </si>
  <si>
    <t>Dowth  Henge D</t>
  </si>
  <si>
    <t>Dowth  Henge E</t>
  </si>
  <si>
    <t xml:space="preserve">94, 113, </t>
  </si>
  <si>
    <t>Mullagh Rath</t>
  </si>
  <si>
    <t>Micknanstown</t>
  </si>
  <si>
    <t>Little Curragh</t>
  </si>
  <si>
    <t>Little Curragh I</t>
  </si>
  <si>
    <t>Little Curragh II</t>
  </si>
  <si>
    <t>Maxey Henge I</t>
  </si>
  <si>
    <t>Maxey Henge II</t>
  </si>
  <si>
    <t>Thornhaugh</t>
  </si>
  <si>
    <t>Shottisham</t>
  </si>
  <si>
    <t>Stratford Hills</t>
  </si>
  <si>
    <t xml:space="preserve">18, 61, </t>
  </si>
  <si>
    <t>Priddy northern circles</t>
  </si>
  <si>
    <t>Priddy southern circles</t>
  </si>
  <si>
    <t>Wells</t>
  </si>
  <si>
    <t>Drove cottage       Hunter's Lodge Inn</t>
  </si>
  <si>
    <t>Priddy</t>
  </si>
  <si>
    <t>Long Hanborough</t>
  </si>
  <si>
    <t>Dorchester-on-Thames    Big Rings</t>
  </si>
  <si>
    <t xml:space="preserve">69, 78, 105, 113-4, </t>
  </si>
  <si>
    <t>Westwell</t>
  </si>
  <si>
    <t xml:space="preserve">115, </t>
  </si>
  <si>
    <t xml:space="preserve">61, 115, </t>
  </si>
  <si>
    <t>Henge            Stone circle</t>
  </si>
  <si>
    <t xml:space="preserve">109, 115, </t>
  </si>
  <si>
    <t>Knowlton Southern henge</t>
  </si>
  <si>
    <t>Knowlton Northern henge</t>
  </si>
  <si>
    <t>Knowlton Central henge</t>
  </si>
  <si>
    <t xml:space="preserve">61-6, 78, 116, </t>
  </si>
  <si>
    <t xml:space="preserve">86-7, 116, </t>
  </si>
  <si>
    <t xml:space="preserve">116-7, </t>
  </si>
  <si>
    <t xml:space="preserve"> Stone circle</t>
  </si>
  <si>
    <t>Henge             Timber circle</t>
  </si>
  <si>
    <t>Bluestone Circle</t>
  </si>
  <si>
    <t>Sarsen Circle</t>
  </si>
  <si>
    <t>Sarsen Horeshoe</t>
  </si>
  <si>
    <t>Bluestone Horeshoe</t>
  </si>
  <si>
    <t>Slaughter Stone</t>
  </si>
  <si>
    <t>Stonehenge barrows</t>
  </si>
  <si>
    <t>Barrow stone</t>
  </si>
  <si>
    <t xml:space="preserve">125-7, </t>
  </si>
  <si>
    <t xml:space="preserve">126-7, </t>
  </si>
  <si>
    <t xml:space="preserve">76, 123, 126, 129, </t>
  </si>
  <si>
    <t xml:space="preserve">123, 125, 127, </t>
  </si>
  <si>
    <t xml:space="preserve">125, 127, </t>
  </si>
  <si>
    <t>Q &amp; R holes</t>
  </si>
  <si>
    <t xml:space="preserve">127-8, </t>
  </si>
  <si>
    <t xml:space="preserve">119, 127-8, </t>
  </si>
  <si>
    <t xml:space="preserve">119, 120, 127, </t>
  </si>
  <si>
    <t xml:space="preserve">105, 115, 118-9, 121-2, 127-8, </t>
  </si>
  <si>
    <t xml:space="preserve">116-7, 119, 122-3, 127-9, </t>
  </si>
  <si>
    <t xml:space="preserve">106, 115, 118-9, 122-3, 127-8, </t>
  </si>
  <si>
    <t xml:space="preserve">113-4, 128, </t>
  </si>
  <si>
    <t xml:space="preserve">15-7, 29, 61-2, 67, 75, 80, 101, 103, 115, 129, 130, </t>
  </si>
  <si>
    <t xml:space="preserve">17, 129, </t>
  </si>
  <si>
    <t xml:space="preserve">15-16, 18, 61, 64, 67, 105, 123, </t>
  </si>
  <si>
    <t>Vale of Pewsey</t>
  </si>
  <si>
    <t>Milford Haven</t>
  </si>
  <si>
    <t xml:space="preserve">76, 135, </t>
  </si>
  <si>
    <t xml:space="preserve">105, 115, 118-9, 122, 127-9, 135, </t>
  </si>
  <si>
    <t xml:space="preserve">115, 119, 120, 122-3, 127-9, 135, </t>
  </si>
  <si>
    <t xml:space="preserve">125-7, 135, </t>
  </si>
  <si>
    <t xml:space="preserve">69, 134-5, </t>
  </si>
  <si>
    <t>Winterbourne Stoke Barrow Group</t>
  </si>
  <si>
    <t>Rollestone Field Barrow Group</t>
  </si>
  <si>
    <t>Old Kings' Barrow Group</t>
  </si>
  <si>
    <t>New Kings' Barrow Group</t>
  </si>
  <si>
    <t>Lake Barrow Group</t>
  </si>
  <si>
    <t>Prophet barrow</t>
  </si>
  <si>
    <t xml:space="preserve">15, 17, 29, 133, </t>
  </si>
  <si>
    <t xml:space="preserve">15, 17, 19, 78, 81, 133, </t>
  </si>
  <si>
    <t xml:space="preserve">121, 126, 135, </t>
  </si>
  <si>
    <t>Durrington Down</t>
  </si>
  <si>
    <t>Braddock</t>
  </si>
  <si>
    <t xml:space="preserve">136, </t>
  </si>
  <si>
    <t>Seven Hills</t>
  </si>
  <si>
    <t>Coastal Suffolk</t>
  </si>
  <si>
    <t>Bully Hills</t>
  </si>
  <si>
    <t>North Lincolnshire</t>
  </si>
  <si>
    <t>Devil's Jumps</t>
  </si>
  <si>
    <t>Ashen Hill              Priddy Nine Barrows</t>
  </si>
  <si>
    <t>Lostwithiel</t>
  </si>
  <si>
    <t xml:space="preserve">16, 61, 67, 136, </t>
  </si>
  <si>
    <t>Midhurst</t>
  </si>
  <si>
    <t xml:space="preserve">61, 64-5, 67, 136, </t>
  </si>
  <si>
    <t xml:space="preserve">113, 136, </t>
  </si>
  <si>
    <t xml:space="preserve">113-4, 136, </t>
  </si>
  <si>
    <t xml:space="preserve">135-6, </t>
  </si>
  <si>
    <t>Stockbridge Down</t>
  </si>
  <si>
    <t xml:space="preserve">139, </t>
  </si>
  <si>
    <t>Dudsbury Hill barrows   Poor Common Mounds</t>
  </si>
  <si>
    <t>Hampreston</t>
  </si>
  <si>
    <t xml:space="preserve">140-1, </t>
  </si>
  <si>
    <t>Corston Beacon</t>
  </si>
  <si>
    <t>Stone cist    Barrow</t>
  </si>
  <si>
    <t xml:space="preserve">141, </t>
  </si>
  <si>
    <t>SR</t>
  </si>
  <si>
    <t xml:space="preserve">16, 61, 133, 136-7, </t>
  </si>
  <si>
    <t xml:space="preserve">61, 113, 136, </t>
  </si>
  <si>
    <t xml:space="preserve">29, 133, 139, </t>
  </si>
  <si>
    <t xml:space="preserve">18-9, 20, 38, 61-2, 64, 113-5, 128-9, 130-1, 133-7, 142, </t>
  </si>
  <si>
    <t xml:space="preserve">15, 17, 29, 78, 83, 133, 145, </t>
  </si>
  <si>
    <t xml:space="preserve">Barrow    Timber circle  </t>
  </si>
  <si>
    <t>Bleasdale Outer</t>
  </si>
  <si>
    <t>Bleasdale Inner</t>
  </si>
  <si>
    <t>Beedon</t>
  </si>
  <si>
    <t>Barrow                     Timber circle</t>
  </si>
  <si>
    <t>Chippenham Inner</t>
  </si>
  <si>
    <t>Chippenham Outer</t>
  </si>
  <si>
    <t>Tregulland Barrow</t>
  </si>
  <si>
    <t>Treneglos</t>
  </si>
  <si>
    <t>Crichel Down 2</t>
  </si>
  <si>
    <t>Canford Heath</t>
  </si>
  <si>
    <t>Barrow cemetery                    Timber circle</t>
  </si>
  <si>
    <t>Davidstow</t>
  </si>
  <si>
    <t>Barrow  Cist     Timber circle</t>
  </si>
  <si>
    <t>Gallows Hill</t>
  </si>
  <si>
    <t>Snail Down XV</t>
  </si>
  <si>
    <t>Amesbury 61</t>
  </si>
  <si>
    <t>Snailwell</t>
  </si>
  <si>
    <t>Newmarket</t>
  </si>
  <si>
    <t>Poole</t>
  </si>
  <si>
    <t>Poole 1</t>
  </si>
  <si>
    <t>Barrow Hill    Poole</t>
  </si>
  <si>
    <t>Ludford Magna</t>
  </si>
  <si>
    <t>Lincolnshire Wolds</t>
  </si>
  <si>
    <t>Brown Edge</t>
  </si>
  <si>
    <t>Barrow        Timber circle</t>
  </si>
  <si>
    <t>Sundayswells</t>
  </si>
  <si>
    <t xml:space="preserve">Cairnwell  </t>
  </si>
  <si>
    <t>Weird Law</t>
  </si>
  <si>
    <t>Ring-cairn</t>
  </si>
  <si>
    <t>Peeblesshire   Tweeddale</t>
  </si>
  <si>
    <t>Barrow          Ring-cairn</t>
  </si>
  <si>
    <t>Linburn   Muirkirk   Lamonburn Plantation</t>
  </si>
  <si>
    <t>Culdoich</t>
  </si>
  <si>
    <t>Ring-cairn   Settlement</t>
  </si>
  <si>
    <t xml:space="preserve">37, 147, </t>
  </si>
  <si>
    <t>Talbenny</t>
  </si>
  <si>
    <t>Pant-y-Dulath</t>
  </si>
  <si>
    <t>Denbighshire     Rhyl</t>
  </si>
  <si>
    <t>Barrow      Timber circle</t>
  </si>
  <si>
    <t>Sheeplays 279</t>
  </si>
  <si>
    <t>Barrow       Timber circle</t>
  </si>
  <si>
    <t>Llantwit Major</t>
  </si>
  <si>
    <t>Sheeplays 293</t>
  </si>
  <si>
    <t>Sixwells  267</t>
  </si>
  <si>
    <t>Sixwells  271</t>
  </si>
  <si>
    <t>Barrow    Concentric Timber circle</t>
  </si>
  <si>
    <t>Caebetin Hill</t>
  </si>
  <si>
    <t xml:space="preserve">87, 112, 148, </t>
  </si>
  <si>
    <t xml:space="preserve">14, 17, 82, 84, 148-9, </t>
  </si>
  <si>
    <t>Stone circle     Avenue</t>
  </si>
  <si>
    <t>Stanton Drew main circle</t>
  </si>
  <si>
    <t>Stanton Drew NE circle</t>
  </si>
  <si>
    <t>Stanton Drew Cove</t>
  </si>
  <si>
    <t xml:space="preserve">149, 150, </t>
  </si>
  <si>
    <t>Stanton Drew SW circle</t>
  </si>
  <si>
    <t>Hauteville's Quoit</t>
  </si>
  <si>
    <t xml:space="preserve">149, 150-1, </t>
  </si>
  <si>
    <t xml:space="preserve">106, 115-9, 123, 127, 129, 151, </t>
  </si>
  <si>
    <t>Scorhill</t>
  </si>
  <si>
    <t>Merrivale stone circle</t>
  </si>
  <si>
    <t>Stone Circle</t>
  </si>
  <si>
    <t xml:space="preserve">Grey Wethers </t>
  </si>
  <si>
    <t>Stone circles</t>
  </si>
  <si>
    <t>Madron</t>
  </si>
  <si>
    <t>Tregaseal</t>
  </si>
  <si>
    <t>Withypool Hill</t>
  </si>
  <si>
    <t>Liskeard</t>
  </si>
  <si>
    <t>St. Just</t>
  </si>
  <si>
    <t>Porthmeor</t>
  </si>
  <si>
    <t>Postbridge</t>
  </si>
  <si>
    <t>Exford</t>
  </si>
  <si>
    <t xml:space="preserve">151, 153, </t>
  </si>
  <si>
    <t>Stannon</t>
  </si>
  <si>
    <t>Dinnever Hill</t>
  </si>
  <si>
    <t>Fernacre    Rough Tor</t>
  </si>
  <si>
    <t>Camelford</t>
  </si>
  <si>
    <t>Nine Stones       Winterbourne Abbas</t>
  </si>
  <si>
    <t>Hampton Down</t>
  </si>
  <si>
    <t>Portesham</t>
  </si>
  <si>
    <t>Rempstone</t>
  </si>
  <si>
    <t>King Stone</t>
  </si>
  <si>
    <t>Whispering Knights</t>
  </si>
  <si>
    <t>Waun Maun</t>
  </si>
  <si>
    <t>Ffridd Newydd     Hengwm</t>
  </si>
  <si>
    <t>Barmouth</t>
  </si>
  <si>
    <t>Trecastle Mountain</t>
  </si>
  <si>
    <t>Nant Tarw</t>
  </si>
  <si>
    <t>Lled-croen-yr-ych</t>
  </si>
  <si>
    <t>Bryn Beddau        Clocaenog Moor</t>
  </si>
  <si>
    <t>Capel Hiraethog III    Gwyffylliog Group</t>
  </si>
  <si>
    <t>Capel Hiraethog I    Gwyffylliog Group</t>
  </si>
  <si>
    <t>Capel Hiraethog II     Gwyffylliog Group</t>
  </si>
  <si>
    <t>Y Foel Frech</t>
  </si>
  <si>
    <t>Penmaenmawr         Druid's Circle</t>
  </si>
  <si>
    <t>Black Marsh</t>
  </si>
  <si>
    <t>Hemford</t>
  </si>
  <si>
    <t xml:space="preserve">15, 18, 61, 64, 67, 83, 115, 153, </t>
  </si>
  <si>
    <t xml:space="preserve">113, 153, </t>
  </si>
  <si>
    <t xml:space="preserve">15, 153, </t>
  </si>
  <si>
    <t xml:space="preserve">82, 153, </t>
  </si>
  <si>
    <t xml:space="preserve">149, 153, </t>
  </si>
  <si>
    <t xml:space="preserve">84, 103, 153, </t>
  </si>
  <si>
    <t>Montgomeryshire</t>
  </si>
  <si>
    <t>Monmouth</t>
  </si>
  <si>
    <t>Nevern</t>
  </si>
  <si>
    <t xml:space="preserve">84, 107, 154, </t>
  </si>
  <si>
    <t>Eyam Moor</t>
  </si>
  <si>
    <t xml:space="preserve">155, </t>
  </si>
  <si>
    <t>Doll Tor</t>
  </si>
  <si>
    <t>Froggatt Edge</t>
  </si>
  <si>
    <t>Harthill Moor</t>
  </si>
  <si>
    <t>Twelve Apostles</t>
  </si>
  <si>
    <t>Ilkley</t>
  </si>
  <si>
    <t>Blakey Topping</t>
  </si>
  <si>
    <t>Pickering</t>
  </si>
  <si>
    <t>High Bridestones</t>
  </si>
  <si>
    <t>Standing Stones Rigg</t>
  </si>
  <si>
    <t>Long Meg and Her Daughters</t>
  </si>
  <si>
    <t xml:space="preserve">154-5, </t>
  </si>
  <si>
    <t>Little Meg</t>
  </si>
  <si>
    <t>Castlerigg  The Carles</t>
  </si>
  <si>
    <t>Grey Croft   Seascale</t>
  </si>
  <si>
    <t>Western Lakes</t>
  </si>
  <si>
    <t>Elva Plain</t>
  </si>
  <si>
    <t>Gamelands</t>
  </si>
  <si>
    <t>Orton</t>
  </si>
  <si>
    <t>Thunder Stone</t>
  </si>
  <si>
    <t>Eskdale Moor Complex</t>
  </si>
  <si>
    <t>Lacra stone circles</t>
  </si>
  <si>
    <t>Ilkley Moor</t>
  </si>
  <si>
    <t>Stanton Moor</t>
  </si>
  <si>
    <t xml:space="preserve">111, 155, </t>
  </si>
  <si>
    <t xml:space="preserve">112, 155, </t>
  </si>
  <si>
    <t>Cockermouth</t>
  </si>
  <si>
    <t>Broughton-in-Furness</t>
  </si>
  <si>
    <t>Langwathby</t>
  </si>
  <si>
    <t>Millom</t>
  </si>
  <si>
    <t>Seascale</t>
  </si>
  <si>
    <t xml:space="preserve">20, 154-5, </t>
  </si>
  <si>
    <t xml:space="preserve">17, 155, </t>
  </si>
  <si>
    <t xml:space="preserve">15, 17, 87, 101, 112, 155, </t>
  </si>
  <si>
    <t xml:space="preserve">15, 17, 87, 101, 104, 155, </t>
  </si>
  <si>
    <t>Scotland     Ireland</t>
  </si>
  <si>
    <t>Cambret Moor        Glenquicken            Billy Diamond's Bridge</t>
  </si>
  <si>
    <t>Allan Water</t>
  </si>
  <si>
    <t>Borrowston Rig</t>
  </si>
  <si>
    <t>Daviot Cottage</t>
  </si>
  <si>
    <t>Boat of Garten  Lackgie         Tullochgorum Cairn</t>
  </si>
  <si>
    <t>Sands of Forvie          East Cottage</t>
  </si>
  <si>
    <t>NK</t>
  </si>
  <si>
    <t>Kintraw</t>
  </si>
  <si>
    <t>Cauldside Burn        Caulside</t>
  </si>
  <si>
    <t>Kirkcudbrightshire</t>
  </si>
  <si>
    <t xml:space="preserve">157, </t>
  </si>
  <si>
    <t>Callanish I</t>
  </si>
  <si>
    <t>Callanish II</t>
  </si>
  <si>
    <t>Callanish III</t>
  </si>
  <si>
    <t>Callanish IV</t>
  </si>
  <si>
    <t xml:space="preserve">88, 145, 148, 157, </t>
  </si>
  <si>
    <t xml:space="preserve">155, 157, </t>
  </si>
  <si>
    <t>Clava Passage Grave</t>
  </si>
  <si>
    <t>Midmar Church /Kirk / Graveyard/Christchurch</t>
  </si>
  <si>
    <t>Sunhoney   Seanhinny   Dunecht Estate</t>
  </si>
  <si>
    <t xml:space="preserve">113-4, 159, </t>
  </si>
  <si>
    <t>Co. Kildare-Wicklow</t>
  </si>
  <si>
    <t>159,</t>
  </si>
  <si>
    <t xml:space="preserve">157, 159, </t>
  </si>
  <si>
    <t xml:space="preserve">17, 87-8, 93, 103, 148, 159, </t>
  </si>
  <si>
    <t>Longstone</t>
  </si>
  <si>
    <t xml:space="preserve">160, </t>
  </si>
  <si>
    <t>Tresvennack Pillar</t>
  </si>
  <si>
    <t>Beardown Man</t>
  </si>
  <si>
    <t>Merrivale</t>
  </si>
  <si>
    <t>Pilton Long Stone</t>
  </si>
  <si>
    <t>Exmoor</t>
  </si>
  <si>
    <t>Punchestown           Long Stone</t>
  </si>
  <si>
    <t xml:space="preserve">113, 160, </t>
  </si>
  <si>
    <t xml:space="preserve">94-5, 103, 159, 160, </t>
  </si>
  <si>
    <t>Llangynidr  Penmyarth</t>
  </si>
  <si>
    <t>Cwrt-y-Gollen</t>
  </si>
  <si>
    <t>Maen Llwyd</t>
  </si>
  <si>
    <t>Caenarvonshire</t>
  </si>
  <si>
    <t>Great Bemeray</t>
  </si>
  <si>
    <t>Clachan an Diridh     Clachan Direach</t>
  </si>
  <si>
    <t>Four Poster stone circle</t>
  </si>
  <si>
    <t>Butterdon Hill Row</t>
  </si>
  <si>
    <t>Ivybridge</t>
  </si>
  <si>
    <t>Stalldon Row         Cornwood Maidens             Stalldown</t>
  </si>
  <si>
    <t>Parc-y-Meirw          Parc-y-Marw</t>
  </si>
  <si>
    <t>Saith Maen  Cribarth</t>
  </si>
  <si>
    <t>Callanish V</t>
  </si>
  <si>
    <t xml:space="preserve">156-7, 161, </t>
  </si>
  <si>
    <t>Shearers Eleven Shearers</t>
  </si>
  <si>
    <t>Learable Hill</t>
  </si>
  <si>
    <t xml:space="preserve">19, 76, 103, 105-7, 113, 115, 119, 123-9, 130, 134-6, 151, 159, 162, </t>
  </si>
  <si>
    <t xml:space="preserve">15-6, 19, 61, 67, 109, 136, 155, 160-1, </t>
  </si>
  <si>
    <t>Boroughbridge</t>
  </si>
  <si>
    <t xml:space="preserve">101, 129, 160, </t>
  </si>
  <si>
    <t xml:space="preserve">15, 18, 83, 107, 151, 160-1, </t>
  </si>
  <si>
    <t>St. Columb Major</t>
  </si>
  <si>
    <t>Moretonhampstead</t>
  </si>
  <si>
    <t xml:space="preserve">61, 83, 151, 160-1, </t>
  </si>
  <si>
    <t>Tavistock</t>
  </si>
  <si>
    <t>Two Bridges</t>
  </si>
  <si>
    <t xml:space="preserve">14, 17, 82, 84, 148-9, 153-4, 160-1, </t>
  </si>
  <si>
    <t>Crickhowell</t>
  </si>
  <si>
    <t>Llwynyfedwen</t>
  </si>
  <si>
    <t xml:space="preserve">153, 160-1, </t>
  </si>
  <si>
    <t>Craig-y-nos</t>
  </si>
  <si>
    <t xml:space="preserve">15, 83, 107, 125-6, 161, </t>
  </si>
  <si>
    <t>Fishguard</t>
  </si>
  <si>
    <t>Glynllifon Park</t>
  </si>
  <si>
    <t xml:space="preserve">14, 18, 20, 87, 102-3, 112-3, 131, 148, 155, 157, 159, 160-1, </t>
  </si>
  <si>
    <t xml:space="preserve">87, 155, 162, </t>
  </si>
  <si>
    <t xml:space="preserve">155, 162, </t>
  </si>
  <si>
    <t>Pitlochry</t>
  </si>
  <si>
    <t xml:space="preserve">157, 160, </t>
  </si>
  <si>
    <t xml:space="preserve">15, 17, 19, 81, 94, 97-8, 101, 103, 113, 149, 157, 159, 160, </t>
  </si>
  <si>
    <t xml:space="preserve">17, 94-6, 98, 113, 160, </t>
  </si>
  <si>
    <t>Bridlington</t>
  </si>
  <si>
    <t>north-east</t>
  </si>
  <si>
    <t>western</t>
  </si>
  <si>
    <t>Poole - Dorset</t>
  </si>
  <si>
    <t>Thomas</t>
  </si>
  <si>
    <t xml:space="preserve">171-2, 184, </t>
  </si>
  <si>
    <t xml:space="preserve">141, 183, </t>
  </si>
  <si>
    <t>North Wiltshire</t>
  </si>
  <si>
    <t>Hampshire-Dorset coast</t>
  </si>
  <si>
    <t>long mounds</t>
  </si>
  <si>
    <t xml:space="preserve">171, </t>
  </si>
  <si>
    <t>Chiltern Hills</t>
  </si>
  <si>
    <t>Southern Hebrides</t>
  </si>
  <si>
    <t xml:space="preserve">177, </t>
  </si>
  <si>
    <t xml:space="preserve">167, </t>
  </si>
  <si>
    <t xml:space="preserve">168, </t>
  </si>
  <si>
    <t xml:space="preserve">166, </t>
  </si>
  <si>
    <t xml:space="preserve">Clyde-Carlingford </t>
  </si>
  <si>
    <t>Scotland    Northern Ireland</t>
  </si>
  <si>
    <t xml:space="preserve">145, </t>
  </si>
  <si>
    <t>Irish-British</t>
  </si>
  <si>
    <t>Oxford</t>
  </si>
  <si>
    <t xml:space="preserve">173, 175, </t>
  </si>
  <si>
    <t xml:space="preserve">136, 142, </t>
  </si>
  <si>
    <t>Hurst Fen   Mildenhall</t>
  </si>
  <si>
    <t>Settlement    Neolithic pot type-site</t>
  </si>
  <si>
    <t>Morton</t>
  </si>
  <si>
    <t>Killala Bay</t>
  </si>
  <si>
    <t xml:space="preserve">163, </t>
  </si>
  <si>
    <t>Crathes  Warren Field   Crathes Castle Policies</t>
  </si>
  <si>
    <t>Carding Mill Bay</t>
  </si>
  <si>
    <t>Strathclyde             South of Oban</t>
  </si>
  <si>
    <t>Raschoile Cave             Glenshellach Road</t>
  </si>
  <si>
    <t>General N/EBA  Pottery type-site</t>
  </si>
  <si>
    <t xml:space="preserve">165-6, </t>
  </si>
  <si>
    <t>Blasthill</t>
  </si>
  <si>
    <t>Strathclyde      Campbeltown</t>
  </si>
  <si>
    <t>Caenarfonshire</t>
  </si>
  <si>
    <t>Parc Bryn Cegin</t>
  </si>
  <si>
    <t>Neolithic timber hall</t>
  </si>
  <si>
    <t>Tomb 56</t>
  </si>
  <si>
    <t>Sales Lot</t>
  </si>
  <si>
    <t>Cheltenham</t>
  </si>
  <si>
    <t>Bibury</t>
  </si>
  <si>
    <t>Ablington</t>
  </si>
  <si>
    <t>Cow Common</t>
  </si>
  <si>
    <t>Saltway Barn</t>
  </si>
  <si>
    <t>Burn Ground</t>
  </si>
  <si>
    <t>Rowden Wood</t>
  </si>
  <si>
    <t>Penhale Round</t>
  </si>
  <si>
    <t>NE Hayle</t>
  </si>
  <si>
    <t>172,</t>
  </si>
  <si>
    <t>Mesolithic activity</t>
  </si>
  <si>
    <t xml:space="preserve">220, </t>
  </si>
  <si>
    <t>north Midlands</t>
  </si>
  <si>
    <t xml:space="preserve">221, </t>
  </si>
  <si>
    <t xml:space="preserve">145, 221, </t>
  </si>
  <si>
    <t>Northumberland ?????</t>
  </si>
  <si>
    <t>South Haw</t>
  </si>
  <si>
    <t>????????</t>
  </si>
  <si>
    <t>March Hill</t>
  </si>
  <si>
    <t>Marsden</t>
  </si>
  <si>
    <t>221,</t>
  </si>
  <si>
    <t xml:space="preserve">217, </t>
  </si>
  <si>
    <t>Yabsley Street  Blackwall</t>
  </si>
  <si>
    <t>Tower Hamlets</t>
  </si>
  <si>
    <t>Neolithic activity</t>
  </si>
  <si>
    <t>London Greater</t>
  </si>
  <si>
    <t>Crickley Hill 'Banana Barrow'</t>
  </si>
  <si>
    <t xml:space="preserve">171, 224, </t>
  </si>
  <si>
    <t>West Tump</t>
  </si>
  <si>
    <t xml:space="preserve">224, </t>
  </si>
  <si>
    <t>Neolithic pits    Settlement     Flint shaft</t>
  </si>
  <si>
    <t>Fir Tree Field   Downs Farm</t>
  </si>
  <si>
    <t>Windsor &amp; Maidenhead</t>
  </si>
  <si>
    <t>Eton Wick</t>
  </si>
  <si>
    <t>Eton</t>
  </si>
  <si>
    <t>Buckinghamshire</t>
  </si>
  <si>
    <t>Dorney</t>
  </si>
  <si>
    <t>South Bucks</t>
  </si>
  <si>
    <t>South Wiltshire</t>
  </si>
  <si>
    <t>South Wessex</t>
  </si>
  <si>
    <t>Bray</t>
  </si>
  <si>
    <t>Roughridge Hill</t>
  </si>
  <si>
    <t>Millbarrow</t>
  </si>
  <si>
    <t>Poldwrian</t>
  </si>
  <si>
    <t>St Keverne</t>
  </si>
  <si>
    <t xml:space="preserve">225, </t>
  </si>
  <si>
    <t>Portscatho</t>
  </si>
  <si>
    <t>Truro</t>
  </si>
  <si>
    <t xml:space="preserve">Tregarrick Farm  </t>
  </si>
  <si>
    <t>Roche</t>
  </si>
  <si>
    <t>White Horse Stone</t>
  </si>
  <si>
    <t>Wold Newton</t>
  </si>
  <si>
    <t>Round barrow</t>
  </si>
  <si>
    <t>North Wessex</t>
  </si>
  <si>
    <t>Downs</t>
  </si>
  <si>
    <t>West Midlands</t>
  </si>
  <si>
    <t>Windsor</t>
  </si>
  <si>
    <t>Great Wold Valley</t>
  </si>
  <si>
    <t xml:space="preserve">138, 184, 228-9, </t>
  </si>
  <si>
    <t>Evenlode Valley</t>
  </si>
  <si>
    <t xml:space="preserve">230, </t>
  </si>
  <si>
    <t>Howick</t>
  </si>
  <si>
    <t>Mesolithic structure</t>
  </si>
  <si>
    <t>Craster</t>
  </si>
  <si>
    <t xml:space="preserve">231, </t>
  </si>
  <si>
    <t>Newton   Bowmore</t>
  </si>
  <si>
    <t xml:space="preserve">232, </t>
  </si>
  <si>
    <t>Oak Hanger</t>
  </si>
  <si>
    <t>E Hampshire</t>
  </si>
  <si>
    <t>Downton</t>
  </si>
  <si>
    <t>SE Wiltshire</t>
  </si>
  <si>
    <t>Midden</t>
  </si>
  <si>
    <t>East Chisenbury</t>
  </si>
  <si>
    <t xml:space="preserve">233, </t>
  </si>
  <si>
    <t>Dun Vulan</t>
  </si>
  <si>
    <t>Avebury G55</t>
  </si>
  <si>
    <t>Barrow  Pits</t>
  </si>
  <si>
    <t xml:space="preserve">224, 234, </t>
  </si>
  <si>
    <t xml:space="preserve">238, </t>
  </si>
  <si>
    <t>Eweford Cottages     Eweford West</t>
  </si>
  <si>
    <t>Canon Hill                        Cannon hill</t>
  </si>
  <si>
    <t>Berkshire                       Windsor &amp; Maidenhead</t>
  </si>
  <si>
    <t xml:space="preserve">239, </t>
  </si>
  <si>
    <t>Maidenhead</t>
  </si>
  <si>
    <t xml:space="preserve">242, </t>
  </si>
  <si>
    <t>Prehistoric structure</t>
  </si>
  <si>
    <t>Gwernvale Feature 68</t>
  </si>
  <si>
    <t xml:space="preserve">225, 240, </t>
  </si>
  <si>
    <t>River Usk</t>
  </si>
  <si>
    <t xml:space="preserve">240, </t>
  </si>
  <si>
    <t xml:space="preserve">241, </t>
  </si>
  <si>
    <t>Biggar Common Cairn 2</t>
  </si>
  <si>
    <t xml:space="preserve">242-3, </t>
  </si>
  <si>
    <t xml:space="preserve">Structure 1 </t>
  </si>
  <si>
    <t>Structure 2</t>
  </si>
  <si>
    <t xml:space="preserve">244, </t>
  </si>
  <si>
    <t xml:space="preserve">244-5, </t>
  </si>
  <si>
    <t>Coneybury 'Anomaly'</t>
  </si>
  <si>
    <t xml:space="preserve">246, </t>
  </si>
  <si>
    <t>Post Track</t>
  </si>
  <si>
    <t xml:space="preserve">248, </t>
  </si>
  <si>
    <t>Turbury site</t>
  </si>
  <si>
    <t xml:space="preserve">249, </t>
  </si>
  <si>
    <t xml:space="preserve">248-9, </t>
  </si>
  <si>
    <t>Drove site</t>
  </si>
  <si>
    <t xml:space="preserve">250, </t>
  </si>
  <si>
    <t>Site C</t>
  </si>
  <si>
    <t>Factory Site</t>
  </si>
  <si>
    <t>Railway Site</t>
  </si>
  <si>
    <t xml:space="preserve">250-1, </t>
  </si>
  <si>
    <t xml:space="preserve">251, </t>
  </si>
  <si>
    <t>Balbirnie</t>
  </si>
  <si>
    <t>Stone circle    Cairn</t>
  </si>
  <si>
    <t>Balfarg-Balbirnie Complex</t>
  </si>
  <si>
    <t>Ritual landscape</t>
  </si>
  <si>
    <t>Area C</t>
  </si>
  <si>
    <t xml:space="preserve">251-2, </t>
  </si>
  <si>
    <t>Pict's Knowe</t>
  </si>
  <si>
    <t xml:space="preserve">252-4, </t>
  </si>
  <si>
    <t>Gwernvale monolith</t>
  </si>
  <si>
    <t xml:space="preserve">240, 242, 255-6, </t>
  </si>
  <si>
    <t xml:space="preserve">224, 246, </t>
  </si>
  <si>
    <t>Coneybury Hill</t>
  </si>
  <si>
    <t>Meare-Westhay Island</t>
  </si>
  <si>
    <t>Shapwick Heath</t>
  </si>
  <si>
    <t>East Somerset</t>
  </si>
  <si>
    <t>147, 248-9,</t>
  </si>
  <si>
    <t>South coast</t>
  </si>
  <si>
    <t>Wetlands</t>
  </si>
  <si>
    <t xml:space="preserve">256, </t>
  </si>
  <si>
    <t>Leven River</t>
  </si>
  <si>
    <t>Eden River</t>
  </si>
  <si>
    <t>Glenrothes</t>
  </si>
  <si>
    <t>Dumfries</t>
  </si>
  <si>
    <t>Crookes Pow Valley</t>
  </si>
  <si>
    <t xml:space="preserve">252, 254, </t>
  </si>
  <si>
    <t xml:space="preserve">141, 265, </t>
  </si>
  <si>
    <t xml:space="preserve">265, </t>
  </si>
  <si>
    <t>North Ferriby</t>
  </si>
  <si>
    <t>Derragh</t>
  </si>
  <si>
    <t>Duhallow</t>
  </si>
  <si>
    <t xml:space="preserve">266, </t>
  </si>
  <si>
    <t xml:space="preserve">267, </t>
  </si>
  <si>
    <t>Kilgreany Cave</t>
  </si>
  <si>
    <t>Cave deposit</t>
  </si>
  <si>
    <t>Dungarvan</t>
  </si>
  <si>
    <t>Lough Kinale II</t>
  </si>
  <si>
    <t>Ballachrink</t>
  </si>
  <si>
    <t xml:space="preserve">267-8, </t>
  </si>
  <si>
    <t>Old Parkbury Farm</t>
  </si>
  <si>
    <t xml:space="preserve">269, 270, </t>
  </si>
  <si>
    <t>Glastonbury</t>
  </si>
  <si>
    <t xml:space="preserve">277, </t>
  </si>
  <si>
    <t xml:space="preserve">224-5, 277, </t>
  </si>
  <si>
    <t>Histon</t>
  </si>
  <si>
    <t xml:space="preserve">264, </t>
  </si>
  <si>
    <t xml:space="preserve">164, 266, </t>
  </si>
  <si>
    <t>Mourne mountains</t>
  </si>
  <si>
    <t xml:space="preserve">268, </t>
  </si>
  <si>
    <t>Hill of Criffel</t>
  </si>
  <si>
    <t xml:space="preserve">148, 265, </t>
  </si>
  <si>
    <t>Oban</t>
  </si>
  <si>
    <t xml:space="preserve">263, </t>
  </si>
  <si>
    <t xml:space="preserve">159, 266-7, </t>
  </si>
  <si>
    <t xml:space="preserve">3, 169, 186, 262, 269, </t>
  </si>
  <si>
    <t>Southern North Sea</t>
  </si>
  <si>
    <t xml:space="preserve">261, 263, </t>
  </si>
  <si>
    <t xml:space="preserve">173, 268, </t>
  </si>
  <si>
    <t>St. Alban's</t>
  </si>
  <si>
    <t>Doggerland Hills     Dogger Island</t>
  </si>
  <si>
    <t xml:space="preserve">261-3, </t>
  </si>
  <si>
    <t>Larne Lough</t>
  </si>
  <si>
    <t>Addergoole Bog</t>
  </si>
  <si>
    <t>Lurgan</t>
  </si>
  <si>
    <t>Dugout logboat</t>
  </si>
  <si>
    <t xml:space="preserve">278, </t>
  </si>
  <si>
    <t>Stray jadeite axe find</t>
  </si>
  <si>
    <t>Douglas Castle</t>
  </si>
  <si>
    <t>Dunfermline</t>
  </si>
  <si>
    <t>Pitreavie House</t>
  </si>
  <si>
    <t xml:space="preserve">159, 162, 173, 252, 266, 277-8, </t>
  </si>
  <si>
    <t xml:space="preserve">278-9, </t>
  </si>
  <si>
    <t xml:space="preserve">279, </t>
  </si>
  <si>
    <t>Cunzierton Farm</t>
  </si>
  <si>
    <t xml:space="preserve">281, </t>
  </si>
  <si>
    <t>Breamore</t>
  </si>
  <si>
    <t xml:space="preserve">281-2, </t>
  </si>
  <si>
    <t xml:space="preserve">168, 283, </t>
  </si>
  <si>
    <t xml:space="preserve">277, 281, </t>
  </si>
  <si>
    <t xml:space="preserve">275, 277, 279, </t>
  </si>
  <si>
    <t xml:space="preserve">286, </t>
  </si>
  <si>
    <t xml:space="preserve">287, </t>
  </si>
  <si>
    <t>Little Paxton</t>
  </si>
  <si>
    <t>Fengate                         Padholme Road</t>
  </si>
  <si>
    <t>Doon Hill</t>
  </si>
  <si>
    <t xml:space="preserve">242, 287, </t>
  </si>
  <si>
    <t xml:space="preserve">145, 148, 216, 287, </t>
  </si>
  <si>
    <t>Horton                Kingsmead Quarry</t>
  </si>
  <si>
    <t>Reading</t>
  </si>
  <si>
    <t xml:space="preserve">287-8, 290, </t>
  </si>
  <si>
    <t xml:space="preserve">277, 300, </t>
  </si>
  <si>
    <t xml:space="preserve">310, </t>
  </si>
  <si>
    <t>Rectangular pit enclosure    Cursus</t>
  </si>
  <si>
    <t>Lismore Fields I</t>
  </si>
  <si>
    <t>Lismore Fields II</t>
  </si>
  <si>
    <t xml:space="preserve">297, </t>
  </si>
  <si>
    <t xml:space="preserve">290, 297, 299, </t>
  </si>
  <si>
    <t xml:space="preserve">225, 287, 297, 306, </t>
  </si>
  <si>
    <t xml:space="preserve">298, 306, </t>
  </si>
  <si>
    <t xml:space="preserve">298, </t>
  </si>
  <si>
    <t>Timber circle   Structure</t>
  </si>
  <si>
    <t>Neolithic pits  Timber circle</t>
  </si>
  <si>
    <t xml:space="preserve">251-2, 298, 306, </t>
  </si>
  <si>
    <t>Parc Cybi</t>
  </si>
  <si>
    <t>Lockerbie Academy</t>
  </si>
  <si>
    <t>Annandale</t>
  </si>
  <si>
    <t>Gorhambury</t>
  </si>
  <si>
    <t>Neolithic building</t>
  </si>
  <si>
    <t>Pilgrim's Way</t>
  </si>
  <si>
    <t>North Downs</t>
  </si>
  <si>
    <t xml:space="preserve">179, 315, </t>
  </si>
  <si>
    <t>Chambered tomb   Settlement</t>
  </si>
  <si>
    <t xml:space="preserve">315, </t>
  </si>
  <si>
    <t>Nosterfield Quarry</t>
  </si>
  <si>
    <t>Neolithic pit alignment</t>
  </si>
  <si>
    <t>Cursus    Bank barrow  Neo pit alignment</t>
  </si>
  <si>
    <t>Vauxhall</t>
  </si>
  <si>
    <t>Lambeth</t>
  </si>
  <si>
    <t xml:space="preserve">222, 316, </t>
  </si>
  <si>
    <t>Long mound    Enclosure</t>
  </si>
  <si>
    <t xml:space="preserve">138, 224, 318, </t>
  </si>
  <si>
    <t xml:space="preserve">224, 319, </t>
  </si>
  <si>
    <t xml:space="preserve">319, </t>
  </si>
  <si>
    <t xml:space="preserve">225-6, 316, 319, 320, </t>
  </si>
  <si>
    <t>New Wintles Farm</t>
  </si>
  <si>
    <t xml:space="preserve">324, </t>
  </si>
  <si>
    <t>Aldwincle 1</t>
  </si>
  <si>
    <t>Wayland's Smithy I</t>
  </si>
  <si>
    <t>Timber structure</t>
  </si>
  <si>
    <t>Giant's Hills II</t>
  </si>
  <si>
    <t>Timber enclosure</t>
  </si>
  <si>
    <t>Settlement        Long barrow</t>
  </si>
  <si>
    <t>Pencraig Hill</t>
  </si>
  <si>
    <t>Prestonkirk</t>
  </si>
  <si>
    <t xml:space="preserve">327, </t>
  </si>
  <si>
    <t>Timber structure      Long barrow</t>
  </si>
  <si>
    <t>Slewcairn</t>
  </si>
  <si>
    <t xml:space="preserve">330, </t>
  </si>
  <si>
    <t>Callis Wold 275</t>
  </si>
  <si>
    <t xml:space="preserve">325, 328, 330, </t>
  </si>
  <si>
    <t xml:space="preserve">325, 327, 330-1, </t>
  </si>
  <si>
    <t xml:space="preserve">325-6, 328, 331, </t>
  </si>
  <si>
    <t xml:space="preserve">242, 331, </t>
  </si>
  <si>
    <t xml:space="preserve">142, 157, 331, </t>
  </si>
  <si>
    <t xml:space="preserve">331-2, </t>
  </si>
  <si>
    <t xml:space="preserve">330-2, </t>
  </si>
  <si>
    <t xml:space="preserve">222, 237, 316, </t>
  </si>
  <si>
    <t xml:space="preserve">138, 319, 330, </t>
  </si>
  <si>
    <t xml:space="preserve">323, </t>
  </si>
  <si>
    <t xml:space="preserve">224, 281, 331, </t>
  </si>
  <si>
    <t xml:space="preserve">135, 224, 233, 319, </t>
  </si>
  <si>
    <t xml:space="preserve">325, </t>
  </si>
  <si>
    <t>Foulmire Fen</t>
  </si>
  <si>
    <t xml:space="preserve">133, 135, 137, 140, 334, </t>
  </si>
  <si>
    <t>Settlement   Long barrow</t>
  </si>
  <si>
    <t>Neolithic enclosure  Long mound</t>
  </si>
  <si>
    <t xml:space="preserve">327, 331, 335, </t>
  </si>
  <si>
    <t xml:space="preserve">325, 327-8, 335, </t>
  </si>
  <si>
    <t xml:space="preserve">324, 326-7, 335, </t>
  </si>
  <si>
    <t xml:space="preserve">327, 330, 333, 335, </t>
  </si>
  <si>
    <t xml:space="preserve">327, 335, </t>
  </si>
  <si>
    <t>Kintore    Forest Road</t>
  </si>
  <si>
    <t xml:space="preserve">338, </t>
  </si>
  <si>
    <t>Balneaves  Cottage</t>
  </si>
  <si>
    <t xml:space="preserve">306, 338-9, </t>
  </si>
  <si>
    <t>Bannockburn  Cowie Rd</t>
  </si>
  <si>
    <t>Cursus   Enclosure</t>
  </si>
  <si>
    <t>Castle Menzies</t>
  </si>
  <si>
    <t>Pits  Cursus</t>
  </si>
  <si>
    <t xml:space="preserve">340, </t>
  </si>
  <si>
    <t>Upper Largie</t>
  </si>
  <si>
    <t>Pit alignent   Cursus         Timber circle</t>
  </si>
  <si>
    <t>Holm Farm</t>
  </si>
  <si>
    <t xml:space="preserve">Cursus </t>
  </si>
  <si>
    <t>Holywood</t>
  </si>
  <si>
    <t>Holywood North</t>
  </si>
  <si>
    <t xml:space="preserve">340-2, </t>
  </si>
  <si>
    <t xml:space="preserve">342-3, </t>
  </si>
  <si>
    <t xml:space="preserve">344, </t>
  </si>
  <si>
    <t xml:space="preserve">318, 344, </t>
  </si>
  <si>
    <t xml:space="preserve">224, 323, 325, 327-8, 330-2, 344, </t>
  </si>
  <si>
    <t xml:space="preserve">323, 325, 327-8, 330-1, 333, 344, </t>
  </si>
  <si>
    <t xml:space="preserve">345, </t>
  </si>
  <si>
    <t>Carreg Coitan Arthur</t>
  </si>
  <si>
    <t>Maen Y Bardd</t>
  </si>
  <si>
    <t xml:space="preserve">346,  </t>
  </si>
  <si>
    <t xml:space="preserve">346, </t>
  </si>
  <si>
    <t xml:space="preserve">345-6, </t>
  </si>
  <si>
    <t>St. Ives  Zennor</t>
  </si>
  <si>
    <t>Sperris Quoit      Giant's Rock         Tregerthern</t>
  </si>
  <si>
    <t xml:space="preserve">160-1, 165-7, 220, 347, </t>
  </si>
  <si>
    <t xml:space="preserve">345, 348, </t>
  </si>
  <si>
    <t>Druid Stone  Ballintoy</t>
  </si>
  <si>
    <t>Bushmills</t>
  </si>
  <si>
    <t xml:space="preserve">348, </t>
  </si>
  <si>
    <t xml:space="preserve">168, 348-9, </t>
  </si>
  <si>
    <t xml:space="preserve">168, 349, </t>
  </si>
  <si>
    <t xml:space="preserve">349, </t>
  </si>
  <si>
    <t>Tomb 51  Listoghil</t>
  </si>
  <si>
    <t xml:space="preserve">171, 350, </t>
  </si>
  <si>
    <t xml:space="preserve">171, 224, 350, </t>
  </si>
  <si>
    <t>Cefn Drum</t>
  </si>
  <si>
    <t xml:space="preserve">350, </t>
  </si>
  <si>
    <t xml:space="preserve">171, 222, 224, 226, 316-8, 320, 332, 344, 350, </t>
  </si>
  <si>
    <t xml:space="preserve">347, 350, </t>
  </si>
  <si>
    <t xml:space="preserve">351, </t>
  </si>
  <si>
    <t xml:space="preserve">171, 225, 350-1, </t>
  </si>
  <si>
    <t xml:space="preserve">278-9, 281, 333-5, 353, </t>
  </si>
  <si>
    <t xml:space="preserve">350-1, 353, </t>
  </si>
  <si>
    <t xml:space="preserve">218, 222, 316, 320-1, 332-3, 353, </t>
  </si>
  <si>
    <t>Long barrow   Pottery style</t>
  </si>
  <si>
    <t xml:space="preserve">331, 360, </t>
  </si>
  <si>
    <t xml:space="preserve">Mortuary Enclosure </t>
  </si>
  <si>
    <t>Heslerton Ware</t>
  </si>
  <si>
    <t>Grimston Ware</t>
  </si>
  <si>
    <t xml:space="preserve">360-1, </t>
  </si>
  <si>
    <t xml:space="preserve">363, </t>
  </si>
  <si>
    <t xml:space="preserve">133-9, 140, 142, 363, </t>
  </si>
  <si>
    <t>Early Neolithic pottery assemblage</t>
  </si>
  <si>
    <t>Neolithic pottery style</t>
  </si>
  <si>
    <t xml:space="preserve">364, </t>
  </si>
  <si>
    <t>Wingham</t>
  </si>
  <si>
    <t xml:space="preserve">365, </t>
  </si>
  <si>
    <t>East Finnercy</t>
  </si>
  <si>
    <t>Cairn   Settlement</t>
  </si>
  <si>
    <t xml:space="preserve">366, </t>
  </si>
  <si>
    <t xml:space="preserve">Lanton Hill </t>
  </si>
  <si>
    <t>Neolithic pits   Enclosure</t>
  </si>
  <si>
    <t>Milfield  Ewart</t>
  </si>
  <si>
    <t>Cherhill</t>
  </si>
  <si>
    <t>Mesolithic pit  Neolithic pit</t>
  </si>
  <si>
    <t xml:space="preserve">367, </t>
  </si>
  <si>
    <t>Neolithic pit  Cremation deposit  Barrow</t>
  </si>
  <si>
    <t>Bishop's Cannings Down G62a</t>
  </si>
  <si>
    <t>Chestnuts</t>
  </si>
  <si>
    <t>NW Kent</t>
  </si>
  <si>
    <t xml:space="preserve">157, 367, </t>
  </si>
  <si>
    <t xml:space="preserve">157, 363, 367, </t>
  </si>
  <si>
    <t xml:space="preserve">287, 297, 300, 302-3, 307-8, 311, 362, 367, </t>
  </si>
  <si>
    <t xml:space="preserve">168, 288, 290, 297, 300, 302-3, 306-8, 311, 367, </t>
  </si>
  <si>
    <t>Early Neolithic pit Long barrow</t>
  </si>
  <si>
    <t xml:space="preserve">349, 367, </t>
  </si>
  <si>
    <t xml:space="preserve">168, 348-9, 367, </t>
  </si>
  <si>
    <t xml:space="preserve">345, 347-8, 362, 367, </t>
  </si>
  <si>
    <t>Achategan   Auchategan</t>
  </si>
  <si>
    <t>Wardend of Duris</t>
  </si>
  <si>
    <t>Enclosure   Pit  Settlement</t>
  </si>
  <si>
    <t>Ratho Quarry</t>
  </si>
  <si>
    <t>Pits  Cremation cemetery</t>
  </si>
  <si>
    <t>Islay</t>
  </si>
  <si>
    <t xml:space="preserve">231, 367, </t>
  </si>
  <si>
    <t>Mesolithic structure  Neolithic pits   Enlcosure</t>
  </si>
  <si>
    <t>Neolithic settlement   Pits  Cremation</t>
  </si>
  <si>
    <t>Midtown of Pitglassie</t>
  </si>
  <si>
    <t>Settlement  Round cairn</t>
  </si>
  <si>
    <t>Powsode   Atherb</t>
  </si>
  <si>
    <t xml:space="preserve">364-5, 367, </t>
  </si>
  <si>
    <t xml:space="preserve">222, 368, </t>
  </si>
  <si>
    <t xml:space="preserve">224, 239, 255, 369, </t>
  </si>
  <si>
    <t>Staines Road</t>
  </si>
  <si>
    <t xml:space="preserve">169, 369, </t>
  </si>
  <si>
    <t>Shepperton</t>
  </si>
  <si>
    <t xml:space="preserve">157, 369, </t>
  </si>
  <si>
    <t xml:space="preserve">242-3, 369, </t>
  </si>
  <si>
    <t xml:space="preserve">367, 369, </t>
  </si>
  <si>
    <t xml:space="preserve">226, 335-6, 369, </t>
  </si>
  <si>
    <t>Hatton Farm   Elliot</t>
  </si>
  <si>
    <t>Elliot</t>
  </si>
  <si>
    <t xml:space="preserve">369, </t>
  </si>
  <si>
    <t>Maybole</t>
  </si>
  <si>
    <t xml:space="preserve">297, 300, 302-3, 319, 369, </t>
  </si>
  <si>
    <t xml:space="preserve">172, 224, 363, 370, </t>
  </si>
  <si>
    <t xml:space="preserve">160, 172, 224, 363, 370, </t>
  </si>
  <si>
    <t xml:space="preserve">367, 369, 371, </t>
  </si>
  <si>
    <t xml:space="preserve">160, 171-2, 218, 224, 349, 372, </t>
  </si>
  <si>
    <t xml:space="preserve">360-1, 363, 367, 372, </t>
  </si>
  <si>
    <t>Dorstone Hill</t>
  </si>
  <si>
    <t xml:space="preserve">376, </t>
  </si>
  <si>
    <t>Nore Down</t>
  </si>
  <si>
    <t xml:space="preserve">377, </t>
  </si>
  <si>
    <t>Slonk Hill</t>
  </si>
  <si>
    <t>Tolmere Road  Findon</t>
  </si>
  <si>
    <t xml:space="preserve">222, 377, 379, </t>
  </si>
  <si>
    <t xml:space="preserve">381, </t>
  </si>
  <si>
    <t xml:space="preserve">377, 382, </t>
  </si>
  <si>
    <t>West Stoke                    Stoke Down</t>
  </si>
  <si>
    <t>Cissbury Tindall's pit</t>
  </si>
  <si>
    <t xml:space="preserve">382, </t>
  </si>
  <si>
    <t>Cissbury  Shaft 27</t>
  </si>
  <si>
    <t>Cissbury  Shaft VI</t>
  </si>
  <si>
    <t xml:space="preserve">222, 377-9, 382, </t>
  </si>
  <si>
    <t>Black Patch Barrow 12</t>
  </si>
  <si>
    <t>Black Patch Barrow 3</t>
  </si>
  <si>
    <t xml:space="preserve">222, 377-9, 380, 383, </t>
  </si>
  <si>
    <t>Harrow Hill Gallery VI</t>
  </si>
  <si>
    <t xml:space="preserve">383, </t>
  </si>
  <si>
    <t>Cissbury Gallery B</t>
  </si>
  <si>
    <t>Cissbury No.2 Escarp Shaft</t>
  </si>
  <si>
    <t>Church Hill Shaft 5</t>
  </si>
  <si>
    <t xml:space="preserve">136, 138, 330, 353, 360, 363, </t>
  </si>
  <si>
    <t xml:space="preserve">186, 347, </t>
  </si>
  <si>
    <t xml:space="preserve">288, 297, 324, 332, </t>
  </si>
  <si>
    <t xml:space="preserve">226, 242, 251, 278, 290, 297, 337, </t>
  </si>
  <si>
    <t xml:space="preserve">166-7, 279, 333, 351, </t>
  </si>
  <si>
    <t xml:space="preserve">252, 341, </t>
  </si>
  <si>
    <t xml:space="preserve">278, 327, 333, 340, 350, </t>
  </si>
  <si>
    <t xml:space="preserve">160, 167, 220, 264, 279, 340, </t>
  </si>
  <si>
    <t xml:space="preserve">324, 338, </t>
  </si>
  <si>
    <t xml:space="preserve">288, 338, </t>
  </si>
  <si>
    <t>Lleyn Peninsula</t>
  </si>
  <si>
    <t>Channel Islands</t>
  </si>
  <si>
    <t xml:space="preserve">133, 224, 281, 287, 363, </t>
  </si>
  <si>
    <t>Grimston-Lyles Hill Ware</t>
  </si>
  <si>
    <t xml:space="preserve">361, </t>
  </si>
  <si>
    <t>Irish Sea Ware</t>
  </si>
  <si>
    <t xml:space="preserve">362, </t>
  </si>
  <si>
    <t xml:space="preserve">162, 348, </t>
  </si>
  <si>
    <t xml:space="preserve">173, 265, 348, </t>
  </si>
  <si>
    <t xml:space="preserve">159, 346, </t>
  </si>
  <si>
    <t xml:space="preserve">254, 279, 375, </t>
  </si>
  <si>
    <t>North-East Scotland</t>
  </si>
  <si>
    <t>Pottery Style</t>
  </si>
  <si>
    <t xml:space="preserve">365, 368-9, 370, </t>
  </si>
  <si>
    <t xml:space="preserve">159, 166, 170, 173, 181, 184, 222, 259, 288, 297, 322, 345, 349, 362, 367, </t>
  </si>
  <si>
    <t xml:space="preserve">379, </t>
  </si>
  <si>
    <t xml:space="preserve">158-9, 181, 259, 277, 280, 288, 297, 322, 349, 381, </t>
  </si>
  <si>
    <t xml:space="preserve">239, 297, 369, </t>
  </si>
  <si>
    <t xml:space="preserve">364, 367, </t>
  </si>
  <si>
    <t xml:space="preserve">156, 158-9, 170, 216, 218, 226, 229, 278, 280-1, 367-9, </t>
  </si>
  <si>
    <t xml:space="preserve">157, 224, 226, 277, 367, </t>
  </si>
  <si>
    <t xml:space="preserve">236, 367, </t>
  </si>
  <si>
    <t xml:space="preserve">375, 377-9, </t>
  </si>
  <si>
    <t xml:space="preserve">224, 279, 375, </t>
  </si>
  <si>
    <t>South-Western pottery style</t>
  </si>
  <si>
    <t xml:space="preserve">370, </t>
  </si>
  <si>
    <t>North Gill  Glaisdale</t>
  </si>
  <si>
    <t xml:space="preserve">388, </t>
  </si>
  <si>
    <t>Caburn</t>
  </si>
  <si>
    <t>Barleycroft Paddocks</t>
  </si>
  <si>
    <t>Hinxton</t>
  </si>
  <si>
    <t>South Cambridgeshire</t>
  </si>
  <si>
    <t xml:space="preserve">389, </t>
  </si>
  <si>
    <t>Gors Fawr</t>
  </si>
  <si>
    <t>Stone circle   Deposit</t>
  </si>
  <si>
    <t>Raunds Barrow 1</t>
  </si>
  <si>
    <t>Raunds Barrow 6</t>
  </si>
  <si>
    <t xml:space="preserve">319, 330, 332, 335, 390, </t>
  </si>
  <si>
    <t xml:space="preserve">390, </t>
  </si>
  <si>
    <t>Stumble   Blackwater</t>
  </si>
  <si>
    <t>Maldon</t>
  </si>
  <si>
    <t xml:space="preserve">392, </t>
  </si>
  <si>
    <t xml:space="preserve">172, 224, 363, 394, </t>
  </si>
  <si>
    <t>Causewayed enclosure  Middens</t>
  </si>
  <si>
    <t xml:space="preserve">224, 234-5, 394, </t>
  </si>
  <si>
    <t>Kingsborough I</t>
  </si>
  <si>
    <t>Swale</t>
  </si>
  <si>
    <t xml:space="preserve">394, </t>
  </si>
  <si>
    <t>Kingsborough II</t>
  </si>
  <si>
    <t xml:space="preserve">396, </t>
  </si>
  <si>
    <t>Woodham Walter</t>
  </si>
  <si>
    <t>Deposit   Pit  Cache</t>
  </si>
  <si>
    <t xml:space="preserve">172, 224, 396, </t>
  </si>
  <si>
    <t xml:space="preserve">181, 297, 300, 306-8, 397, </t>
  </si>
  <si>
    <t xml:space="preserve">224, 288, 290, 297, 300, 302, 306-8, 312, 343, 397, </t>
  </si>
  <si>
    <t xml:space="preserve">222, 225, 288, 290, 297-9, 300, 303, 306-7, 309, 310, 312, 343, 369, 397, </t>
  </si>
  <si>
    <t xml:space="preserve">399, </t>
  </si>
  <si>
    <t xml:space="preserve">224, 319, 399, 400, </t>
  </si>
  <si>
    <t xml:space="preserve">400, </t>
  </si>
  <si>
    <t xml:space="preserve">401, </t>
  </si>
  <si>
    <t>Bronze Age bowl barrow   Neolithic Pit</t>
  </si>
  <si>
    <t xml:space="preserve">367, 408, </t>
  </si>
  <si>
    <t>Bowl's barrow             Boles Barrow</t>
  </si>
  <si>
    <t xml:space="preserve">409, </t>
  </si>
  <si>
    <t>Knook Barrow</t>
  </si>
  <si>
    <t>Amesbury 42</t>
  </si>
  <si>
    <t xml:space="preserve">319, 409, </t>
  </si>
  <si>
    <t xml:space="preserve">388, 410, </t>
  </si>
  <si>
    <t>Runnymede   Bridge     Runnymeade</t>
  </si>
  <si>
    <t>Eton College Rowing Lake</t>
  </si>
  <si>
    <t xml:space="preserve">369, 411, </t>
  </si>
  <si>
    <t xml:space="preserve">222, 377, 379, 381, 383, 413, </t>
  </si>
  <si>
    <t xml:space="preserve">222, 364, 369, 372, 377-9, 382-3, 413, </t>
  </si>
  <si>
    <t>Long barrow   Midden  Quarries</t>
  </si>
  <si>
    <t xml:space="preserve">275, 277, 281, 411, 413, </t>
  </si>
  <si>
    <t>Cnoc Coig</t>
  </si>
  <si>
    <t xml:space="preserve">414, </t>
  </si>
  <si>
    <t xml:space="preserve">164, 168, 266-8, 414, </t>
  </si>
  <si>
    <t>Caisteal nan Gillean II</t>
  </si>
  <si>
    <t>Spurge Hole</t>
  </si>
  <si>
    <t>Cave   Deposit</t>
  </si>
  <si>
    <t xml:space="preserve">Caldey Island  </t>
  </si>
  <si>
    <t>Little Hoyle               Longberry Bank</t>
  </si>
  <si>
    <t>Priory Farm  Catshole    Monkton</t>
  </si>
  <si>
    <t>Crarae   Fairy Knowe</t>
  </si>
  <si>
    <t xml:space="preserve">416, </t>
  </si>
  <si>
    <t xml:space="preserve">225, 416, </t>
  </si>
  <si>
    <t xml:space="preserve">222, 224, 230-2, 234-5, 237-9, 240, 242, 245-6, 250, 255, 318, 327, 332-4, 353, 364, 369, 402, 406, 410, 416, </t>
  </si>
  <si>
    <t xml:space="preserve">222, 416, </t>
  </si>
  <si>
    <t xml:space="preserve">278, 397, 399, 407, 409, 412, 416, </t>
  </si>
  <si>
    <t xml:space="preserve">135-6, 138, 169, 215, 224, 278, 407, 409, 412, 416, </t>
  </si>
  <si>
    <t xml:space="preserve">278, 397, 407, 409, 412, 416, </t>
  </si>
  <si>
    <t xml:space="preserve">181, 226, 287-9, 290, 297, 300, 303, 306-8, 311, 324, 330, 338, 397-8, 428, </t>
  </si>
  <si>
    <t xml:space="preserve">226, 288, 290, 297, 299, 300, 303-8, 311, 324, 338, 369, 371, 397-8, 428, </t>
  </si>
  <si>
    <t xml:space="preserve">222, 224, 234, 237-9, 240, 242-3, 250, 257, 317, 334, 369, 394, 400, 402, 407, 413, 416, 428, </t>
  </si>
  <si>
    <t xml:space="preserve">238, 243, 245-6, 322, 327, 366, 428, </t>
  </si>
  <si>
    <t xml:space="preserve">160, 172, 248-9, 250-1, 253, 256, 279, 281, 363, 369, 375, 428, </t>
  </si>
  <si>
    <t xml:space="preserve">181, 224, 236-7, 239, 255, 428, </t>
  </si>
  <si>
    <t xml:space="preserve">225, 230, 240-2, 257, 331, 334, 367, 394, 428, </t>
  </si>
  <si>
    <t xml:space="preserve">163, 416, 428, </t>
  </si>
  <si>
    <t xml:space="preserve">163, 428, </t>
  </si>
  <si>
    <t xml:space="preserve">246-8, 251-2, 363, 369, 370, 394, 402, 407, 413, 428, </t>
  </si>
  <si>
    <t xml:space="preserve">163, 180, 226, 256, 290, 297, 300-1, 303, 306-8, 310-11, 315, 319, 324, 338, 340, 370, 389, 398, 400, 430, </t>
  </si>
  <si>
    <t xml:space="preserve">430, </t>
  </si>
  <si>
    <t>Portland chert</t>
  </si>
  <si>
    <t>430,</t>
  </si>
  <si>
    <t>Beerhead</t>
  </si>
  <si>
    <t xml:space="preserve">138, 171-2, 218, 278, 349, 372, 430, </t>
  </si>
  <si>
    <t>Gabbroic pottery</t>
  </si>
  <si>
    <t xml:space="preserve">173, 229, 345, 430, </t>
  </si>
  <si>
    <t xml:space="preserve">1-4, 6-7, 73, 78, 83, 100-1, 110, 119, 127, 129, 130-9, 140-9, 151-2, 154-9, 160, 162-5, 169, 170, 172-9, 180-7, 215-219, 220, 221-3, 225-9, 232-3, 241, 244, 248, 250-1, 254, 259, 261-3, 265, 268, 270-1, 273, 276-9, 280-3, 285-7, 289, 290, 294, 296-9, 300, 306-9, 310, 311-3,  315-6, 318, 320, 322, 332, 334-5, 337-8, 343-4, 346, 348-9, 351, 353, 355, 358, 360-1, 363, 370-3, 375, 377-9, 380, 384-9, 390-2, 394-7, 399, 400, 402-6, 408, 410-2, 414, 416-9, 422-9, 430, </t>
  </si>
  <si>
    <t xml:space="preserve">137, 160, 268, 320, 424, </t>
  </si>
  <si>
    <t xml:space="preserve">286, 410, </t>
  </si>
  <si>
    <t xml:space="preserve">170, 279, 313, 320, 363-4, 367, 370, 375, 386, 425, </t>
  </si>
  <si>
    <t xml:space="preserve">138, 167-8, 229, 268, 313, 320, 345, 347, 351, 375-6, 379, 386, 424-5, </t>
  </si>
  <si>
    <t xml:space="preserve">79, 133-4, 137, 145, 157, 171, 218, 220, 233, 242, 246, 251, 267, 281, 320, 366-8, 378-9, 402, </t>
  </si>
  <si>
    <t xml:space="preserve">405, </t>
  </si>
  <si>
    <t xml:space="preserve">3, 405, 425, </t>
  </si>
  <si>
    <t xml:space="preserve">133, 163, 165-7, 265, 333, 351, 386, 416, </t>
  </si>
  <si>
    <t>Atlantic Scotland</t>
  </si>
  <si>
    <t xml:space="preserve">158-9, 166, 170, 173, 181, 184, 216, 218, 220-2, 226, 243, 265, 277-9, 280-1, 288, 297-9, 303, 322, 327, 343-4, 349, 364, 366-9, 370, 387, 397-9, 400-1, 403, 414, 428, </t>
  </si>
  <si>
    <t xml:space="preserve">220, 224, 226, 228, 243, 401, </t>
  </si>
  <si>
    <t>226, 228, 290, 401,</t>
  </si>
  <si>
    <t xml:space="preserve">220, 224, 226, 401, </t>
  </si>
  <si>
    <t xml:space="preserve">387, 401, </t>
  </si>
  <si>
    <t xml:space="preserve">301, 347, 351, 401, </t>
  </si>
  <si>
    <t xml:space="preserve">265, 386, </t>
  </si>
  <si>
    <t xml:space="preserve">263, 401, </t>
  </si>
  <si>
    <t>Loch Lomond</t>
  </si>
  <si>
    <t xml:space="preserve">386, </t>
  </si>
  <si>
    <t xml:space="preserve">158, 173, 263, 301, 344, 399, 401, 413, </t>
  </si>
  <si>
    <t xml:space="preserve">265, 414, </t>
  </si>
  <si>
    <t xml:space="preserve">110, 119, 132, 143, 152, 156-9, 160, 162-5, 168-9, 170, 172-4, 183-4, 215-6, 220-5, 228, 241, 259, 261, 263-8, 270, 273, 276-7, 280, 286-9, 290, 297, 306, 308, 310, 318, 332, 345-9, 355, 361, 391, 397, 399, 403, 414, 429, </t>
  </si>
  <si>
    <t xml:space="preserve">161-3, 165, 168, 173, 184, 220, 261, 266-8, 273, 278, 344-6, 348-9, 391, </t>
  </si>
  <si>
    <t xml:space="preserve">133, 156, 167, 388, </t>
  </si>
  <si>
    <t xml:space="preserve">225-6, 290, 350, 414, 417, </t>
  </si>
  <si>
    <t>Caldey Island</t>
  </si>
  <si>
    <t xml:space="preserve">171, 240, 316-8, 327, 344, 350-1, 407, </t>
  </si>
  <si>
    <t xml:space="preserve">138, 171, 222, 224, 237, 316-8, 350, 407, </t>
  </si>
  <si>
    <t xml:space="preserve">3, 160-2, 168-9, 173, 185-6, 259, 261-3, 265, 270, 273, 277, 280, 282, 373, 423-4, </t>
  </si>
  <si>
    <t xml:space="preserve">172, 233, 323, 366, 381, 411, </t>
  </si>
  <si>
    <t xml:space="preserve">407-8, </t>
  </si>
  <si>
    <t xml:space="preserve">172, 181, 224, 236, 363, 407-8, 416, </t>
  </si>
  <si>
    <t xml:space="preserve">386, 392, </t>
  </si>
  <si>
    <t xml:space="preserve">185, 218, 222, 225, 288, 299, 316, 364, 367, 386, </t>
  </si>
  <si>
    <t xml:space="preserve">323, 389, </t>
  </si>
  <si>
    <t xml:space="preserve">363, 369, 390, </t>
  </si>
  <si>
    <t xml:space="preserve">316, 324, 330, 390, </t>
  </si>
  <si>
    <t>Allen Valley</t>
  </si>
  <si>
    <t xml:space="preserve">170, 185, 222, 224, 234, 239, 278, 290, 388, 393, </t>
  </si>
  <si>
    <t xml:space="preserve">134, 140, 144, 156, 158-9, 220, 224, 277, 363, 367, 370, 387-8, 392, 400, </t>
  </si>
  <si>
    <t xml:space="preserve">140, 156, 170, 172, 184-5, 218, 220, 222, 225, 227-9, 290, 368, 386, </t>
  </si>
  <si>
    <t xml:space="preserve">137, 160, 170, 172, 220, 224, 228-9, 249, 280-1, 363, 388, </t>
  </si>
  <si>
    <t xml:space="preserve">170, 184, 218, 220-1, 277, 329, 366, 369, 388, </t>
  </si>
  <si>
    <t xml:space="preserve">134, 136, 144, 158, 222, 225, 375-9, 380, 383, 386, </t>
  </si>
  <si>
    <t xml:space="preserve">151, 246, 388, 409, 429, </t>
  </si>
  <si>
    <t>Malone</t>
  </si>
  <si>
    <t xml:space="preserve">263, 430, </t>
  </si>
  <si>
    <t xml:space="preserve">NE </t>
  </si>
  <si>
    <t xml:space="preserve">SE </t>
  </si>
  <si>
    <t xml:space="preserve">SW </t>
  </si>
  <si>
    <t>Martin's Clump</t>
  </si>
  <si>
    <t>Connaught</t>
  </si>
  <si>
    <t>north-west Eire</t>
  </si>
  <si>
    <t>Leinster</t>
  </si>
  <si>
    <t>south-east Eire</t>
  </si>
  <si>
    <t>southern Eire</t>
  </si>
  <si>
    <t>University</t>
  </si>
  <si>
    <t>Devizes</t>
  </si>
  <si>
    <t>Scottish uplands</t>
  </si>
  <si>
    <t>Dunwich</t>
  </si>
  <si>
    <t xml:space="preserve">22, 30, </t>
  </si>
  <si>
    <t xml:space="preserve">14, 31, </t>
  </si>
  <si>
    <t>Hackpen</t>
  </si>
  <si>
    <t>Walden Hill</t>
  </si>
  <si>
    <t>general N/EBA</t>
  </si>
  <si>
    <t>East Kennett</t>
  </si>
  <si>
    <t>River Frome</t>
  </si>
  <si>
    <t>River South Winterbourne</t>
  </si>
  <si>
    <t>River Till</t>
  </si>
  <si>
    <t>Poundbury</t>
  </si>
  <si>
    <t>Stonehenge palisade</t>
  </si>
  <si>
    <t>Handley Hill            Handley Down</t>
  </si>
  <si>
    <t>Overton Hill               Overton Down</t>
  </si>
  <si>
    <t>Settlement    Deep shaft</t>
  </si>
  <si>
    <t>Loch Rae</t>
  </si>
  <si>
    <t>Perth &amp; Kinross</t>
  </si>
  <si>
    <t>Braeroddach Loch</t>
  </si>
  <si>
    <t>Scord of Brouster</t>
  </si>
  <si>
    <t>Walls &amp; Sandness</t>
  </si>
  <si>
    <t>Rum</t>
  </si>
  <si>
    <t>Kinloch</t>
  </si>
  <si>
    <t>Saxa Vord</t>
  </si>
  <si>
    <t>Unst</t>
  </si>
  <si>
    <t>HP</t>
  </si>
  <si>
    <t>Behy Glenulra</t>
  </si>
  <si>
    <t>Field system   Settlement</t>
  </si>
  <si>
    <t xml:space="preserve">12, 34, </t>
  </si>
  <si>
    <t>River Mattock</t>
  </si>
  <si>
    <t>Northern Mayo</t>
  </si>
  <si>
    <t xml:space="preserve">30-1, 43, </t>
  </si>
  <si>
    <t xml:space="preserve">12, 42, </t>
  </si>
  <si>
    <t>West Cornwall</t>
  </si>
  <si>
    <t>Blackmore Vale</t>
  </si>
  <si>
    <t>Lismore Fields I  A</t>
  </si>
  <si>
    <t>Lismore Fields II  B</t>
  </si>
  <si>
    <t>Mill Street</t>
  </si>
  <si>
    <t>Clegyr Boia I</t>
  </si>
  <si>
    <t>Clegyr Boia II</t>
  </si>
  <si>
    <t>Early Neolithic pit Long barrow  Neolithic house</t>
  </si>
  <si>
    <t>Stretton-on-Fosse</t>
  </si>
  <si>
    <t>Stratford</t>
  </si>
  <si>
    <t>Neolithic pottery style  Neolithic house</t>
  </si>
  <si>
    <t xml:space="preserve">Chigborough Farm    Goldhanger </t>
  </si>
  <si>
    <t>Henge  Neolithic house</t>
  </si>
  <si>
    <t>Eilean Domnhuil   Loch Olabhat crannog  Phase 5-6</t>
  </si>
  <si>
    <t>Eilean Domnhuil   Loch Olabhat crannog  Phase 1</t>
  </si>
  <si>
    <t>Raigmore</t>
  </si>
  <si>
    <t>Lough Gur A</t>
  </si>
  <si>
    <t>Lough Gur B</t>
  </si>
  <si>
    <t>Lough Gur K1</t>
  </si>
  <si>
    <t>Lough Gur K2</t>
  </si>
  <si>
    <t>Tankardstown I</t>
  </si>
  <si>
    <t>Tankardstown II</t>
  </si>
  <si>
    <t>Newtown</t>
  </si>
  <si>
    <t>Ballygalley</t>
  </si>
  <si>
    <t xml:space="preserve">49, 52, </t>
  </si>
  <si>
    <t>Causewayed Enclosure  Neolithic houses</t>
  </si>
  <si>
    <t>Causewayed Enclosure   Neolithic house</t>
  </si>
  <si>
    <t>Etton Woodgate</t>
  </si>
  <si>
    <t>Enclosure   Neolithic house</t>
  </si>
  <si>
    <t>Bowman's Farm</t>
  </si>
  <si>
    <t>Mesolithic settlement  Neolithic houses</t>
  </si>
  <si>
    <t xml:space="preserve">Lismore Fields </t>
  </si>
  <si>
    <t xml:space="preserve">49, 54, </t>
  </si>
  <si>
    <t xml:space="preserve">49, 55, </t>
  </si>
  <si>
    <t>Stone Point                  Walton on Naze</t>
  </si>
  <si>
    <t>The Stumble   Blackwater</t>
  </si>
  <si>
    <t>Deposit    Neolithic house</t>
  </si>
  <si>
    <t xml:space="preserve">50, 55, </t>
  </si>
  <si>
    <t xml:space="preserve">54-5, </t>
  </si>
  <si>
    <t xml:space="preserve">Eilean Domnhuil   Loch Olabhat crannog  </t>
  </si>
  <si>
    <t xml:space="preserve">36-7, 41, 56, </t>
  </si>
  <si>
    <t xml:space="preserve">52, 56, </t>
  </si>
  <si>
    <t>Slieve Beagh</t>
  </si>
  <si>
    <t>Barrow   Neolithic houses</t>
  </si>
  <si>
    <t>Aleck Low</t>
  </si>
  <si>
    <t>Barrow Neolithic house</t>
  </si>
  <si>
    <t>Durrington Walls 68</t>
  </si>
  <si>
    <t>Barrow  Settlement  Neolithic houses</t>
  </si>
  <si>
    <t>Willington D</t>
  </si>
  <si>
    <t>Willington E</t>
  </si>
  <si>
    <t>Mesolithic midden  Neolithic house</t>
  </si>
  <si>
    <t>Causewayed Enclosure  Neolithic house</t>
  </si>
  <si>
    <t>Trelystan A</t>
  </si>
  <si>
    <t>Trelystan B</t>
  </si>
  <si>
    <t>Lough Gur C2</t>
  </si>
  <si>
    <t>Lough Gur D3</t>
  </si>
  <si>
    <t>Lough Gur M</t>
  </si>
  <si>
    <t>Maidstone</t>
  </si>
  <si>
    <t>Deeside</t>
  </si>
  <si>
    <t>Loch Olabhat</t>
  </si>
  <si>
    <t>Peeblesshire</t>
  </si>
  <si>
    <t>south-east central</t>
  </si>
  <si>
    <t>Sanday</t>
  </si>
  <si>
    <t>south-west Eire</t>
  </si>
  <si>
    <t>Wexford</t>
  </si>
  <si>
    <t>Wexford town</t>
  </si>
  <si>
    <t>Little Cheney</t>
  </si>
  <si>
    <t>Barrow          Timber circle  Neolithic house</t>
  </si>
  <si>
    <t>Pool</t>
  </si>
  <si>
    <t>Piperstown</t>
  </si>
  <si>
    <t>Barrows  Neolithic houses</t>
  </si>
  <si>
    <t>Tallaght</t>
  </si>
  <si>
    <t xml:space="preserve">56-7, 61-2, </t>
  </si>
  <si>
    <t xml:space="preserve">59, 62, </t>
  </si>
  <si>
    <t xml:space="preserve">56, 59, 61-2, </t>
  </si>
  <si>
    <t>Passage tomb cemetery  Neolithic house</t>
  </si>
  <si>
    <t>Passage tomb cemetery  Neolithic houses</t>
  </si>
  <si>
    <t xml:space="preserve">36, 47, 52, 56, 62, </t>
  </si>
  <si>
    <t>Portal Dolmen  Neolithic house</t>
  </si>
  <si>
    <t>Court tomb  Neolithic house</t>
  </si>
  <si>
    <t>Stone circle    Henge  Neolithic house</t>
  </si>
  <si>
    <t xml:space="preserve">59, 61-2, </t>
  </si>
  <si>
    <t>Chambered tomb        Neolithic house</t>
  </si>
  <si>
    <t xml:space="preserve">61-2, </t>
  </si>
  <si>
    <t>Ballygalley II</t>
  </si>
  <si>
    <t xml:space="preserve">52, 62, </t>
  </si>
  <si>
    <t>Ballybriest</t>
  </si>
  <si>
    <t>Moneymore</t>
  </si>
  <si>
    <t>Knockadoon peninsula</t>
  </si>
  <si>
    <t>Stone circle Timber circle  Neolithic house</t>
  </si>
  <si>
    <t>Henge             Timber circle   Neolithic house</t>
  </si>
  <si>
    <t>Neolithic house   Timber circle</t>
  </si>
  <si>
    <t>Enclosure  Neolithic house</t>
  </si>
  <si>
    <t xml:space="preserve">57, 63, </t>
  </si>
  <si>
    <t xml:space="preserve">56, 63, </t>
  </si>
  <si>
    <t xml:space="preserve">57, 59, 63, </t>
  </si>
  <si>
    <t>Hockwold cum Wilton</t>
  </si>
  <si>
    <t>West Norfolk</t>
  </si>
  <si>
    <t>Levens Park</t>
  </si>
  <si>
    <t>Ring-csirn   Barrow   Settlement</t>
  </si>
  <si>
    <t>Feltrim Hill</t>
  </si>
  <si>
    <t>North Dublin</t>
  </si>
  <si>
    <t>Westhay Island</t>
  </si>
  <si>
    <t>Neolithic trackway</t>
  </si>
  <si>
    <t>Meare</t>
  </si>
  <si>
    <t>Honeygore</t>
  </si>
  <si>
    <t>Edington Burtle</t>
  </si>
  <si>
    <t>Garvin's trackway</t>
  </si>
  <si>
    <t>Meare Heath</t>
  </si>
  <si>
    <t>Mavis Grind</t>
  </si>
  <si>
    <t xml:space="preserve">61, 65, 68, 70, </t>
  </si>
  <si>
    <t>Yoxie</t>
  </si>
  <si>
    <t xml:space="preserve">35, 47, 61, 65, 69, </t>
  </si>
  <si>
    <t>Enclosure  Settlement</t>
  </si>
  <si>
    <t>Gardom's Edge</t>
  </si>
  <si>
    <t>Aughertree Fell</t>
  </si>
  <si>
    <t>Dewerstone</t>
  </si>
  <si>
    <t>Neolithic round mound  Causewayed enclosure</t>
  </si>
  <si>
    <t>Exeter</t>
  </si>
  <si>
    <t>Shroton Spur</t>
  </si>
  <si>
    <t>Kennet &amp; Avon Canal</t>
  </si>
  <si>
    <t>Crofton</t>
  </si>
  <si>
    <t>North Wessex Downs</t>
  </si>
  <si>
    <t>Enclosure     Settlement</t>
  </si>
  <si>
    <t xml:space="preserve">49, 52, 74, </t>
  </si>
  <si>
    <t>Donegore Hill           Tobergill</t>
  </si>
  <si>
    <t>Ditched enclosure  Timber circle</t>
  </si>
  <si>
    <t xml:space="preserve">57, 78, </t>
  </si>
  <si>
    <t>Leadketty                Kincladie</t>
  </si>
  <si>
    <t>Fenland-Wash</t>
  </si>
  <si>
    <t>rivers</t>
  </si>
  <si>
    <t>Hound's Tor</t>
  </si>
  <si>
    <t>Derwent Valley</t>
  </si>
  <si>
    <t xml:space="preserve">76, 80, </t>
  </si>
  <si>
    <t xml:space="preserve">72, 74, 81, </t>
  </si>
  <si>
    <t xml:space="preserve">74, 76, 80-1, </t>
  </si>
  <si>
    <t>Northborough</t>
  </si>
  <si>
    <t>Upton</t>
  </si>
  <si>
    <t>Barholm</t>
  </si>
  <si>
    <t>South Kesteven</t>
  </si>
  <si>
    <t>Henge &amp; Ring-ditch Neolithic house</t>
  </si>
  <si>
    <t>Eastleach</t>
  </si>
  <si>
    <t>Broadwell</t>
  </si>
  <si>
    <t xml:space="preserve">43, 73, 84, </t>
  </si>
  <si>
    <t xml:space="preserve">76, 86, </t>
  </si>
  <si>
    <t xml:space="preserve">78-9, 86, </t>
  </si>
  <si>
    <t>Settlement  Enclosure</t>
  </si>
  <si>
    <t xml:space="preserve">77, 89, </t>
  </si>
  <si>
    <t xml:space="preserve">77-8, 89, </t>
  </si>
  <si>
    <t xml:space="preserve">62, 74, 78, 89, </t>
  </si>
  <si>
    <t xml:space="preserve">78, 89, </t>
  </si>
  <si>
    <t xml:space="preserve">77, 80, 89, </t>
  </si>
  <si>
    <t xml:space="preserve">24, 72, 74-5, 78, 86, 89, 90, </t>
  </si>
  <si>
    <t>Causewayed Enclosure   Pottery type-site</t>
  </si>
  <si>
    <t>Whitehawk Camp         Whitehawk Hill</t>
  </si>
  <si>
    <t xml:space="preserve">83, 90-1, </t>
  </si>
  <si>
    <t xml:space="preserve">72, 83, 91, </t>
  </si>
  <si>
    <t xml:space="preserve">83, 91, </t>
  </si>
  <si>
    <t xml:space="preserve">52, 74-5, 86-8, 91, </t>
  </si>
  <si>
    <t xml:space="preserve">34, 41, 43-4, 72-5, 77-9, 84-6, 88, 91, </t>
  </si>
  <si>
    <t xml:space="preserve">59, 83, 93, </t>
  </si>
  <si>
    <t xml:space="preserve">43, 72, 74-5, 82, 92-3, 95, </t>
  </si>
  <si>
    <t xml:space="preserve">53, 95, </t>
  </si>
  <si>
    <t>Etton Cursus</t>
  </si>
  <si>
    <t xml:space="preserve">31, 96-7, </t>
  </si>
  <si>
    <t>Settlement   Cursus</t>
  </si>
  <si>
    <t>Martin Down</t>
  </si>
  <si>
    <t>Cursus         Henge</t>
  </si>
  <si>
    <t>Great Wilbraham</t>
  </si>
  <si>
    <t>Melbourn</t>
  </si>
  <si>
    <t xml:space="preserve">82, 93, 97, </t>
  </si>
  <si>
    <t>Enclosure      Cursus</t>
  </si>
  <si>
    <t>Timber circle      Cursuses</t>
  </si>
  <si>
    <t>Tan-y-Cefn                     Corwen cursus</t>
  </si>
  <si>
    <t>Meifod</t>
  </si>
  <si>
    <t>Welshpool</t>
  </si>
  <si>
    <t>Holywell                       Whitford Dyke</t>
  </si>
  <si>
    <t>Llandissilio</t>
  </si>
  <si>
    <t>Spread Eagle</t>
  </si>
  <si>
    <t>Builth</t>
  </si>
  <si>
    <t>Welsh Borders</t>
  </si>
  <si>
    <t>east Wales</t>
  </si>
  <si>
    <t>Vale of Gloucester</t>
  </si>
  <si>
    <t xml:space="preserve">57, 84, </t>
  </si>
  <si>
    <t>Gypsey Race</t>
  </si>
  <si>
    <t xml:space="preserve">80, 84, </t>
  </si>
  <si>
    <t xml:space="preserve">12, 57, 78, </t>
  </si>
  <si>
    <t xml:space="preserve">12, 22, 44, 97, </t>
  </si>
  <si>
    <t>General N/EBA   Cursus</t>
  </si>
  <si>
    <t xml:space="preserve">96-7, 100, </t>
  </si>
  <si>
    <t>Timber hall    Mortuary site</t>
  </si>
  <si>
    <t xml:space="preserve">100-2, </t>
  </si>
  <si>
    <t>Inchbare</t>
  </si>
  <si>
    <t>Kinalty</t>
  </si>
  <si>
    <t>Star Inn Farm</t>
  </si>
  <si>
    <t>City of Dundee</t>
  </si>
  <si>
    <t>Bennybeg</t>
  </si>
  <si>
    <t>Blairhall</t>
  </si>
  <si>
    <t>100,</t>
  </si>
  <si>
    <t xml:space="preserve">78, 99, </t>
  </si>
  <si>
    <t>Cheddar</t>
  </si>
  <si>
    <t xml:space="preserve">12, 24, 90, 105, </t>
  </si>
  <si>
    <t>west coast of Scotland</t>
  </si>
  <si>
    <t>Luckington                    Giant's Cave</t>
  </si>
  <si>
    <t>Balnagowan tombs</t>
  </si>
  <si>
    <t>Maiden Castle Long Barrow 1   Bank Barrow</t>
  </si>
  <si>
    <t xml:space="preserve">84, 113, </t>
  </si>
  <si>
    <t>Lowther</t>
  </si>
  <si>
    <t>Bank barrow       Long mound</t>
  </si>
  <si>
    <t>Broadmayne</t>
  </si>
  <si>
    <t>Pen Hill                                St Cuthbert Out 1</t>
  </si>
  <si>
    <t>Adam's grave</t>
  </si>
  <si>
    <t>Neolithic oval mound</t>
  </si>
  <si>
    <t>Long barrow  Mortuary enclosure</t>
  </si>
  <si>
    <t xml:space="preserve">97, 115-6, </t>
  </si>
  <si>
    <t xml:space="preserve">114, 117, </t>
  </si>
  <si>
    <t xml:space="preserve">110-1, 114, 117, </t>
  </si>
  <si>
    <t xml:space="preserve">34-5, 102, 118, </t>
  </si>
  <si>
    <t xml:space="preserve">102, 118, </t>
  </si>
  <si>
    <t xml:space="preserve">49, 59, 83, 118, </t>
  </si>
  <si>
    <t>Orton Longueville</t>
  </si>
  <si>
    <t>Mortuary Enclosure   Barrow</t>
  </si>
  <si>
    <t xml:space="preserve">114-5, 119, </t>
  </si>
  <si>
    <t xml:space="preserve">96, 114, 119, </t>
  </si>
  <si>
    <t xml:space="preserve">34, 96, 100, 119, </t>
  </si>
  <si>
    <t>Pottery type-site  General N/EBA</t>
  </si>
  <si>
    <t xml:space="preserve">96, 118-9, </t>
  </si>
  <si>
    <t xml:space="preserve">108-9, 110-1, 120, </t>
  </si>
  <si>
    <t xml:space="preserve">108-9, 116, 121, </t>
  </si>
  <si>
    <t>Timber structure  Stone-built structure</t>
  </si>
  <si>
    <t>Wayland's Smithy II</t>
  </si>
  <si>
    <t xml:space="preserve">122-3, </t>
  </si>
  <si>
    <t>Causewayed Enclosure  Pottery type-site</t>
  </si>
  <si>
    <t>Linch Hill Corner              Cassington</t>
  </si>
  <si>
    <t>Whiteleaf</t>
  </si>
  <si>
    <t>Bucks</t>
  </si>
  <si>
    <t>Tay Valley</t>
  </si>
  <si>
    <t>Clwyd/Gwynedd</t>
  </si>
  <si>
    <t>Breconshire</t>
  </si>
  <si>
    <t xml:space="preserve">114, 119, </t>
  </si>
  <si>
    <t>Loftus</t>
  </si>
  <si>
    <t xml:space="preserve">82, 118, </t>
  </si>
  <si>
    <t>east-north-east England</t>
  </si>
  <si>
    <t>central Britain</t>
  </si>
  <si>
    <t>Pea Low                           Steep Lowe</t>
  </si>
  <si>
    <t>Alstonefield              Peak District</t>
  </si>
  <si>
    <t>Wigtownshire</t>
  </si>
  <si>
    <t xml:space="preserve">124-5, </t>
  </si>
  <si>
    <t xml:space="preserve">124, 126, </t>
  </si>
  <si>
    <t>Dalladies                       Fettercairn</t>
  </si>
  <si>
    <t>Capo Plantation</t>
  </si>
  <si>
    <t xml:space="preserve">124, 127, </t>
  </si>
  <si>
    <t>Pennance</t>
  </si>
  <si>
    <t>Porth Hellick Down</t>
  </si>
  <si>
    <t xml:space="preserve">Porth Hellick </t>
  </si>
  <si>
    <t>Neolithic tombs</t>
  </si>
  <si>
    <t>North Hill Sampson</t>
  </si>
  <si>
    <t>Samson</t>
  </si>
  <si>
    <t xml:space="preserve">128-9, </t>
  </si>
  <si>
    <t xml:space="preserve">120, 129, </t>
  </si>
  <si>
    <t xml:space="preserve">120, 130, </t>
  </si>
  <si>
    <t>Randwick</t>
  </si>
  <si>
    <t xml:space="preserve">120, 132, </t>
  </si>
  <si>
    <t>Cotswold-Severn               Severn Cotswold</t>
  </si>
  <si>
    <t xml:space="preserve">108-9, 120, 132, </t>
  </si>
  <si>
    <t xml:space="preserve">49, 120, 132, </t>
  </si>
  <si>
    <t xml:space="preserve">108, 120, 129, 132, </t>
  </si>
  <si>
    <t xml:space="preserve">107, 120-1, 128-9, 132, </t>
  </si>
  <si>
    <t>Lanyon Quoit                  West Lanyon Quoit</t>
  </si>
  <si>
    <t xml:space="preserve">72, 74-5, 81-2, 93, 97, 133, </t>
  </si>
  <si>
    <t>Chun Quoit</t>
  </si>
  <si>
    <t>Morvah</t>
  </si>
  <si>
    <t>Bearah Common cairn</t>
  </si>
  <si>
    <t>North Hill</t>
  </si>
  <si>
    <t xml:space="preserve">133-4, </t>
  </si>
  <si>
    <t>Portal dolmen</t>
  </si>
  <si>
    <t>Crannagh</t>
  </si>
  <si>
    <t>Ballyvaghan</t>
  </si>
  <si>
    <t xml:space="preserve">133, 135, </t>
  </si>
  <si>
    <t>Roscommon</t>
  </si>
  <si>
    <t>Drumanone</t>
  </si>
  <si>
    <t>Boyle</t>
  </si>
  <si>
    <t>Ticloy</t>
  </si>
  <si>
    <t>Carnlough</t>
  </si>
  <si>
    <t>Gwern Einion</t>
  </si>
  <si>
    <t>Tan y Marian</t>
  </si>
  <si>
    <t>Llech y Dribedd</t>
  </si>
  <si>
    <t>Audleystown</t>
  </si>
  <si>
    <t>Strangford</t>
  </si>
  <si>
    <t>Ballymunterhiggin</t>
  </si>
  <si>
    <t>Ballyshannon</t>
  </si>
  <si>
    <t>Shandballyedmond</t>
  </si>
  <si>
    <t>Cappamore</t>
  </si>
  <si>
    <t>Gaulstown</t>
  </si>
  <si>
    <t>Haroldstown</t>
  </si>
  <si>
    <t>Tullow</t>
  </si>
  <si>
    <t xml:space="preserve">133, 135-6, </t>
  </si>
  <si>
    <t xml:space="preserve">134, 136, </t>
  </si>
  <si>
    <t xml:space="preserve">52, 83, 110, 120, 132, </t>
  </si>
  <si>
    <t>southern Cotswolds</t>
  </si>
  <si>
    <t>Gower Peninsula</t>
  </si>
  <si>
    <t xml:space="preserve">129, 130, </t>
  </si>
  <si>
    <t>Chepstow</t>
  </si>
  <si>
    <t>Gwent</t>
  </si>
  <si>
    <t>north-west Wales</t>
  </si>
  <si>
    <t>Montrose</t>
  </si>
  <si>
    <t xml:space="preserve">40-1, 136, </t>
  </si>
  <si>
    <t>north-east Eire</t>
  </si>
  <si>
    <t xml:space="preserve">135, 139, </t>
  </si>
  <si>
    <t xml:space="preserve">138-9, </t>
  </si>
  <si>
    <t xml:space="preserve">136, 138-9, </t>
  </si>
  <si>
    <t xml:space="preserve">128, 138-9, </t>
  </si>
  <si>
    <t>north Eire</t>
  </si>
  <si>
    <t xml:space="preserve">56-7, 138, </t>
  </si>
  <si>
    <t xml:space="preserve">62, 139, </t>
  </si>
  <si>
    <t>Craw Knowe</t>
  </si>
  <si>
    <t>Mangaster</t>
  </si>
  <si>
    <t>Northmavine</t>
  </si>
  <si>
    <t>Muckla Water</t>
  </si>
  <si>
    <t>The Giant's Grave         Gateside</t>
  </si>
  <si>
    <t>Hansie's Crooie</t>
  </si>
  <si>
    <t>Vord Hill</t>
  </si>
  <si>
    <t>Cairn of Get</t>
  </si>
  <si>
    <t>Caves of Kilhern</t>
  </si>
  <si>
    <t>White Cairn</t>
  </si>
  <si>
    <t>Chsmbered tomb</t>
  </si>
  <si>
    <t>Tormore II</t>
  </si>
  <si>
    <t>Kindrochet                        Kindrochat</t>
  </si>
  <si>
    <t xml:space="preserve">10, 91, 93, 108, 111, 120-1, 128-9, 130, 131-2, 137-8, </t>
  </si>
  <si>
    <t xml:space="preserve">140, </t>
  </si>
  <si>
    <t xml:space="preserve">137-8, </t>
  </si>
  <si>
    <t xml:space="preserve">125, 137, </t>
  </si>
  <si>
    <t xml:space="preserve">124, 137, </t>
  </si>
  <si>
    <t>Campbeltown peninsula</t>
  </si>
  <si>
    <t>horned cairns</t>
  </si>
  <si>
    <t xml:space="preserve">Zetland </t>
  </si>
  <si>
    <t xml:space="preserve">140-1, 144, 146, </t>
  </si>
  <si>
    <t>Caithness tombs</t>
  </si>
  <si>
    <t xml:space="preserve">140-2, 146, </t>
  </si>
  <si>
    <t xml:space="preserve">141-2, </t>
  </si>
  <si>
    <t>Bookan    Buckan</t>
  </si>
  <si>
    <t xml:space="preserve">141, 146, </t>
  </si>
  <si>
    <t xml:space="preserve">142-3, </t>
  </si>
  <si>
    <t>Holm of Papa Westray North</t>
  </si>
  <si>
    <t>Holm of Papa Westray South</t>
  </si>
  <si>
    <t xml:space="preserve">143, </t>
  </si>
  <si>
    <t xml:space="preserve">143, 145, </t>
  </si>
  <si>
    <t>N/EBA general  Pottery type-site</t>
  </si>
  <si>
    <t xml:space="preserve">60, 106-7, 142-4, </t>
  </si>
  <si>
    <t>Wick</t>
  </si>
  <si>
    <t>Ross-shire</t>
  </si>
  <si>
    <t xml:space="preserve">61, 145, </t>
  </si>
  <si>
    <t>Cairn Kenny</t>
  </si>
  <si>
    <t>Kenny's Cairn                   Cairn Hanach</t>
  </si>
  <si>
    <t>Sandhill Smithy</t>
  </si>
  <si>
    <t>Point of Cott</t>
  </si>
  <si>
    <t>Kierfea Hill</t>
  </si>
  <si>
    <t xml:space="preserve">128, 140-2, 144, 146, 148, </t>
  </si>
  <si>
    <t xml:space="preserve">146, 148, </t>
  </si>
  <si>
    <t xml:space="preserve">58, 60, 144, 149, </t>
  </si>
  <si>
    <t>Ulbster</t>
  </si>
  <si>
    <t>far north-east corner</t>
  </si>
  <si>
    <t xml:space="preserve">147-8, </t>
  </si>
  <si>
    <t>South Yarrows South</t>
  </si>
  <si>
    <t>Knowe of Lairo               Hullion       Frotoft</t>
  </si>
  <si>
    <t>Torboll                              Carn Liath</t>
  </si>
  <si>
    <t>northern Invernessshire</t>
  </si>
  <si>
    <t>Culburnie</t>
  </si>
  <si>
    <t>Avielochan                         West Cairn</t>
  </si>
  <si>
    <t xml:space="preserve">152-4, </t>
  </si>
  <si>
    <t xml:space="preserve">153-4, </t>
  </si>
  <si>
    <t>Gask</t>
  </si>
  <si>
    <t>Grenish</t>
  </si>
  <si>
    <t xml:space="preserve">152, 154, </t>
  </si>
  <si>
    <t>Fourknocks I</t>
  </si>
  <si>
    <t>Maeve's Cairn                  Queen Maeve's tomb</t>
  </si>
  <si>
    <t>Passage tomb        Large round cairn</t>
  </si>
  <si>
    <t>Loughcrew T               Sliabh na Callighe</t>
  </si>
  <si>
    <t xml:space="preserve">25, 155-6, </t>
  </si>
  <si>
    <t xml:space="preserve">155, 158, </t>
  </si>
  <si>
    <t>Carns Hill</t>
  </si>
  <si>
    <t>Culleenmore</t>
  </si>
  <si>
    <t>Garvogue River</t>
  </si>
  <si>
    <t xml:space="preserve">37, 155-9, </t>
  </si>
  <si>
    <t xml:space="preserve">155-7, 161, </t>
  </si>
  <si>
    <t>Loughcrew                   Liabh n Callighe</t>
  </si>
  <si>
    <t>Cairn M    King's Mountain</t>
  </si>
  <si>
    <t xml:space="preserve">62, 138, 155, 157-8, 162, </t>
  </si>
  <si>
    <t xml:space="preserve">52, 56, 162, </t>
  </si>
  <si>
    <t>Boyne River</t>
  </si>
  <si>
    <t>Shannon River</t>
  </si>
  <si>
    <t>Carbane East</t>
  </si>
  <si>
    <t>Carbane West</t>
  </si>
  <si>
    <t>Patrickstown</t>
  </si>
  <si>
    <t>Irish passage tombs</t>
  </si>
  <si>
    <t xml:space="preserve">155, 157, 159, </t>
  </si>
  <si>
    <t xml:space="preserve">12, 137, 155, </t>
  </si>
  <si>
    <t xml:space="preserve">135, 139, 163, </t>
  </si>
  <si>
    <t xml:space="preserve">140, 155-7, 161-3, </t>
  </si>
  <si>
    <t>Ballintemple</t>
  </si>
  <si>
    <t>Ballyhoneen</t>
  </si>
  <si>
    <t>Labbacallee</t>
  </si>
  <si>
    <t>Glanworth</t>
  </si>
  <si>
    <t>Ballyedmonduff</t>
  </si>
  <si>
    <t>Baurnadomeeny</t>
  </si>
  <si>
    <t xml:space="preserve">163-4, </t>
  </si>
  <si>
    <t xml:space="preserve">48, 56, 146, 154, </t>
  </si>
  <si>
    <t>Invernessshire</t>
  </si>
  <si>
    <t xml:space="preserve">148, 154, </t>
  </si>
  <si>
    <t xml:space="preserve">29, 37, 46, 138, 154, 161, 163, </t>
  </si>
  <si>
    <t>Timber circle          Henge</t>
  </si>
  <si>
    <t>Hatfield Barrow</t>
  </si>
  <si>
    <t>Marden</t>
  </si>
  <si>
    <t>Northumbria</t>
  </si>
  <si>
    <t xml:space="preserve">51, 169, </t>
  </si>
  <si>
    <t>170,</t>
  </si>
  <si>
    <t>River Swale</t>
  </si>
  <si>
    <t>River Ure</t>
  </si>
  <si>
    <t xml:space="preserve">172, </t>
  </si>
  <si>
    <t>Cairnpapple Hill</t>
  </si>
  <si>
    <t xml:space="preserve">12, 170-1, 174, </t>
  </si>
  <si>
    <t xml:space="preserve">163, 171, 174, </t>
  </si>
  <si>
    <t xml:space="preserve">78, 155-7, 175, </t>
  </si>
  <si>
    <t xml:space="preserve">167, 172, 175, </t>
  </si>
  <si>
    <t>Cursus   Causewayed enclosure   Round barrows</t>
  </si>
  <si>
    <t>Hastings Hill Farm</t>
  </si>
  <si>
    <t>Sunderland</t>
  </si>
  <si>
    <t>Clashindarroch                Wormy Hillock</t>
  </si>
  <si>
    <t xml:space="preserve">127, 162, </t>
  </si>
  <si>
    <t>Dowth  Henge Q</t>
  </si>
  <si>
    <t xml:space="preserve">176, </t>
  </si>
  <si>
    <t xml:space="preserve">175-6, </t>
  </si>
  <si>
    <t>Knowlton Great Barrow</t>
  </si>
  <si>
    <t>Croft Moraig                     Croftmoraig</t>
  </si>
  <si>
    <t>Stone circle       Timber circle</t>
  </si>
  <si>
    <t xml:space="preserve">169, 170-1, 174, 177, </t>
  </si>
  <si>
    <t xml:space="preserve">29, 30, 74, 82, 93, 169, 170, </t>
  </si>
  <si>
    <t>Neolithic complex</t>
  </si>
  <si>
    <t xml:space="preserve">West Kennet </t>
  </si>
  <si>
    <t>Enclosures</t>
  </si>
  <si>
    <t xml:space="preserve">59, 180, </t>
  </si>
  <si>
    <t xml:space="preserve">63, 180, </t>
  </si>
  <si>
    <t xml:space="preserve">168, 180, </t>
  </si>
  <si>
    <t xml:space="preserve">32, 168, 172, 175, 181, </t>
  </si>
  <si>
    <t xml:space="preserve">176-7, 181, </t>
  </si>
  <si>
    <t xml:space="preserve">63, 168-9, 172, 175, 180-1, </t>
  </si>
  <si>
    <t xml:space="preserve">176, 181, </t>
  </si>
  <si>
    <t xml:space="preserve">98, 181, </t>
  </si>
  <si>
    <t>Hindwell Farm</t>
  </si>
  <si>
    <t>Pont-ar-daf</t>
  </si>
  <si>
    <t>Withybush</t>
  </si>
  <si>
    <t>Timber circle      Enclosure</t>
  </si>
  <si>
    <t xml:space="preserve">169, 181, </t>
  </si>
  <si>
    <t xml:space="preserve">169, 170, 175, 181, </t>
  </si>
  <si>
    <t xml:space="preserve">166, 170, 175, 181, </t>
  </si>
  <si>
    <t xml:space="preserve">179, 181, </t>
  </si>
  <si>
    <t xml:space="preserve">167, 182, </t>
  </si>
  <si>
    <t xml:space="preserve">33, 98, 182, </t>
  </si>
  <si>
    <t>Passage tomb cemetery    Timber circle</t>
  </si>
  <si>
    <t xml:space="preserve">167, 175, 178, 182, </t>
  </si>
  <si>
    <t xml:space="preserve">98, 181, 184, </t>
  </si>
  <si>
    <t>Timber settings</t>
  </si>
  <si>
    <t>South barrow</t>
  </si>
  <si>
    <t>Lugg</t>
  </si>
  <si>
    <t>Concentric post settings   Henge</t>
  </si>
  <si>
    <t xml:space="preserve">184, </t>
  </si>
  <si>
    <t>Penrith</t>
  </si>
  <si>
    <t xml:space="preserve">12, 127, 134, 162, </t>
  </si>
  <si>
    <t xml:space="preserve">113, 124, 181, </t>
  </si>
  <si>
    <t xml:space="preserve">120, 132, 181, </t>
  </si>
  <si>
    <t xml:space="preserve">57, 181, </t>
  </si>
  <si>
    <t>Radnor Valley</t>
  </si>
  <si>
    <t>Walton Basin</t>
  </si>
  <si>
    <t xml:space="preserve">78, 140, 154-7, 175, </t>
  </si>
  <si>
    <t>River Lyne</t>
  </si>
  <si>
    <t xml:space="preserve">102, 181, </t>
  </si>
  <si>
    <t xml:space="preserve">64, 135, 163, 184, </t>
  </si>
  <si>
    <t xml:space="preserve">136, 184, </t>
  </si>
  <si>
    <t xml:space="preserve">135, 139, 178, 181-2, </t>
  </si>
  <si>
    <t xml:space="preserve">136, 162, </t>
  </si>
  <si>
    <t xml:space="preserve">31, 63, 176-7, 180, 187, </t>
  </si>
  <si>
    <t xml:space="preserve">34, 180, 187, </t>
  </si>
  <si>
    <t xml:space="preserve">12, 188, </t>
  </si>
  <si>
    <t>north-central Ireland</t>
  </si>
  <si>
    <t xml:space="preserve">46, 133, 154, 188, </t>
  </si>
  <si>
    <t>Machrie Moor Circle XV</t>
  </si>
  <si>
    <t>Machrie Moor Circle I</t>
  </si>
  <si>
    <t xml:space="preserve">35, 89, 124, 137, 169, 176, 181, 189, </t>
  </si>
  <si>
    <t xml:space="preserve">30, 137, 146, 189, </t>
  </si>
  <si>
    <t>Cumbrian coast</t>
  </si>
  <si>
    <t>Morayshire</t>
  </si>
  <si>
    <t xml:space="preserve">12, 78, 91, 105, 127, 129, 188-9, </t>
  </si>
  <si>
    <t xml:space="preserve">175, 190, </t>
  </si>
  <si>
    <t xml:space="preserve">175, 188, 190, </t>
  </si>
  <si>
    <t>Leskernick</t>
  </si>
  <si>
    <t>Stone circles   Stone rows   Settlement</t>
  </si>
  <si>
    <t>Altarnun</t>
  </si>
  <si>
    <t>Cosdon</t>
  </si>
  <si>
    <t>Stone row  Cairn  Settlement</t>
  </si>
  <si>
    <t xml:space="preserve">41, 190, </t>
  </si>
  <si>
    <t xml:space="preserve">171, 174, 190, </t>
  </si>
  <si>
    <t xml:space="preserve">155, 190, </t>
  </si>
  <si>
    <t xml:space="preserve">191, </t>
  </si>
  <si>
    <t>Broadlee                        Broadlea</t>
  </si>
  <si>
    <t>Whitcastles                     Little Hartfell</t>
  </si>
  <si>
    <t xml:space="preserve">30, 191, </t>
  </si>
  <si>
    <t xml:space="preserve">30, 44, 191, </t>
  </si>
  <si>
    <t xml:space="preserve">178, 181-2, 184-5, 192, </t>
  </si>
  <si>
    <t xml:space="preserve">190, 192, </t>
  </si>
  <si>
    <t xml:space="preserve">192, 194, </t>
  </si>
  <si>
    <t xml:space="preserve">172-3, 175-7, 189, 190, 192, 194, </t>
  </si>
  <si>
    <t xml:space="preserve">195, </t>
  </si>
  <si>
    <t xml:space="preserve">190, 195, </t>
  </si>
  <si>
    <t>Rollright Stones               King's men</t>
  </si>
  <si>
    <t xml:space="preserve">23, 189, 195, </t>
  </si>
  <si>
    <t xml:space="preserve">195-6, </t>
  </si>
  <si>
    <t xml:space="preserve">190-1, 196, </t>
  </si>
  <si>
    <t>Park Gate</t>
  </si>
  <si>
    <t>King Arthur's Hall</t>
  </si>
  <si>
    <t xml:space="preserve">140, 155, 157-8, 161, 194, 196, </t>
  </si>
  <si>
    <t xml:space="preserve">192, 196, </t>
  </si>
  <si>
    <t>Ardlair  Holywell</t>
  </si>
  <si>
    <t>Stone circle      Cremation pit</t>
  </si>
  <si>
    <t>Haltadans        Gravins          Fetlar</t>
  </si>
  <si>
    <t>Fetlar</t>
  </si>
  <si>
    <t>Rounds of Tivla                   Cressa Field</t>
  </si>
  <si>
    <t xml:space="preserve">175, 190, 193-5, 197, </t>
  </si>
  <si>
    <t xml:space="preserve">35, 176, 189, 196-7, </t>
  </si>
  <si>
    <t xml:space="preserve">198, </t>
  </si>
  <si>
    <t xml:space="preserve">166, 170, 175, 187, 198-9, </t>
  </si>
  <si>
    <t xml:space="preserve">198-9, </t>
  </si>
  <si>
    <t xml:space="preserve">35, 167, 188, 196, 199, </t>
  </si>
  <si>
    <t>Thornborough South</t>
  </si>
  <si>
    <t>Henge  Pit alignment</t>
  </si>
  <si>
    <t xml:space="preserve">199, </t>
  </si>
  <si>
    <t xml:space="preserve">201, </t>
  </si>
  <si>
    <t xml:space="preserve">174, 201, </t>
  </si>
  <si>
    <t xml:space="preserve">36-7, 43, 47, 56, 201, </t>
  </si>
  <si>
    <t xml:space="preserve">12, 171, 191, 201, </t>
  </si>
  <si>
    <t xml:space="preserve">172, 176, 194, 197, 202, </t>
  </si>
  <si>
    <t xml:space="preserve">192, 202, </t>
  </si>
  <si>
    <t xml:space="preserve">175, 190, 192, 203, </t>
  </si>
  <si>
    <t xml:space="preserve">31, 168, 173, 175, 202, 204, </t>
  </si>
  <si>
    <t xml:space="preserve">166, 175, 186-7, 190, 192, 197, 204, </t>
  </si>
  <si>
    <t xml:space="preserve">204, </t>
  </si>
  <si>
    <t xml:space="preserve">148, 151-2, 175, 204, </t>
  </si>
  <si>
    <t xml:space="preserve">58, 60, 65, 68, 141, 204, </t>
  </si>
  <si>
    <t xml:space="preserve">60, 187, 197, 204, </t>
  </si>
  <si>
    <t xml:space="preserve">187, 197, 204, </t>
  </si>
  <si>
    <t xml:space="preserve">12, 35, 40-1, 46-8, 55, 57-8, 61, 65-6, 68-9, 70, 148, 150, 197, </t>
  </si>
  <si>
    <t xml:space="preserve">34, 50, 189, 192, </t>
  </si>
  <si>
    <t xml:space="preserve">194, 196, </t>
  </si>
  <si>
    <t xml:space="preserve">174, 191, 195, </t>
  </si>
  <si>
    <t xml:space="preserve">107, 196, </t>
  </si>
  <si>
    <t xml:space="preserve">113, 124, 188, 194, </t>
  </si>
  <si>
    <t xml:space="preserve">56, 61-2, 195-6, </t>
  </si>
  <si>
    <t xml:space="preserve">62, 135, 138-9, 158, 161, 163, 194, </t>
  </si>
  <si>
    <t xml:space="preserve">47, 56, 62, 139, 163, 201, </t>
  </si>
  <si>
    <t xml:space="preserve">84, 99, 100, 190, 199, </t>
  </si>
  <si>
    <t xml:space="preserve">129, 196, </t>
  </si>
  <si>
    <t xml:space="preserve">13, 103, 158, 196, </t>
  </si>
  <si>
    <t xml:space="preserve">55, 133, 135, 140, 155, 181, 198, </t>
  </si>
  <si>
    <t xml:space="preserve">12, 147-9, 201, </t>
  </si>
  <si>
    <t>Lybster</t>
  </si>
  <si>
    <t xml:space="preserve">33-4, 98-9, 100, 199, 205, </t>
  </si>
  <si>
    <t xml:space="preserve">33-4, 98-9, 205, </t>
  </si>
  <si>
    <t xml:space="preserve">33, 76, 84, 205, </t>
  </si>
  <si>
    <t xml:space="preserve">205, </t>
  </si>
  <si>
    <t xml:space="preserve">183, 185, 205, </t>
  </si>
  <si>
    <t xml:space="preserve">183, 205, </t>
  </si>
  <si>
    <t xml:space="preserve">183-4, 205, </t>
  </si>
  <si>
    <t xml:space="preserve">177, 183, 205, </t>
  </si>
  <si>
    <t xml:space="preserve">34, 205, </t>
  </si>
  <si>
    <t xml:space="preserve">48, 50-1, 55, 206, </t>
  </si>
  <si>
    <t xml:space="preserve">51, 54-5, 60, 141, 206, </t>
  </si>
  <si>
    <t>Flint mines</t>
  </si>
  <si>
    <t xml:space="preserve">206, </t>
  </si>
  <si>
    <t xml:space="preserve">99, 105, 205, </t>
  </si>
  <si>
    <t xml:space="preserve">212, </t>
  </si>
  <si>
    <t xml:space="preserve">137, 212, </t>
  </si>
  <si>
    <t xml:space="preserve">30, 77, 213, </t>
  </si>
  <si>
    <t xml:space="preserve">211, </t>
  </si>
  <si>
    <t xml:space="preserve">84, 208, </t>
  </si>
  <si>
    <t xml:space="preserve">129, 130, 136, 208, </t>
  </si>
  <si>
    <t xml:space="preserve">137, 211, </t>
  </si>
  <si>
    <t xml:space="preserve">12, 48-9, 50, 57, 59, 64, 99, 125, 189, 191, 211, </t>
  </si>
  <si>
    <t xml:space="preserve">123, 213, </t>
  </si>
  <si>
    <t xml:space="preserve">175, 213, </t>
  </si>
  <si>
    <t xml:space="preserve">213, </t>
  </si>
  <si>
    <t xml:space="preserve">211, 213, </t>
  </si>
  <si>
    <t xml:space="preserve">215, </t>
  </si>
  <si>
    <t xml:space="preserve">51, 64, 70, 215, </t>
  </si>
  <si>
    <t xml:space="preserve">10, 216, </t>
  </si>
  <si>
    <t xml:space="preserve">10, 209, 216, </t>
  </si>
  <si>
    <t xml:space="preserve">216, </t>
  </si>
  <si>
    <t xml:space="preserve">24, 32, 43, 76, 100, 114, 176, 181, 189, 190, 211, 216, </t>
  </si>
  <si>
    <t xml:space="preserve">72, 75, 78, 82, 216, </t>
  </si>
  <si>
    <t xml:space="preserve">123, 216, </t>
  </si>
  <si>
    <t>Den of Boddam               Boddam Den</t>
  </si>
  <si>
    <t>Ballygalley Hill</t>
  </si>
  <si>
    <t>Neolithic opencast mine</t>
  </si>
  <si>
    <t xml:space="preserve">137, 216, </t>
  </si>
  <si>
    <t>South Dorset</t>
  </si>
  <si>
    <t xml:space="preserve">35, 106-7, 137, 176, 189, 196-7, 216, </t>
  </si>
  <si>
    <t xml:space="preserve">90, 216, </t>
  </si>
  <si>
    <t xml:space="preserve">53, 114, 216, </t>
  </si>
  <si>
    <t xml:space="preserve">91, 213, </t>
  </si>
  <si>
    <t xml:space="preserve">71, 128, 213, </t>
  </si>
  <si>
    <t xml:space="preserve">191, 216, </t>
  </si>
  <si>
    <t>Peterhead</t>
  </si>
  <si>
    <t xml:space="preserve">56, 78, 124, 139, 163, 167, 177, 215, </t>
  </si>
  <si>
    <t xml:space="preserve">62, 64, 89, 135, 216, </t>
  </si>
  <si>
    <t xml:space="preserve">122, 213, </t>
  </si>
  <si>
    <t xml:space="preserve">218, </t>
  </si>
  <si>
    <t>Conygar Hill</t>
  </si>
  <si>
    <t>Settlement      Round barrows</t>
  </si>
  <si>
    <t>Ballyclare</t>
  </si>
  <si>
    <t>northern Cotswolds</t>
  </si>
  <si>
    <t xml:space="preserve">219, </t>
  </si>
  <si>
    <t xml:space="preserve">216, 218-9, </t>
  </si>
  <si>
    <t>Towthorpe</t>
  </si>
  <si>
    <t>Barrow cemetery  EN pottery type-site</t>
  </si>
  <si>
    <t xml:space="preserve">216, 219, 220, </t>
  </si>
  <si>
    <t>Kilmarnock</t>
  </si>
  <si>
    <t xml:space="preserve">34, 221, </t>
  </si>
  <si>
    <t>East Knoyle</t>
  </si>
  <si>
    <t>Find site</t>
  </si>
  <si>
    <t>Barnes Lower</t>
  </si>
  <si>
    <t>Cup and ring marked stones  Find spot</t>
  </si>
  <si>
    <t>Millford</t>
  </si>
  <si>
    <t xml:space="preserve">24, 32, 34, 43, 84, 100, 113, 119, 218, 222, </t>
  </si>
  <si>
    <t xml:space="preserve">218, 220, 223, </t>
  </si>
  <si>
    <t xml:space="preserve">220, 223, </t>
  </si>
  <si>
    <t xml:space="preserve">124, 218, 220, 223, </t>
  </si>
  <si>
    <t xml:space="preserve">147, 225, </t>
  </si>
  <si>
    <t xml:space="preserve">135, 138-9, 225, </t>
  </si>
  <si>
    <t xml:space="preserve">181, 212, 218, 222, 225, </t>
  </si>
  <si>
    <t>???</t>
  </si>
  <si>
    <t>Claigharg</t>
  </si>
  <si>
    <t>Find spot</t>
  </si>
  <si>
    <t>Mullaghcrew</t>
  </si>
  <si>
    <t xml:space="preserve">167, 182, 208, 214, 216, 220, </t>
  </si>
  <si>
    <t xml:space="preserve">97, 219, </t>
  </si>
  <si>
    <t xml:space="preserve">23, 32, 38, 43, 71, 74, 76, 120-1, 129, 132, 168, 179, 190, 192, 199, 216, 224, </t>
  </si>
  <si>
    <t>Bavant</t>
  </si>
  <si>
    <t>Fyfield</t>
  </si>
  <si>
    <t xml:space="preserve">224-5, </t>
  </si>
  <si>
    <t>English-Welsh</t>
  </si>
  <si>
    <t>food vessels</t>
  </si>
  <si>
    <t xml:space="preserve">223, </t>
  </si>
  <si>
    <t xml:space="preserve">24, 29, 74, 93, 112, 122, 129, 193, 196, 215-6, 223, </t>
  </si>
  <si>
    <t xml:space="preserve">215, 227, </t>
  </si>
  <si>
    <t xml:space="preserve">215-6, 227, </t>
  </si>
  <si>
    <t xml:space="preserve">12, 100, 122, 124, 169, 219, 220, 227, </t>
  </si>
  <si>
    <t xml:space="preserve">12, 45-6, 54-5, 58, 60-1, 65, 68, 106, 112, 127, 151, 169, 189, 190, 192, 197, 203-4, 228, </t>
  </si>
  <si>
    <t xml:space="preserve">228, </t>
  </si>
  <si>
    <t>Ehenside Tarn I</t>
  </si>
  <si>
    <t>Ehenside Tarn II</t>
  </si>
  <si>
    <t>Solway Moss</t>
  </si>
  <si>
    <t>Coll</t>
  </si>
  <si>
    <t>Shulishader</t>
  </si>
  <si>
    <t>Port Talbot</t>
  </si>
  <si>
    <t>West Glamorgan</t>
  </si>
  <si>
    <t>Edercloon</t>
  </si>
  <si>
    <t xml:space="preserve">23, 31-2, 40, 108, 129, 168-9, 172-3, 176-7, 180, 184-5, 187, 189, 190, 197, 199, 202, 229, </t>
  </si>
  <si>
    <t xml:space="preserve">229, </t>
  </si>
  <si>
    <t xml:space="preserve">180, 185, 199, 229, </t>
  </si>
  <si>
    <t xml:space="preserve">179, 230, </t>
  </si>
  <si>
    <t xml:space="preserve">Gabbroic </t>
  </si>
  <si>
    <t>pottery / clay</t>
  </si>
  <si>
    <t xml:space="preserve">228, 231, </t>
  </si>
  <si>
    <t xml:space="preserve">24, 31, 42, 71-4, 76, 80-1, 202, 211, 216, 219, 230-1, </t>
  </si>
  <si>
    <t xml:space="preserve">55, 213-4, 227-8, 232, </t>
  </si>
  <si>
    <t xml:space="preserve">213, 228, 233, </t>
  </si>
  <si>
    <t xml:space="preserve">229, 230, 233, </t>
  </si>
  <si>
    <t xml:space="preserve">234, </t>
  </si>
  <si>
    <t>Neolithic enclosure   Pottery type-site</t>
  </si>
  <si>
    <t>General N/EBA Pottery type-site</t>
  </si>
  <si>
    <t>Settlement  Pottery type-site</t>
  </si>
  <si>
    <t xml:space="preserve">235, </t>
  </si>
  <si>
    <t>Brackmont Mill</t>
  </si>
  <si>
    <t>Cremation cemetery  Pottery type-site</t>
  </si>
  <si>
    <t>NE Fife</t>
  </si>
  <si>
    <t xml:space="preserve">10, 55, 230-2, 234, 236, </t>
  </si>
  <si>
    <t>Boghead</t>
  </si>
  <si>
    <t>Cairn   Pottery type-site</t>
  </si>
  <si>
    <t xml:space="preserve">49, 52, 58, 75, 77-8, 89, 237, </t>
  </si>
  <si>
    <t xml:space="preserve">236, </t>
  </si>
  <si>
    <t xml:space="preserve">117, 236, </t>
  </si>
  <si>
    <t xml:space="preserve">133, 135, 236, </t>
  </si>
  <si>
    <t xml:space="preserve">55, 236, </t>
  </si>
  <si>
    <t xml:space="preserve">215, 236, </t>
  </si>
  <si>
    <t>Pitcaple</t>
  </si>
  <si>
    <t xml:space="preserve">124-5, 196, 236, </t>
  </si>
  <si>
    <t xml:space="preserve">142-4, 236, </t>
  </si>
  <si>
    <t xml:space="preserve">147-8, 236, </t>
  </si>
  <si>
    <t xml:space="preserve">231, 234, 237, </t>
  </si>
  <si>
    <t xml:space="preserve">31, 122, 219, 221-2, 224, 237, </t>
  </si>
  <si>
    <t xml:space="preserve">237, </t>
  </si>
  <si>
    <t xml:space="preserve">32, 74, 84-5, 87, 212, 218, 237, </t>
  </si>
  <si>
    <t xml:space="preserve">225, 237, </t>
  </si>
  <si>
    <t>Hyland's House</t>
  </si>
  <si>
    <t>Chelm's Combe</t>
  </si>
  <si>
    <t>Pottery type-site</t>
  </si>
  <si>
    <t>N/EBA general    Hilltop  Pottery type-site</t>
  </si>
  <si>
    <t xml:space="preserve">235, 239, </t>
  </si>
  <si>
    <t>Grooved Ware                 Rinyo-Clacton</t>
  </si>
  <si>
    <t>Settlement   Pottery type-site</t>
  </si>
  <si>
    <t xml:space="preserve">33, 63, 98, 167-8, 177, 180-1, 197, 205, 235, 239, </t>
  </si>
  <si>
    <t>Woodlands</t>
  </si>
  <si>
    <t xml:space="preserve">62, 240, </t>
  </si>
  <si>
    <t xml:space="preserve">234, 238, 240, </t>
  </si>
  <si>
    <t xml:space="preserve">232, 234-6, 240, </t>
  </si>
  <si>
    <t xml:space="preserve">57, 63, 241, </t>
  </si>
  <si>
    <t xml:space="preserve">120, 130, 241, </t>
  </si>
  <si>
    <t xml:space="preserve">236, 241, </t>
  </si>
  <si>
    <t>Hiberno-Scottish bowls</t>
  </si>
  <si>
    <t>Scotland Ireland</t>
  </si>
  <si>
    <t xml:space="preserve">243, </t>
  </si>
  <si>
    <t xml:space="preserve">163, 196, 243, </t>
  </si>
  <si>
    <t xml:space="preserve">235, 239, 244, </t>
  </si>
  <si>
    <t xml:space="preserve">31, 43, 51, 53, 72-6, 93, 95-7, 218, 221-2, 228-9, 231, 237, 244, </t>
  </si>
  <si>
    <t xml:space="preserve">118, 123, 244, </t>
  </si>
  <si>
    <t xml:space="preserve">166, 175, 190, 197, 204, 244, </t>
  </si>
  <si>
    <t xml:space="preserve">61, 65, 244, </t>
  </si>
  <si>
    <t>Henge  Pottery type-site</t>
  </si>
  <si>
    <t xml:space="preserve">49, 55, 245, </t>
  </si>
  <si>
    <t xml:space="preserve">241, 245, </t>
  </si>
  <si>
    <t xml:space="preserve">236, 245, </t>
  </si>
  <si>
    <t>Corp Farm</t>
  </si>
  <si>
    <t>Upper Ninepence</t>
  </si>
  <si>
    <t>Bryn Derwen</t>
  </si>
  <si>
    <t>Burton Agnes</t>
  </si>
  <si>
    <t>Boynton</t>
  </si>
  <si>
    <t>Cam</t>
  </si>
  <si>
    <t>Pole's Wood</t>
  </si>
  <si>
    <t>Lion Point</t>
  </si>
  <si>
    <t>Roughground Farm</t>
  </si>
  <si>
    <t>Eilean an Tighe</t>
  </si>
  <si>
    <t xml:space="preserve">77, 82, 122-4, 175, 218, 220-1, 225, 228, 246, </t>
  </si>
  <si>
    <t xml:space="preserve">140, 157, 162, 238, 240, 246, </t>
  </si>
  <si>
    <t xml:space="preserve">157, 246, </t>
  </si>
  <si>
    <t xml:space="preserve">31, 38-9, 43, 108, 246, </t>
  </si>
  <si>
    <t xml:space="preserve">146, 246, </t>
  </si>
  <si>
    <t xml:space="preserve">144-5, 246, </t>
  </si>
  <si>
    <t xml:space="preserve">147, 246, </t>
  </si>
  <si>
    <t xml:space="preserve">145, 236, 246, </t>
  </si>
  <si>
    <t xml:space="preserve">33, 98, 168, 170, 172, 180, 202, 205, 218, 221, 225, 235, 239, 245-6, </t>
  </si>
  <si>
    <t xml:space="preserve">30, 51, 115, 247, </t>
  </si>
  <si>
    <t xml:space="preserve">30, 64, 247, </t>
  </si>
  <si>
    <t xml:space="preserve">64, 103, 120, 129, 130, 169, 170, 172-3, 175-6, 190, 192, 247, </t>
  </si>
  <si>
    <t xml:space="preserve">117, 231, 234, 236, 248, </t>
  </si>
  <si>
    <t xml:space="preserve">72, 74, 90, 231, 233-4, 237, 248, </t>
  </si>
  <si>
    <t xml:space="preserve">31, 41, 43, 47, 235, 238, 241, 243, 248, </t>
  </si>
  <si>
    <t xml:space="preserve">10, 50, 55, 57, 81, 90, 97, 119, 206-7, 219, 235, 238-9, 241, 243, 248, </t>
  </si>
  <si>
    <t xml:space="preserve">119, 235, 238-9, 241, 248, </t>
  </si>
  <si>
    <t xml:space="preserve">119, 122, 235, 238, 241, 248, </t>
  </si>
  <si>
    <t xml:space="preserve">49, 51, 231, 233-4, 237, 248, </t>
  </si>
  <si>
    <t xml:space="preserve">10, 81, 92, 207, 219, 231-2, 234, 237, 248, </t>
  </si>
  <si>
    <t xml:space="preserve">72, 75, 93, 122, 231, 233-4, 237, 245, 248, </t>
  </si>
  <si>
    <t xml:space="preserve">231-2, 234, 237, 248, </t>
  </si>
  <si>
    <t xml:space="preserve">219, 231, 234, 236, 239, 248, </t>
  </si>
  <si>
    <t xml:space="preserve">231, 234, 236, 248, </t>
  </si>
  <si>
    <t>Cursus  Monolith  Pottery type-site</t>
  </si>
  <si>
    <t xml:space="preserve">118, 235, 239, 241, 248, </t>
  </si>
  <si>
    <t>Settlement  Round cairn Pottery type-site</t>
  </si>
  <si>
    <t xml:space="preserve">235, 239, 241, 248, </t>
  </si>
  <si>
    <t xml:space="preserve">57, 59, 248, </t>
  </si>
  <si>
    <t xml:space="preserve">61, 248, </t>
  </si>
  <si>
    <t xml:space="preserve">238, 240, 248, </t>
  </si>
  <si>
    <t xml:space="preserve">62, 74, 78, 231-2, 234, 238, 240, 248, </t>
  </si>
  <si>
    <t xml:space="preserve">234, 238, 240, 248, </t>
  </si>
  <si>
    <t>Chambered tomb Pottery type-site</t>
  </si>
  <si>
    <t xml:space="preserve">235, 240, 242, 248, </t>
  </si>
  <si>
    <t xml:space="preserve">234, 236, 239, 248, </t>
  </si>
  <si>
    <t>Enclosure  Pottery type-site</t>
  </si>
  <si>
    <t xml:space="preserve">57, 179, 181, 235, 239, 241, 243, 248, </t>
  </si>
  <si>
    <t xml:space="preserve">144, 221, 234, 236, 239, 248, </t>
  </si>
  <si>
    <t xml:space="preserve">58, 60-1, 65, 223, 235, 239, 244, 248, </t>
  </si>
  <si>
    <t xml:space="preserve">110-2, 120, 132, 249, </t>
  </si>
  <si>
    <t xml:space="preserve">144-6, 225, 249, </t>
  </si>
  <si>
    <t xml:space="preserve">16, 31, 42-4, 108-9, 120, 129, 131-2, 229, 238, 241, 244, 249, </t>
  </si>
  <si>
    <t xml:space="preserve">149, 151, 249, </t>
  </si>
  <si>
    <t xml:space="preserve">96-7, 250, </t>
  </si>
  <si>
    <t xml:space="preserve">236, 250, </t>
  </si>
  <si>
    <t>Glasvaar</t>
  </si>
  <si>
    <t>Comillane                           Wedding stones</t>
  </si>
  <si>
    <t>Alignment  Cup and ring-marked stone</t>
  </si>
  <si>
    <t>Clear Island</t>
  </si>
  <si>
    <t xml:space="preserve">195, 250, </t>
  </si>
  <si>
    <t xml:space="preserve">156, 161-3, 250, </t>
  </si>
  <si>
    <t xml:space="preserve">155, 250, </t>
  </si>
  <si>
    <t xml:space="preserve">155, 157, 161, 246, 252, </t>
  </si>
  <si>
    <t xml:space="preserve">48, 141-4, 146-7, 149, 151, 169, 170, 175, 186-7, 223, 239, 255, </t>
  </si>
  <si>
    <t xml:space="preserve">152, 171, 255, </t>
  </si>
  <si>
    <t>Aberdeen</t>
  </si>
  <si>
    <t xml:space="preserve">255, </t>
  </si>
  <si>
    <t xml:space="preserve">124, 255, </t>
  </si>
  <si>
    <t xml:space="preserve">190, 239, 255, </t>
  </si>
  <si>
    <t xml:space="preserve">82, 100, 114, 117, 122-3, 170, 198, 254, </t>
  </si>
  <si>
    <t xml:space="preserve">54, 77, 80, 170-1, 174, 189, 190, 255, </t>
  </si>
  <si>
    <t xml:space="preserve">54-5, 57, 89, 97, 113, 124, 126-7, 175, 189, 190, 193, 195, 250, </t>
  </si>
  <si>
    <t>Stainmore Gap</t>
  </si>
  <si>
    <t xml:space="preserve">12, 30, 77, 113, 167, 170-2, 175, 188-9, 190-2, 194, 203, 210, 213, 215, 220, 227-8, 232, 255, </t>
  </si>
  <si>
    <t xml:space="preserve">137, 255, </t>
  </si>
  <si>
    <t xml:space="preserve">135, 255, </t>
  </si>
  <si>
    <t xml:space="preserve">163, 171, 174, 255, </t>
  </si>
  <si>
    <t xml:space="preserve">37, 40, 43, 155, 157-8, 160-1, 166, 170, 174-5, 196, 203, 255, </t>
  </si>
  <si>
    <t xml:space="preserve">10, 140, 152, 154, 194, 255, </t>
  </si>
  <si>
    <t xml:space="preserve">254, 256, </t>
  </si>
  <si>
    <t xml:space="preserve">37, 154-9, 160, 182, 184, 228, 242, 246, 251, 256, </t>
  </si>
  <si>
    <t xml:space="preserve">37, 102, 155-9, 160, 181, 192, 242, 252-3, 256, </t>
  </si>
  <si>
    <t xml:space="preserve">50, 64, 215, 246, 256, </t>
  </si>
  <si>
    <t xml:space="preserve">10, 206, 209, 211-4, 216, 220-2, 225, 244, 255, </t>
  </si>
  <si>
    <t xml:space="preserve">76, 257, </t>
  </si>
  <si>
    <t xml:space="preserve">48, 58, 60-1, 65-6, 141, 144, 206, 239, 244, 246, 257, </t>
  </si>
  <si>
    <t xml:space="preserve">9, 10, 23, 25, 32-4, 84, 98-9, 167, 169, 171, 175-7, 182-8, 190, 196, 198-9, 202, 204-5, 258, </t>
  </si>
  <si>
    <t xml:space="preserve">258, </t>
  </si>
  <si>
    <t xml:space="preserve">11-2, 18, 22-7, 29, 30-1, 40-5, 47-8, 57, 62, 64, 73-4, 80, 87, 103-4, 137-8, 141, 157, 165-7, 169, 175-7, 184-5, 191, 199, 200-1, 203-4, 207, 211, 213, 215-9, 220, 227, 229, 230, 242-3, 247, 249, 254-9, </t>
  </si>
  <si>
    <t xml:space="preserve">44, 48, 70, 97, 99, 107, 112, 115, 118, 167, 177, 188, 211, 213, 219, 220, 231, 234, 237-9, 243, 258, </t>
  </si>
  <si>
    <t xml:space="preserve">99, 107, 112, 127, 134, 167, 170, 177, 188, 231, 238, </t>
  </si>
  <si>
    <t xml:space="preserve">10-1, 45, 89, 99, 107, 127, 165, 167, 169, 177, 190-1, 210, 219, 227, 234, 236, 239, 243, </t>
  </si>
  <si>
    <t xml:space="preserve">11, 29, 45, 89, 99, 107, 127, 133-4, 165, 167, 169, 177, 190-1, 210, 219, 234, 243, </t>
  </si>
  <si>
    <t>mainland Britain</t>
  </si>
  <si>
    <t xml:space="preserve">99, 102, 220, 254, </t>
  </si>
  <si>
    <t xml:space="preserve">12, 29, 30, 48, 213, 215-6, 219, 220, 231-2, </t>
  </si>
  <si>
    <t xml:space="preserve">47, 52, 57-8, 78, 89, 127, 134, 136, 162, 190, 196, 208, 211, 213, 227, 231, </t>
  </si>
  <si>
    <t xml:space="preserve">30, 55, 57, 72, 75, 82, 97, 115, 216, 228, 231, 250, 258, </t>
  </si>
  <si>
    <t xml:space="preserve">122, 170, 250, </t>
  </si>
  <si>
    <t xml:space="preserve">47, 55, 82, 213, 239, </t>
  </si>
  <si>
    <t xml:space="preserve">24, 51, 74, 78, 89, 155, 189, 190, 231, </t>
  </si>
  <si>
    <t xml:space="preserve">30, 82, 112-4, 117, 122, 213, 216, 231, </t>
  </si>
  <si>
    <t xml:space="preserve">72, 75, 84, 90-1, 216, 231, </t>
  </si>
  <si>
    <t xml:space="preserve">23, 232, </t>
  </si>
  <si>
    <t xml:space="preserve">50, 128, 216, 238, </t>
  </si>
  <si>
    <t xml:space="preserve">75, 97, 120, 122-3, 171, 190, 192, 195, 250, </t>
  </si>
  <si>
    <t xml:space="preserve">83, 123, 250, </t>
  </si>
  <si>
    <t>Ouse Valley</t>
  </si>
  <si>
    <t xml:space="preserve">12, 32, 34, 40, 78, 80-1, 110, 112-3, 119, 166-7, 170-1, 173, 174, 176-7, 188-9, 203, 215, 239, 258, </t>
  </si>
  <si>
    <t xml:space="preserve">72, 75, 91, 238, </t>
  </si>
  <si>
    <t xml:space="preserve">72, 75, 78, 93, 105, 170, 177, 211, 213, 238, 250, </t>
  </si>
  <si>
    <t>north-east Midlands</t>
  </si>
  <si>
    <t xml:space="preserve">29, 49, 122, 177, 181, 189, 231, </t>
  </si>
  <si>
    <t xml:space="preserve">12, 29, 64, 72, 75, 77, 132, 188-9, 232-3, </t>
  </si>
  <si>
    <t xml:space="preserve">49, 233, </t>
  </si>
  <si>
    <t xml:space="preserve">30, 216, </t>
  </si>
  <si>
    <t xml:space="preserve">30, 77, 112-3, 117, 121, 124-5, 165, 177, 187, 189, 190, 213, 216, 231, 239, 243, 256, </t>
  </si>
  <si>
    <t xml:space="preserve">12, 29, 48-9, 50, 55, 57, 59, 99, 127, 130, 132-3, 135-6, 154-6, 181, 189, 190, 199, 211, 213, 220, 238, 241, </t>
  </si>
  <si>
    <t xml:space="preserve">133, 170, 211, 213-4, 233, </t>
  </si>
  <si>
    <t xml:space="preserve">78, 120, 228, </t>
  </si>
  <si>
    <t xml:space="preserve">12, 29, 34-5, 41, 51, 55, 57, 78, 99, 100, 102-3, 112-3, 124-5, 132, 138, 154-5, 165, 172, 177, 179, 181, 188-9, 190, 194-6, 215-6, 223, 231-2, 235, 239, 242-3, 250, </t>
  </si>
  <si>
    <t xml:space="preserve">30, 34, 137, 216, 239, </t>
  </si>
  <si>
    <t xml:space="preserve">36, 48, 102, 170, 189, 196, 239, </t>
  </si>
  <si>
    <t xml:space="preserve">18, 34, 141, 211, 215, 243, </t>
  </si>
  <si>
    <t xml:space="preserve">125, 128, 155, 239, </t>
  </si>
  <si>
    <t xml:space="preserve">171, 179, 189, 239, </t>
  </si>
  <si>
    <t xml:space="preserve">103, 137, 235, 239, 241, 248, </t>
  </si>
  <si>
    <t xml:space="preserve">35, 167, 188-9, 194, 196, 228, </t>
  </si>
  <si>
    <t xml:space="preserve">198, 228, </t>
  </si>
  <si>
    <t xml:space="preserve">37, 61, 156, 160, 181-2, 192, 228, 231, 251-3, </t>
  </si>
  <si>
    <t xml:space="preserve">155, 243, </t>
  </si>
  <si>
    <t xml:space="preserve">43, 155, 161, 170, 242, </t>
  </si>
  <si>
    <t xml:space="preserve">10, 12, 25, 29, 35, 37, 40, 45, 48, 51-2, 56, 59, 61, 64, 78, 89, 100, 102-3, 126, 132-6, 138, 155-7, 159, 163, 169, 181, 184, 188-9, 194, 203, 211, 214-5, 218-9, 220, 231, 234, 239, 240, 242-3, 247, 250, 255, </t>
  </si>
  <si>
    <t>Pryor</t>
  </si>
  <si>
    <t>east</t>
  </si>
  <si>
    <t>total mentions</t>
  </si>
  <si>
    <t>total no of references</t>
  </si>
  <si>
    <t>ratio</t>
  </si>
  <si>
    <t xml:space="preserve">xxviii, 114, 116, </t>
  </si>
  <si>
    <t xml:space="preserve">xxviii, </t>
  </si>
  <si>
    <t>University of Durham</t>
  </si>
  <si>
    <t>Thatcham</t>
  </si>
  <si>
    <t>Huntingdon</t>
  </si>
  <si>
    <t xml:space="preserve">xxvii, </t>
  </si>
  <si>
    <t>University of London</t>
  </si>
  <si>
    <t xml:space="preserve">xxvi, </t>
  </si>
  <si>
    <t>Grimsby</t>
  </si>
  <si>
    <t>Grimsby Fish Quay</t>
  </si>
  <si>
    <t xml:space="preserve">108, 113, </t>
  </si>
  <si>
    <t xml:space="preserve">109, 113, </t>
  </si>
  <si>
    <t xml:space="preserve">111, 113, </t>
  </si>
  <si>
    <t>eastern-central England</t>
  </si>
  <si>
    <t xml:space="preserve">xxvii, 118, </t>
  </si>
  <si>
    <t>Gough's Cave</t>
  </si>
  <si>
    <t>Boxgrove</t>
  </si>
  <si>
    <t xml:space="preserve">109, 123, </t>
  </si>
  <si>
    <t xml:space="preserve">107, 111, 132, </t>
  </si>
  <si>
    <t xml:space="preserve">136-7, 146, </t>
  </si>
  <si>
    <t xml:space="preserve">xxviii-xxix, 136, </t>
  </si>
  <si>
    <t xml:space="preserve">125, 129, 138, </t>
  </si>
  <si>
    <t xml:space="preserve">xxviii, 138, 147, </t>
  </si>
  <si>
    <t>Lakeland fell</t>
  </si>
  <si>
    <t xml:space="preserve">140, 145, 150, </t>
  </si>
  <si>
    <t xml:space="preserve">117, 128-9, </t>
  </si>
  <si>
    <t xml:space="preserve">139, 141, </t>
  </si>
  <si>
    <t>Museum of London</t>
  </si>
  <si>
    <t>Covent Garden</t>
  </si>
  <si>
    <t>Wimbledon</t>
  </si>
  <si>
    <t>Vauxhall Bridge</t>
  </si>
  <si>
    <t>Central London</t>
  </si>
  <si>
    <t xml:space="preserve">130, 137, </t>
  </si>
  <si>
    <t>Settlement   Mortuary enclosure</t>
  </si>
  <si>
    <t>North Peterborough</t>
  </si>
  <si>
    <t>Stamford</t>
  </si>
  <si>
    <t>Wisbech</t>
  </si>
  <si>
    <t>Shapwick</t>
  </si>
  <si>
    <t>Shapwick Burtle</t>
  </si>
  <si>
    <t>Enclosure     Settlement  Neolithic house</t>
  </si>
  <si>
    <t xml:space="preserve">139, 140-2, 157, </t>
  </si>
  <si>
    <t xml:space="preserve">129, 130-3, 147, 150, </t>
  </si>
  <si>
    <t xml:space="preserve">128-9, 130, 148, 150, </t>
  </si>
  <si>
    <t xml:space="preserve">140, 142, </t>
  </si>
  <si>
    <t>Ballygalley I</t>
  </si>
  <si>
    <t xml:space="preserve">144, 146, </t>
  </si>
  <si>
    <t>Morton Site A</t>
  </si>
  <si>
    <t>Durrington</t>
  </si>
  <si>
    <t>Whipsnade</t>
  </si>
  <si>
    <t>Mount Sandel</t>
  </si>
  <si>
    <t>Coleraine</t>
  </si>
  <si>
    <t>Settlement  Ceide fields</t>
  </si>
  <si>
    <t xml:space="preserve">135-6, 160, </t>
  </si>
  <si>
    <t xml:space="preserve">140, 145-6, 150-3, 155, 160, </t>
  </si>
  <si>
    <t>Mist of the Souls</t>
  </si>
  <si>
    <t>Welland Valley</t>
  </si>
  <si>
    <t xml:space="preserve">164-5, 167, </t>
  </si>
  <si>
    <t>fictional?</t>
  </si>
  <si>
    <t xml:space="preserve">144-5, 150, 169, </t>
  </si>
  <si>
    <t xml:space="preserve">170, 173, </t>
  </si>
  <si>
    <t xml:space="preserve">140, 146-7, 176, </t>
  </si>
  <si>
    <t xml:space="preserve">109, 112, 119, 123, 132, 175, </t>
  </si>
  <si>
    <t xml:space="preserve">178, </t>
  </si>
  <si>
    <t>Hereford &amp; Worcester</t>
  </si>
  <si>
    <t xml:space="preserve">126, 178, </t>
  </si>
  <si>
    <t xml:space="preserve">155, 170, </t>
  </si>
  <si>
    <t xml:space="preserve">113, 169, </t>
  </si>
  <si>
    <t xml:space="preserve">153, 155-6, 160, 169, </t>
  </si>
  <si>
    <t xml:space="preserve">xxviii, 178, </t>
  </si>
  <si>
    <t xml:space="preserve">147, 178, </t>
  </si>
  <si>
    <t xml:space="preserve">150, 179, </t>
  </si>
  <si>
    <t>Settlement  Pit deposits   Ditch</t>
  </si>
  <si>
    <t xml:space="preserve">179, 180-1, </t>
  </si>
  <si>
    <t>Maxey Henge I                       Great Henge</t>
  </si>
  <si>
    <t xml:space="preserve">185-6, </t>
  </si>
  <si>
    <t xml:space="preserve">168, 184-6, </t>
  </si>
  <si>
    <t xml:space="preserve">186, </t>
  </si>
  <si>
    <t>Holywood South</t>
  </si>
  <si>
    <t xml:space="preserve">186-8, </t>
  </si>
  <si>
    <t xml:space="preserve">186, 188, </t>
  </si>
  <si>
    <t xml:space="preserve">183, 188-9, </t>
  </si>
  <si>
    <t xml:space="preserve">188-9, </t>
  </si>
  <si>
    <t>Bottlebrush Hill</t>
  </si>
  <si>
    <t>Penbury Knoll</t>
  </si>
  <si>
    <t>Gussage Hill</t>
  </si>
  <si>
    <t>South Essex</t>
  </si>
  <si>
    <t xml:space="preserve">144-5, 179, 180, </t>
  </si>
  <si>
    <t xml:space="preserve">153-5, 191, </t>
  </si>
  <si>
    <t>Hazleton South</t>
  </si>
  <si>
    <t>Barrow Ground Field   Cotswolds</t>
  </si>
  <si>
    <t xml:space="preserve">192-3, </t>
  </si>
  <si>
    <t xml:space="preserve">203, </t>
  </si>
  <si>
    <t xml:space="preserve">203-4, </t>
  </si>
  <si>
    <t>Street House Farm</t>
  </si>
  <si>
    <t>Bronze Age barrow</t>
  </si>
  <si>
    <t xml:space="preserve">203-5, </t>
  </si>
  <si>
    <t xml:space="preserve">170, 206, </t>
  </si>
  <si>
    <t xml:space="preserve">183-6, 207, </t>
  </si>
  <si>
    <t xml:space="preserve">207, </t>
  </si>
  <si>
    <t>Neolithic oval barrows</t>
  </si>
  <si>
    <t xml:space="preserve">208-9, 210, 212, </t>
  </si>
  <si>
    <t>Avenue</t>
  </si>
  <si>
    <t>Barrow 201</t>
  </si>
  <si>
    <t xml:space="preserve">212-3, </t>
  </si>
  <si>
    <t xml:space="preserve">192, 194, 197-8, 204-5, </t>
  </si>
  <si>
    <t xml:space="preserve">191, 195, </t>
  </si>
  <si>
    <t xml:space="preserve">150, 153, 178, 196, </t>
  </si>
  <si>
    <t>Hartlepool</t>
  </si>
  <si>
    <t xml:space="preserve">125, 162, 205, </t>
  </si>
  <si>
    <t>Haddenham Fen</t>
  </si>
  <si>
    <t xml:space="preserve">141, 152, 168, 207, </t>
  </si>
  <si>
    <t xml:space="preserve">208, 210, </t>
  </si>
  <si>
    <t>Whitehall</t>
  </si>
  <si>
    <t>Bend of the Boyne</t>
  </si>
  <si>
    <t xml:space="preserve">191-8, 200, 202-3, 209, 214, </t>
  </si>
  <si>
    <t>Bru na Boinne ritual landscape</t>
  </si>
  <si>
    <t>Henge                Neolithic house   Ritual pond</t>
  </si>
  <si>
    <t xml:space="preserve">216-7, </t>
  </si>
  <si>
    <t xml:space="preserve">207-8, 217, </t>
  </si>
  <si>
    <t xml:space="preserve">146, 213, 217, </t>
  </si>
  <si>
    <t xml:space="preserve">216-8, </t>
  </si>
  <si>
    <t>Roof box'</t>
  </si>
  <si>
    <t>Passage tomb        Great mound</t>
  </si>
  <si>
    <t>Kerbstone 1</t>
  </si>
  <si>
    <t>Kerbstone 52</t>
  </si>
  <si>
    <t xml:space="preserve">221, 223, </t>
  </si>
  <si>
    <t xml:space="preserve">214-7, 225, </t>
  </si>
  <si>
    <t xml:space="preserve">133, 229, </t>
  </si>
  <si>
    <t>Glastonbury Tor</t>
  </si>
  <si>
    <t xml:space="preserve">116-7, 120, 190, 197, 231, </t>
  </si>
  <si>
    <t xml:space="preserve">137-9, 140-1, 232, </t>
  </si>
  <si>
    <t>Grooved Ware                       Rinyo-Clacton</t>
  </si>
  <si>
    <t xml:space="preserve">175, 236-7, </t>
  </si>
  <si>
    <t xml:space="preserve">182, 236-7, </t>
  </si>
  <si>
    <t xml:space="preserve">236-7, </t>
  </si>
  <si>
    <t xml:space="preserve">177-8, 181-2, 238, </t>
  </si>
  <si>
    <t>Routeway</t>
  </si>
  <si>
    <t>Stonehenge Avenue + 'Elbow'</t>
  </si>
  <si>
    <t xml:space="preserve">177, 238-9, </t>
  </si>
  <si>
    <t>Cursus barrows</t>
  </si>
  <si>
    <t xml:space="preserve">239, 240, </t>
  </si>
  <si>
    <t xml:space="preserve">241-2, </t>
  </si>
  <si>
    <t xml:space="preserve">170, 173-4, 192, 240-2, </t>
  </si>
  <si>
    <t xml:space="preserve">234, 241-2, </t>
  </si>
  <si>
    <t xml:space="preserve">192, 198-9, 200-3, 233-4, 240, 242, </t>
  </si>
  <si>
    <t xml:space="preserve">173, 198, 242-3, </t>
  </si>
  <si>
    <t xml:space="preserve">241-4, </t>
  </si>
  <si>
    <t xml:space="preserve">239, 240, 244, </t>
  </si>
  <si>
    <t xml:space="preserve">245, </t>
  </si>
  <si>
    <t>South Ronaldsay</t>
  </si>
  <si>
    <t xml:space="preserve">208, 247, </t>
  </si>
  <si>
    <t xml:space="preserve">151, 164, 168-9, 170, 172-4, 177-9, 182-3, 185, 194, 197, 205, 207, 209, 217, 247, </t>
  </si>
  <si>
    <t xml:space="preserve">246-8, </t>
  </si>
  <si>
    <t xml:space="preserve">207, 211-3, 217, 240, 251, </t>
  </si>
  <si>
    <t>Little Cressingham</t>
  </si>
  <si>
    <t xml:space="preserve">248-9, 250, 252-4, </t>
  </si>
  <si>
    <t xml:space="preserve">245-6, 250, 252-4, </t>
  </si>
  <si>
    <t xml:space="preserve">254-5, </t>
  </si>
  <si>
    <t xml:space="preserve">248, 254-5, </t>
  </si>
  <si>
    <t xml:space="preserve">214-9, 220-3, 225, 256, </t>
  </si>
  <si>
    <t xml:space="preserve">214-9, 220, 222, 225, 234, 256, </t>
  </si>
  <si>
    <t xml:space="preserve">137-8, 140, 145, 150, 183, 232-4, 238, 256, </t>
  </si>
  <si>
    <t xml:space="preserve">162-3, 170, 173, 192-3, 198-9, 207, 229, 230, 234, 240-3, 251, 255-6, </t>
  </si>
  <si>
    <t xml:space="preserve">213, 215-7, 256, </t>
  </si>
  <si>
    <t>Mynydd Hiraethog</t>
  </si>
  <si>
    <t>Moorland</t>
  </si>
  <si>
    <t>Brenig platform cairn  Site 51</t>
  </si>
  <si>
    <t xml:space="preserve">258-9, </t>
  </si>
  <si>
    <t>Barrow 47</t>
  </si>
  <si>
    <t xml:space="preserve">260, </t>
  </si>
  <si>
    <t xml:space="preserve">257-9, 260, </t>
  </si>
  <si>
    <t xml:space="preserve">240, 260, </t>
  </si>
  <si>
    <t xml:space="preserve">174-5, 237, 260, </t>
  </si>
  <si>
    <t>No: 53</t>
  </si>
  <si>
    <t>Barrow 45</t>
  </si>
  <si>
    <t>Barrow 44</t>
  </si>
  <si>
    <t xml:space="preserve">260-1, </t>
  </si>
  <si>
    <t xml:space="preserve">235, 238-9, 240, 261, </t>
  </si>
  <si>
    <t xml:space="preserve">213, 215-6, 256, 262, </t>
  </si>
  <si>
    <t xml:space="preserve">262, </t>
  </si>
  <si>
    <t xml:space="preserve">237-8, 263, </t>
  </si>
  <si>
    <t xml:space="preserve">233-5, 238-9, 240, 255, 261, 263, </t>
  </si>
  <si>
    <t xml:space="preserve">175, 238-9, 240, 253, 263, </t>
  </si>
  <si>
    <t xml:space="preserve">151, 162, 173-7, 182-3, 198, 207, 229, 230, 233-9, 240-1, 244, 250-3, 255-6, 262-3, </t>
  </si>
  <si>
    <t>Annaghbeg</t>
  </si>
  <si>
    <t xml:space="preserve">128, 156, 207, 235, 254, 266-9, </t>
  </si>
  <si>
    <t xml:space="preserve">xxv-xxix, 108, 111, 114-5, 117-8, 120-1, 124-5, 127-8, 132-9, 140, 144, 146-9, 150, 153, 156-9, 160, 162-4, 169, 172-4, 176, 179, 181, 183, 188, 191, 196, 207, 215, 217, 220, 222, 226, 229, 230-2, 235, 250, 252, 256, 262-3, 265-7, 269, </t>
  </si>
  <si>
    <t xml:space="preserve">xxviii, 258, </t>
  </si>
  <si>
    <t xml:space="preserve">146, 245, </t>
  </si>
  <si>
    <t xml:space="preserve">178, 232, </t>
  </si>
  <si>
    <t xml:space="preserve">150, 153, 234, </t>
  </si>
  <si>
    <t xml:space="preserve">170, 173, 189, 206, 235, </t>
  </si>
  <si>
    <t xml:space="preserve">140, 234, </t>
  </si>
  <si>
    <t>Derby</t>
  </si>
  <si>
    <t>north-west Leicestershire</t>
  </si>
  <si>
    <t>Nottingham</t>
  </si>
  <si>
    <t xml:space="preserve">128-9, 131, 190, 235, </t>
  </si>
  <si>
    <t xml:space="preserve">182, 235-9, </t>
  </si>
  <si>
    <t xml:space="preserve">163, 172-3, 182, 193, 198-9, 229, 233, 235, 262, 265, </t>
  </si>
  <si>
    <t xml:space="preserve">255, 263, </t>
  </si>
  <si>
    <t xml:space="preserve">153, 156, 251, 268, </t>
  </si>
  <si>
    <t xml:space="preserve">xxv-xxvi, xxviii, 114, 122, 130, 139, 143, 150, 153, 155, 174, 191-2, 198, 252, </t>
  </si>
  <si>
    <t xml:space="preserve">114, 152, 178, 193, 257, </t>
  </si>
  <si>
    <t xml:space="preserve">113, 149, 150, 257, </t>
  </si>
  <si>
    <t xml:space="preserve">120, 157, 232, 235, </t>
  </si>
  <si>
    <t xml:space="preserve">xxvi, xxviii-xxix, 107, 109, 111, 114, 126, 156, 204, 247, </t>
  </si>
  <si>
    <t>lowlands</t>
  </si>
  <si>
    <t xml:space="preserve">261, </t>
  </si>
  <si>
    <t xml:space="preserve">177, 207, 234, 250-1, 262, </t>
  </si>
  <si>
    <t xml:space="preserve">151, 239, </t>
  </si>
  <si>
    <t xml:space="preserve">xxvi, 139, 150, 262, </t>
  </si>
  <si>
    <t>Welsh mountains</t>
  </si>
  <si>
    <t xml:space="preserve">150, 258, 260, 262, </t>
  </si>
  <si>
    <t>Brenig Reservoir</t>
  </si>
  <si>
    <t>River Brenig</t>
  </si>
  <si>
    <t>River Dee</t>
  </si>
  <si>
    <t xml:space="preserve">xxviii, 124, 139, 179, 186, 202, 248, </t>
  </si>
  <si>
    <t>John O'Groats</t>
  </si>
  <si>
    <t xml:space="preserve">229, 230, 232, 240, 245-9, 252, 254-5, 262, </t>
  </si>
  <si>
    <t xml:space="preserve">xxviii, 107, 114, 118, 124, 135-7, 143-4, 146, 148, 158-9, 160, 164, 179, 180-1, 183, 202, 206, 213, 215-8, 220, 226, 232, 245, 256, 262, 266, 269, </t>
  </si>
  <si>
    <t xml:space="preserve">214, 219, 221, 223, </t>
  </si>
  <si>
    <t>Yorkshire (general)</t>
  </si>
  <si>
    <t xml:space="preserve">1, </t>
  </si>
  <si>
    <t xml:space="preserve">4, </t>
  </si>
  <si>
    <t xml:space="preserve">3, </t>
  </si>
  <si>
    <t xml:space="preserve">8, </t>
  </si>
  <si>
    <t xml:space="preserve">9, </t>
  </si>
  <si>
    <t>Fortingall Church</t>
  </si>
  <si>
    <t>Stone circles   Standing stones</t>
  </si>
  <si>
    <t xml:space="preserve">5, </t>
  </si>
  <si>
    <t xml:space="preserve">13, </t>
  </si>
  <si>
    <t>Portaferry</t>
  </si>
  <si>
    <t>Stone Point                         Walton on Naze</t>
  </si>
  <si>
    <t>Fallahogy</t>
  </si>
  <si>
    <t>Barfield Tarn</t>
  </si>
  <si>
    <t>south-west Lakes</t>
  </si>
  <si>
    <t>Hampshire Basin</t>
  </si>
  <si>
    <t xml:space="preserve">14, 19, </t>
  </si>
  <si>
    <t xml:space="preserve">15, 18, </t>
  </si>
  <si>
    <t xml:space="preserve">14-5, </t>
  </si>
  <si>
    <t xml:space="preserve">1, 5, </t>
  </si>
  <si>
    <t>Lizard Head</t>
  </si>
  <si>
    <t>Causewayed enclosure   Pits</t>
  </si>
  <si>
    <t xml:space="preserve">82, 84, 86, </t>
  </si>
  <si>
    <t xml:space="preserve">87,  </t>
  </si>
  <si>
    <t>Dorset-Ridgeway</t>
  </si>
  <si>
    <t>barrows</t>
  </si>
  <si>
    <t xml:space="preserve">84, 89, </t>
  </si>
  <si>
    <t xml:space="preserve">81, 84-5, 89, </t>
  </si>
  <si>
    <t xml:space="preserve">91, 93, </t>
  </si>
  <si>
    <t>Neolithic long mortuary enclosure</t>
  </si>
  <si>
    <t>Norton Bavant</t>
  </si>
  <si>
    <t>Coombe Hill                           Combe Hill</t>
  </si>
  <si>
    <t>Haylands House                       Haylands Manor</t>
  </si>
  <si>
    <t>Ryde</t>
  </si>
  <si>
    <t>Ipswich</t>
  </si>
  <si>
    <t>Megaw/Simpson</t>
  </si>
  <si>
    <t xml:space="preserve">87, 99, </t>
  </si>
  <si>
    <t xml:space="preserve">87-8, 101, </t>
  </si>
  <si>
    <t>Redruth</t>
  </si>
  <si>
    <t xml:space="preserve">12, 17, 99, 103, </t>
  </si>
  <si>
    <t>River Stour</t>
  </si>
  <si>
    <t>Bath-Frome region</t>
  </si>
  <si>
    <t>west coast of Ireland</t>
  </si>
  <si>
    <t>Heslerton VI</t>
  </si>
  <si>
    <t>Huggate</t>
  </si>
  <si>
    <t>Huggate Wold</t>
  </si>
  <si>
    <t>Warter Wold</t>
  </si>
  <si>
    <t>Ayton Moor</t>
  </si>
  <si>
    <t>Great Ayton Moor     Hambleton</t>
  </si>
  <si>
    <t>Willy Howe</t>
  </si>
  <si>
    <t>Thwing</t>
  </si>
  <si>
    <t>Copt Hill                                   Seven Sisters</t>
  </si>
  <si>
    <t>Settlement  Neolithic round barrow Pottery type-site</t>
  </si>
  <si>
    <t>Henge                      Cursus</t>
  </si>
  <si>
    <t>Flamborough                       Beacon Hill</t>
  </si>
  <si>
    <t xml:space="preserve">104, 108, </t>
  </si>
  <si>
    <t>Mynydd Rhiw</t>
  </si>
  <si>
    <t xml:space="preserve">86, 96-7, 110, </t>
  </si>
  <si>
    <t>Dyserth Castle</t>
  </si>
  <si>
    <t xml:space="preserve"> Settlement</t>
  </si>
  <si>
    <t>Denbighshire           Flintshire</t>
  </si>
  <si>
    <t>Gwaunysgor</t>
  </si>
  <si>
    <t xml:space="preserve">109, 110-1, </t>
  </si>
  <si>
    <t xml:space="preserve">92, 115, </t>
  </si>
  <si>
    <t xml:space="preserve">114, 116-7, </t>
  </si>
  <si>
    <t xml:space="preserve">84, 88, 97-8, 117, </t>
  </si>
  <si>
    <t>Kimeridge                                Kimmeridge</t>
  </si>
  <si>
    <t>Shale-working site</t>
  </si>
  <si>
    <t>Purbeck</t>
  </si>
  <si>
    <t xml:space="preserve">86, 119, </t>
  </si>
  <si>
    <t>Cairnholy II</t>
  </si>
  <si>
    <t>Lochhill I</t>
  </si>
  <si>
    <t>Lochhill II</t>
  </si>
  <si>
    <t xml:space="preserve">118, 121, </t>
  </si>
  <si>
    <t xml:space="preserve">107-9, 124, </t>
  </si>
  <si>
    <t>Millin Bay</t>
  </si>
  <si>
    <t xml:space="preserve">110, 125, </t>
  </si>
  <si>
    <t xml:space="preserve">105, 125, </t>
  </si>
  <si>
    <t xml:space="preserve">80, 82, 84-5, 87, 96, 117, 125, </t>
  </si>
  <si>
    <t xml:space="preserve">93, 104-5, 108, 112, 126, </t>
  </si>
  <si>
    <t xml:space="preserve">104-5, 112, 126, </t>
  </si>
  <si>
    <t xml:space="preserve">104, 106, 108, 120, 126, </t>
  </si>
  <si>
    <t xml:space="preserve">110, 126, </t>
  </si>
  <si>
    <t xml:space="preserve">120, 125-6, </t>
  </si>
  <si>
    <t xml:space="preserve">97, 127, </t>
  </si>
  <si>
    <t xml:space="preserve">94, 105, 127, </t>
  </si>
  <si>
    <t xml:space="preserve">91-3, 95-6, 98, 128, </t>
  </si>
  <si>
    <t xml:space="preserve">94, 128, </t>
  </si>
  <si>
    <t xml:space="preserve">92, 107, 113-6, 127-8, </t>
  </si>
  <si>
    <t>North Riding</t>
  </si>
  <si>
    <t xml:space="preserve">93, 104-5, 107, </t>
  </si>
  <si>
    <t>Heslerton</t>
  </si>
  <si>
    <t>Vale of Pickering</t>
  </si>
  <si>
    <t>Nuneaton</t>
  </si>
  <si>
    <t>Charnwood Forest</t>
  </si>
  <si>
    <t>Caernarvonshire                          Caernarfonshire</t>
  </si>
  <si>
    <t xml:space="preserve">86, 110, </t>
  </si>
  <si>
    <t>eastern-central Scotland</t>
  </si>
  <si>
    <t xml:space="preserve">107, 111, </t>
  </si>
  <si>
    <t xml:space="preserve">107, 110, </t>
  </si>
  <si>
    <t>central Perthshire</t>
  </si>
  <si>
    <t>Strangford Lough</t>
  </si>
  <si>
    <t xml:space="preserve">112-5, 121, </t>
  </si>
  <si>
    <t xml:space="preserve">112, 118, </t>
  </si>
  <si>
    <t xml:space="preserve">109, 110, 112, </t>
  </si>
  <si>
    <t xml:space="preserve">86, 114, </t>
  </si>
  <si>
    <t xml:space="preserve">84, 112-5, 118, </t>
  </si>
  <si>
    <t xml:space="preserve">119, 120, </t>
  </si>
  <si>
    <t>Argyllshire</t>
  </si>
  <si>
    <t xml:space="preserve">13, 110, 124-5, </t>
  </si>
  <si>
    <t xml:space="preserve">15, 123, 125, </t>
  </si>
  <si>
    <t xml:space="preserve">96-7, 99, 112, 119, 127, 129, </t>
  </si>
  <si>
    <t xml:space="preserve">103-8, 111-2, 126, </t>
  </si>
  <si>
    <t xml:space="preserve">89, 94, 105, 128, </t>
  </si>
  <si>
    <t xml:space="preserve">104, 107, 126, </t>
  </si>
  <si>
    <t xml:space="preserve">122, 126, </t>
  </si>
  <si>
    <t>Loughcrew                            Liabh n Callighe</t>
  </si>
  <si>
    <t xml:space="preserve">130-1, </t>
  </si>
  <si>
    <t>north-east Invernessshire</t>
  </si>
  <si>
    <t>Bargrenna                                        Bargrennan</t>
  </si>
  <si>
    <t xml:space="preserve">124, 135, </t>
  </si>
  <si>
    <t>Yarrow     Yarrows</t>
  </si>
  <si>
    <t xml:space="preserve">130-1, 133, 136, </t>
  </si>
  <si>
    <t xml:space="preserve">132, 136-8, </t>
  </si>
  <si>
    <t xml:space="preserve">132, 140, </t>
  </si>
  <si>
    <t>Corrimony    Corriemony</t>
  </si>
  <si>
    <t>Skara Brae  House VII</t>
  </si>
  <si>
    <t>Tweeddale                     Peeblesshire</t>
  </si>
  <si>
    <t>Timber enclosure  Pottery type-site  Settlement</t>
  </si>
  <si>
    <t>Honington</t>
  </si>
  <si>
    <t>Sonning</t>
  </si>
  <si>
    <t xml:space="preserve">86, 145, 147, </t>
  </si>
  <si>
    <t xml:space="preserve">145, 147, </t>
  </si>
  <si>
    <t xml:space="preserve">96, 148, </t>
  </si>
  <si>
    <t>Fargo Plantation</t>
  </si>
  <si>
    <t>General N/EBA    Barrow</t>
  </si>
  <si>
    <t xml:space="preserve">150, 153, </t>
  </si>
  <si>
    <t>Henge                Timber palisade</t>
  </si>
  <si>
    <t xml:space="preserve">80-1, 89, 101, 117, 158, </t>
  </si>
  <si>
    <t xml:space="preserve">81-2, 85, 89, 159, </t>
  </si>
  <si>
    <t xml:space="preserve">80-1, 84, 89, 159, </t>
  </si>
  <si>
    <t xml:space="preserve">80-5, 101, 112, 117, 125, 159, </t>
  </si>
  <si>
    <t xml:space="preserve">152, 159, </t>
  </si>
  <si>
    <t xml:space="preserve">155, 159, </t>
  </si>
  <si>
    <t>Brat's Hill</t>
  </si>
  <si>
    <t>central Lakes</t>
  </si>
  <si>
    <t xml:space="preserve">160-1, </t>
  </si>
  <si>
    <t>Kell Bank</t>
  </si>
  <si>
    <t>Seascale          Gosforth</t>
  </si>
  <si>
    <t>Neolithic axe polishing site</t>
  </si>
  <si>
    <t>Portinscale</t>
  </si>
  <si>
    <t>Keswick</t>
  </si>
  <si>
    <t xml:space="preserve">160-1, 163, </t>
  </si>
  <si>
    <t>Old Keig</t>
  </si>
  <si>
    <t xml:space="preserve">164-5, </t>
  </si>
  <si>
    <t xml:space="preserve">104, 165, </t>
  </si>
  <si>
    <t xml:space="preserve">98, 167, </t>
  </si>
  <si>
    <t xml:space="preserve">80, 84, 97, 128, 167, </t>
  </si>
  <si>
    <t>Church Dale Cave</t>
  </si>
  <si>
    <t>Gop Cave</t>
  </si>
  <si>
    <t>Hinton Ampner</t>
  </si>
  <si>
    <t>Neolithic barrow</t>
  </si>
  <si>
    <t xml:space="preserve">79, 80, 85-6, 88-9, 95-7, 99, 100, 103, 117-8, 125-8, 159, 168, </t>
  </si>
  <si>
    <t xml:space="preserve">166-9, </t>
  </si>
  <si>
    <t xml:space="preserve">166-7, 169, </t>
  </si>
  <si>
    <t xml:space="preserve">107, 169, </t>
  </si>
  <si>
    <t>Hedderwick Sands                           Hedderwick Burn</t>
  </si>
  <si>
    <t xml:space="preserve">120, 169, </t>
  </si>
  <si>
    <t xml:space="preserve">137, 169, </t>
  </si>
  <si>
    <t xml:space="preserve">122, 135, 169, </t>
  </si>
  <si>
    <t>Settlement  Cremation cemetery  Pottery type-site</t>
  </si>
  <si>
    <t xml:space="preserve">141-2, 169, 170, </t>
  </si>
  <si>
    <t>Creeting St Mary</t>
  </si>
  <si>
    <t>Settlement    Pottery type-site</t>
  </si>
  <si>
    <t>Torbryan</t>
  </si>
  <si>
    <t>Cockleswood</t>
  </si>
  <si>
    <t xml:space="preserve">88, 112, 114, 172, </t>
  </si>
  <si>
    <t>Findon</t>
  </si>
  <si>
    <t xml:space="preserve">125, 172, </t>
  </si>
  <si>
    <t xml:space="preserve">110, 158, 173, </t>
  </si>
  <si>
    <t xml:space="preserve">110, 126, 173, </t>
  </si>
  <si>
    <t>King Barrow Wood</t>
  </si>
  <si>
    <t>Wood</t>
  </si>
  <si>
    <t xml:space="preserve">169, 170, 172, 174, </t>
  </si>
  <si>
    <t>Duggleby Howe                       Howe Hill</t>
  </si>
  <si>
    <t xml:space="preserve">106, 175, </t>
  </si>
  <si>
    <t xml:space="preserve">145, 152, 155-6, 159, 172, 175, </t>
  </si>
  <si>
    <t xml:space="preserve">152, 155-6, 158, 175, </t>
  </si>
  <si>
    <t xml:space="preserve">15-6, 79, 148, 152, 154-6, 159, 172, 175, </t>
  </si>
  <si>
    <t xml:space="preserve">145, 148, 152, 155-7, 159, 171-2, 177,  </t>
  </si>
  <si>
    <t>Malford</t>
  </si>
  <si>
    <t xml:space="preserve">173, 177, </t>
  </si>
  <si>
    <t>Garboldisham</t>
  </si>
  <si>
    <t>Towie</t>
  </si>
  <si>
    <t xml:space="preserve">124, 177, </t>
  </si>
  <si>
    <t>Elgin</t>
  </si>
  <si>
    <t>Glasterlaw</t>
  </si>
  <si>
    <t xml:space="preserve">86, 145, 147, 166-9, 170, 177, </t>
  </si>
  <si>
    <t xml:space="preserve">110, 113, 117, 141, </t>
  </si>
  <si>
    <t xml:space="preserve">112, 119, 129, 134-5, </t>
  </si>
  <si>
    <t xml:space="preserve">120, 125, 134, </t>
  </si>
  <si>
    <t>southern islands</t>
  </si>
  <si>
    <t>Cape Wrath</t>
  </si>
  <si>
    <t xml:space="preserve">104, 135, </t>
  </si>
  <si>
    <t>Moray Firth</t>
  </si>
  <si>
    <t>Cromarty Firth</t>
  </si>
  <si>
    <t>Isle of Hoy</t>
  </si>
  <si>
    <t>west of Great Glen</t>
  </si>
  <si>
    <t>Central Highland Massif</t>
  </si>
  <si>
    <t xml:space="preserve">132, 134, </t>
  </si>
  <si>
    <t xml:space="preserve">121, 123, 130, </t>
  </si>
  <si>
    <t xml:space="preserve">112, 119, 123, 129, 130, 136, </t>
  </si>
  <si>
    <t xml:space="preserve">88, 92, 97-8, 105, 107, 113-4, 116, 125, 145, 147, </t>
  </si>
  <si>
    <t>Salisbury Avon</t>
  </si>
  <si>
    <t>river</t>
  </si>
  <si>
    <t xml:space="preserve">148, 152, </t>
  </si>
  <si>
    <t xml:space="preserve">80, 97-8, 148, </t>
  </si>
  <si>
    <t xml:space="preserve">14, 89, 91, 152, </t>
  </si>
  <si>
    <t xml:space="preserve">4, 112, 118, 150, </t>
  </si>
  <si>
    <t xml:space="preserve">113, 151, </t>
  </si>
  <si>
    <t xml:space="preserve">86, 151, </t>
  </si>
  <si>
    <t>River Wylye</t>
  </si>
  <si>
    <t>Leagrave</t>
  </si>
  <si>
    <t xml:space="preserve">155, 166, 170-3, 175-7, </t>
  </si>
  <si>
    <t xml:space="preserve">13, 79, 87, 145, 159, </t>
  </si>
  <si>
    <t xml:space="preserve">141, 169, </t>
  </si>
  <si>
    <t>Gosforth     Seascale</t>
  </si>
  <si>
    <t>Cornish axe factory</t>
  </si>
  <si>
    <t>Neolithic axe factory</t>
  </si>
  <si>
    <t xml:space="preserve">87, 101, 125, 155, </t>
  </si>
  <si>
    <t xml:space="preserve">13, 80, 170, 173, </t>
  </si>
  <si>
    <t xml:space="preserve">98, 145-6, 171, 177, </t>
  </si>
  <si>
    <t xml:space="preserve">110, 155, </t>
  </si>
  <si>
    <t xml:space="preserve">104-5, 108, 167, </t>
  </si>
  <si>
    <t>Duggleby</t>
  </si>
  <si>
    <t xml:space="preserve">110, 168, </t>
  </si>
  <si>
    <t xml:space="preserve">108, 155, </t>
  </si>
  <si>
    <t xml:space="preserve">126, 163, </t>
  </si>
  <si>
    <t xml:space="preserve">139, 140-1, 164, </t>
  </si>
  <si>
    <t xml:space="preserve">104, 107-8, 110, 119, 124, 160, 164, 169, </t>
  </si>
  <si>
    <t xml:space="preserve">13-4, 132, 135-8, 142-5, 148, 160, </t>
  </si>
  <si>
    <t xml:space="preserve">119, 169, </t>
  </si>
  <si>
    <t xml:space="preserve">139, 142, 173, </t>
  </si>
  <si>
    <t xml:space="preserve">131-2, 136-7, 175-7, </t>
  </si>
  <si>
    <t xml:space="preserve">110, 119, 161, 170, </t>
  </si>
  <si>
    <t>Kirkhaugh</t>
  </si>
  <si>
    <t>Alston</t>
  </si>
  <si>
    <t>Salen</t>
  </si>
  <si>
    <t>Mere</t>
  </si>
  <si>
    <t>Winterslow Barrow Group</t>
  </si>
  <si>
    <t xml:space="preserve">94, 148, 181, </t>
  </si>
  <si>
    <t>Farleigh Wick</t>
  </si>
  <si>
    <t xml:space="preserve">98, 182, </t>
  </si>
  <si>
    <t>Migdale-Marnock</t>
  </si>
  <si>
    <t>metal-working tradition</t>
  </si>
  <si>
    <t>Durrington Walls 67</t>
  </si>
  <si>
    <t>Winterbourne Stoke G54</t>
  </si>
  <si>
    <t>Beaker burial</t>
  </si>
  <si>
    <t>Amesbury G54</t>
  </si>
  <si>
    <t>Glen Forsa     Callachy</t>
  </si>
  <si>
    <t>Bronze Age Cemetery</t>
  </si>
  <si>
    <t>West Overton G6B</t>
  </si>
  <si>
    <t>Bronze Age burial</t>
  </si>
  <si>
    <t xml:space="preserve">125, 191, </t>
  </si>
  <si>
    <t xml:space="preserve">125, 192-3, </t>
  </si>
  <si>
    <t>Lough Gur D</t>
  </si>
  <si>
    <t xml:space="preserve">108-9, 192-3, </t>
  </si>
  <si>
    <t>Burnt Common               Sidmouth</t>
  </si>
  <si>
    <t>Rosinish   Rossinish</t>
  </si>
  <si>
    <t>Benbecula                      South Uist</t>
  </si>
  <si>
    <t>Beaker settlement</t>
  </si>
  <si>
    <t xml:space="preserve">194-6, </t>
  </si>
  <si>
    <t xml:space="preserve">125, 192-3, 196, </t>
  </si>
  <si>
    <t xml:space="preserve">192, 195-6, </t>
  </si>
  <si>
    <t xml:space="preserve">137, 142-3, 145, 170, 172-3, 196, </t>
  </si>
  <si>
    <t xml:space="preserve">13, 137, 143-5, 172-5, 177, 196, </t>
  </si>
  <si>
    <t xml:space="preserve">15, 91, 102-3, 196, </t>
  </si>
  <si>
    <t xml:space="preserve">88, 196, </t>
  </si>
  <si>
    <t xml:space="preserve">130-4, 136-7, 177, 196, </t>
  </si>
  <si>
    <t xml:space="preserve">180-1, 189, 197, </t>
  </si>
  <si>
    <t xml:space="preserve">181, 197, </t>
  </si>
  <si>
    <t>Tonderghie</t>
  </si>
  <si>
    <t>Melfort    River Oude</t>
  </si>
  <si>
    <t>Marnoch     Banff</t>
  </si>
  <si>
    <t>Grampian       Banffshire</t>
  </si>
  <si>
    <t>Auchnacree</t>
  </si>
  <si>
    <t xml:space="preserve">94, 150, 172, 175-6, 197, 199, </t>
  </si>
  <si>
    <t>Birr</t>
  </si>
  <si>
    <t xml:space="preserve">200, </t>
  </si>
  <si>
    <t>Edinkillie</t>
  </si>
  <si>
    <t xml:space="preserve">198-9, 200, </t>
  </si>
  <si>
    <t>Orbliston</t>
  </si>
  <si>
    <t xml:space="preserve">179, 200, </t>
  </si>
  <si>
    <t xml:space="preserve">180-1, 200, </t>
  </si>
  <si>
    <t xml:space="preserve">200-1, </t>
  </si>
  <si>
    <t>Ballina</t>
  </si>
  <si>
    <t>Ballinagroun</t>
  </si>
  <si>
    <t xml:space="preserve">202,  </t>
  </si>
  <si>
    <t xml:space="preserve">201-2, </t>
  </si>
  <si>
    <t xml:space="preserve">196, 203, </t>
  </si>
  <si>
    <t>Timber circle    Pottery/Stone axe type-site</t>
  </si>
  <si>
    <t xml:space="preserve">155, 158-9, 171-3, 203, </t>
  </si>
  <si>
    <t>Barrow cemetery                    Timber circle    Stone axe type site</t>
  </si>
  <si>
    <t xml:space="preserve">106, 203, </t>
  </si>
  <si>
    <t xml:space="preserve">89, 94, 137, 150-3, 155, 158, 172-3, 177, 181, 203-4, </t>
  </si>
  <si>
    <t xml:space="preserve">152, 175, 204, </t>
  </si>
  <si>
    <t xml:space="preserve">152, 155, 204, </t>
  </si>
  <si>
    <t xml:space="preserve">152, 172, 175, 204, </t>
  </si>
  <si>
    <t xml:space="preserve">189, 190-1, 204, </t>
  </si>
  <si>
    <t>Amesbury G51</t>
  </si>
  <si>
    <t xml:space="preserve">16, 124, 194-6, 204, </t>
  </si>
  <si>
    <t xml:space="preserve">192-4, 196, 205, </t>
  </si>
  <si>
    <t xml:space="preserve">182, 199, 200, 206, </t>
  </si>
  <si>
    <t xml:space="preserve">14, 18, 98, 125, 185-8, 191, </t>
  </si>
  <si>
    <t xml:space="preserve">168, 172, 189, 192, </t>
  </si>
  <si>
    <t xml:space="preserve">160, 189, </t>
  </si>
  <si>
    <t xml:space="preserve">18, 103-4, 108, 111, 191, </t>
  </si>
  <si>
    <t xml:space="preserve">108, 192-3, </t>
  </si>
  <si>
    <t xml:space="preserve">80, 85, 96-7, 125, 172, 192, </t>
  </si>
  <si>
    <t xml:space="preserve">110, 126, 160, 192, </t>
  </si>
  <si>
    <t xml:space="preserve">80-1, 84, 88-9, 92, 101, 118, 152, 156, 158, 172, 175, 189, 196, </t>
  </si>
  <si>
    <t xml:space="preserve">79, 80, 87, 97-9, 125, 145-6, 172, 194, </t>
  </si>
  <si>
    <t xml:space="preserve">15, 89, 91, 103, 112, 114, 152, 189, 196, </t>
  </si>
  <si>
    <t xml:space="preserve">104, 106-8, 111-2, 126, 167, 175, 177, 189, 192, 196, </t>
  </si>
  <si>
    <t xml:space="preserve">1-5, 13-4, 17-9, 78-9, 84, 88, 127-9, 140-1, 145, 159, 166, 170, 175-7, 186-9, 191-2, 196-9, 200, 202-4, 206, </t>
  </si>
  <si>
    <t xml:space="preserve">1, 4, 18, 79, 80, 86-7, 95-6, 99, 103-9, 110-2, 115, 125-6, 128-9, 159, 160, 166, 168-9, 170, 185, 188-9, 196, 202, 205, </t>
  </si>
  <si>
    <t xml:space="preserve">4, 79, 86-7, 103-4, 106, 108-9, 111-2, 126, 128-9, 159, 163, 166, 173, 186-8, 202, </t>
  </si>
  <si>
    <t xml:space="preserve">79, 86-7, 109, 112, 141, 159, 177, 189, 200, </t>
  </si>
  <si>
    <t xml:space="preserve">15, 79, 86-7, 106, 111-2, 126, 129, 166, 202, </t>
  </si>
  <si>
    <t xml:space="preserve">79, 87, 105-6, 108, 110-2, 126, 128-9, 203, </t>
  </si>
  <si>
    <t xml:space="preserve">79, 80, 84, 86-7, 96, 98-9, 103, 110, 203, </t>
  </si>
  <si>
    <t xml:space="preserve">84, 86, 96-7, 99, 110, 119, 148, 160, 163, 192, 201-3, 205, </t>
  </si>
  <si>
    <t xml:space="preserve">14, 84, 99, 160-1, 163, 203, </t>
  </si>
  <si>
    <t xml:space="preserve">107, 192, 200, </t>
  </si>
  <si>
    <t xml:space="preserve">94, 114, 148, 150, 175, 189, 197, 199, 200, </t>
  </si>
  <si>
    <t xml:space="preserve">16, 79, 80-2, 84-5, 92-5, 97, 101-3, 116-7, 148, 156-8, 160, 171-2, 175, 184, 190, 197, 200, 204, </t>
  </si>
  <si>
    <t xml:space="preserve">104-8, 111-2, 124-6, 131, 148, 166-7, 169, 175-7, 186-7, 189, 191-2, 196, 203, </t>
  </si>
  <si>
    <t xml:space="preserve">4, 13, 19, 95, 99, 197, </t>
  </si>
  <si>
    <t xml:space="preserve">103, 120, 186-7, </t>
  </si>
  <si>
    <t xml:space="preserve">159, 189, </t>
  </si>
  <si>
    <t>western coast</t>
  </si>
  <si>
    <t xml:space="preserve">89, 95-6, 151-2, 155, 158-9, 167, 172, 185-9, 202-3, 205-7, </t>
  </si>
  <si>
    <t xml:space="preserve">78, 206, </t>
  </si>
  <si>
    <t xml:space="preserve">78, 170, 187-8, 199, 202, 206, </t>
  </si>
  <si>
    <t xml:space="preserve">112, 114-9, 122-3, 129, 130, 136, 191, </t>
  </si>
  <si>
    <t xml:space="preserve">4, 18, 134, 139, 159, 163, 169, 189, 197, 199, 202, 206, </t>
  </si>
  <si>
    <t xml:space="preserve">112, 177, 200, </t>
  </si>
  <si>
    <t xml:space="preserve">160, 163-5, 205, </t>
  </si>
  <si>
    <t>south-east Scotland</t>
  </si>
  <si>
    <t xml:space="preserve">186-7, </t>
  </si>
  <si>
    <t xml:space="preserve">112, 119, 122-3, 126, 129, 130, 135-6, 191, </t>
  </si>
  <si>
    <t xml:space="preserve">135, 191, </t>
  </si>
  <si>
    <t xml:space="preserve">16, 124, 194, 204, </t>
  </si>
  <si>
    <t xml:space="preserve">13-4, 17, 135-6, 194, </t>
  </si>
  <si>
    <t>Benbecula</t>
  </si>
  <si>
    <t xml:space="preserve">121, 169, 197, </t>
  </si>
  <si>
    <t xml:space="preserve">107, 165, 197, </t>
  </si>
  <si>
    <t xml:space="preserve">119, 124, 197-8, </t>
  </si>
  <si>
    <t xml:space="preserve">177, 199, </t>
  </si>
  <si>
    <t>Banffshire</t>
  </si>
  <si>
    <t xml:space="preserve">112, 119, 199, </t>
  </si>
  <si>
    <t xml:space="preserve">1, 139, 164, 185-6, 199, </t>
  </si>
  <si>
    <t xml:space="preserve">4, 13, 15, 19, 79, 123, 125-6, 128-9, 130-1, 136-7, 148, 159, 163, 170, 175-7, 191-2, 197-9, 200, 202, 206, </t>
  </si>
  <si>
    <t xml:space="preserve">123, 199, 202, </t>
  </si>
  <si>
    <t xml:space="preserve">125, 161, 192, </t>
  </si>
  <si>
    <t xml:space="preserve">123, 125, 191, </t>
  </si>
  <si>
    <t xml:space="preserve">130, 148, 196, 198, </t>
  </si>
  <si>
    <t xml:space="preserve">202, </t>
  </si>
  <si>
    <t>Hunter/Ralston</t>
  </si>
  <si>
    <t>Midlothian   Lothian</t>
  </si>
  <si>
    <t>Little Woodbury</t>
  </si>
  <si>
    <t>Enclosed settlement</t>
  </si>
  <si>
    <t>Birmingham</t>
  </si>
  <si>
    <t xml:space="preserve">2, </t>
  </si>
  <si>
    <t>Redditch</t>
  </si>
  <si>
    <t>Worcester</t>
  </si>
  <si>
    <t>Long Causeway</t>
  </si>
  <si>
    <t>Airport</t>
  </si>
  <si>
    <t>Heathrow</t>
  </si>
  <si>
    <t>western-central Scotland</t>
  </si>
  <si>
    <t>Don Valley</t>
  </si>
  <si>
    <t>Maeshowe    Maes Howe</t>
  </si>
  <si>
    <t xml:space="preserve">59, 60, </t>
  </si>
  <si>
    <t xml:space="preserve">5, 61, 64, </t>
  </si>
  <si>
    <t xml:space="preserve">64-5, </t>
  </si>
  <si>
    <t xml:space="preserve">60, 65, </t>
  </si>
  <si>
    <t>Barnhouse  House No.8</t>
  </si>
  <si>
    <t>Neolithic oval barrow</t>
  </si>
  <si>
    <t xml:space="preserve">66-7, </t>
  </si>
  <si>
    <t xml:space="preserve">62-3, 67, </t>
  </si>
  <si>
    <t xml:space="preserve">66, 70, </t>
  </si>
  <si>
    <t xml:space="preserve">62, 71, </t>
  </si>
  <si>
    <t xml:space="preserve">67, 71, </t>
  </si>
  <si>
    <t xml:space="preserve">6, 71, </t>
  </si>
  <si>
    <t xml:space="preserve">66, 70-1, </t>
  </si>
  <si>
    <t xml:space="preserve">71-2, </t>
  </si>
  <si>
    <t xml:space="preserve">62, 67, 71-2, </t>
  </si>
  <si>
    <t xml:space="preserve">59, 72, </t>
  </si>
  <si>
    <t xml:space="preserve">60, 72, </t>
  </si>
  <si>
    <t xml:space="preserve">58, 61, 72-3, </t>
  </si>
  <si>
    <t xml:space="preserve">65, 72-3, </t>
  </si>
  <si>
    <t xml:space="preserve">62, 73, </t>
  </si>
  <si>
    <t xml:space="preserve">60, 73, </t>
  </si>
  <si>
    <t xml:space="preserve">59, 65, 68, 73, </t>
  </si>
  <si>
    <t xml:space="preserve">58, 64, 73, </t>
  </si>
  <si>
    <t>inland Britain</t>
  </si>
  <si>
    <t xml:space="preserve">8, 60-2, </t>
  </si>
  <si>
    <t>Langdale</t>
  </si>
  <si>
    <t>River</t>
  </si>
  <si>
    <t>Mersey</t>
  </si>
  <si>
    <t>Midland river valleys</t>
  </si>
  <si>
    <t>southern river valleys</t>
  </si>
  <si>
    <t xml:space="preserve">67-8, </t>
  </si>
  <si>
    <t xml:space="preserve">61, 70, </t>
  </si>
  <si>
    <t>Bottlebrush Down</t>
  </si>
  <si>
    <t>western Cotswolds</t>
  </si>
  <si>
    <t xml:space="preserve">72-3, </t>
  </si>
  <si>
    <t xml:space="preserve">63, 73, </t>
  </si>
  <si>
    <t xml:space="preserve">3, 72, </t>
  </si>
  <si>
    <t xml:space="preserve">60, 62, 65, 67-8, 70, 72, </t>
  </si>
  <si>
    <t>Upper Tweed Valley</t>
  </si>
  <si>
    <t>portal dolmens</t>
  </si>
  <si>
    <t xml:space="preserve">59, 60, 78, </t>
  </si>
  <si>
    <t>Castletownroche                   Castletown Roche</t>
  </si>
  <si>
    <t>Ceredigion</t>
  </si>
  <si>
    <t>Cwmystwyth</t>
  </si>
  <si>
    <t>Cardiganshire       Western Wales</t>
  </si>
  <si>
    <t>Ballyvally                  Balleyvalley</t>
  </si>
  <si>
    <t>Falkland</t>
  </si>
  <si>
    <t>Acton Park</t>
  </si>
  <si>
    <t>Denbighshire      Wrexham   Wrecsam</t>
  </si>
  <si>
    <t>Colleonard</t>
  </si>
  <si>
    <t>64,</t>
  </si>
  <si>
    <t>Green Knowe</t>
  </si>
  <si>
    <t>Pottery type-site  Settlement</t>
  </si>
  <si>
    <t xml:space="preserve">Tweeddale </t>
  </si>
  <si>
    <t xml:space="preserve">81-4, </t>
  </si>
  <si>
    <t>Trevisker Ware</t>
  </si>
  <si>
    <t>south Devon</t>
  </si>
  <si>
    <t>Sturminster Marshall</t>
  </si>
  <si>
    <t>Cill Donnain</t>
  </si>
  <si>
    <t>Settlememt</t>
  </si>
  <si>
    <t>Barvas</t>
  </si>
  <si>
    <t>Dalmore</t>
  </si>
  <si>
    <t>Alt Chrysal    Allt Chrisal       Gortein     Goirtein</t>
  </si>
  <si>
    <t>Barra</t>
  </si>
  <si>
    <t>NL</t>
  </si>
  <si>
    <t>Stackpole Warren</t>
  </si>
  <si>
    <t xml:space="preserve">84-5, </t>
  </si>
  <si>
    <t>South Lodge</t>
  </si>
  <si>
    <t>Winterslow G3</t>
  </si>
  <si>
    <t>Culduthel</t>
  </si>
  <si>
    <t xml:space="preserve">86, 89, </t>
  </si>
  <si>
    <t xml:space="preserve">79, 89, </t>
  </si>
  <si>
    <t xml:space="preserve">87, 89, </t>
  </si>
  <si>
    <t xml:space="preserve">71, 86, 90, </t>
  </si>
  <si>
    <t xml:space="preserve">87-9, 90, </t>
  </si>
  <si>
    <t xml:space="preserve">72, 90, </t>
  </si>
  <si>
    <t>Deverel-Rimbury</t>
  </si>
  <si>
    <t xml:space="preserve">86, 90, </t>
  </si>
  <si>
    <t xml:space="preserve">61, 67-8, 90, </t>
  </si>
  <si>
    <t xml:space="preserve">60, 62, 72-3, 78-9, 90, </t>
  </si>
  <si>
    <t xml:space="preserve">5, 7, 59, 60, 81, 90-1, </t>
  </si>
  <si>
    <t xml:space="preserve">86, 91, </t>
  </si>
  <si>
    <t xml:space="preserve">84, 91, </t>
  </si>
  <si>
    <t xml:space="preserve">81-2, 90, 93, </t>
  </si>
  <si>
    <t xml:space="preserve">8, 84, </t>
  </si>
  <si>
    <t xml:space="preserve">3, 59, 60-2, 73, 83-4, </t>
  </si>
  <si>
    <t xml:space="preserve">70, 78, 83-4, 86, 91, </t>
  </si>
  <si>
    <t xml:space="preserve">70-1, 89, </t>
  </si>
  <si>
    <t xml:space="preserve">65, 88, </t>
  </si>
  <si>
    <t xml:space="preserve">85, 89, </t>
  </si>
  <si>
    <t>Langford</t>
  </si>
  <si>
    <t xml:space="preserve">65, 85, </t>
  </si>
  <si>
    <t xml:space="preserve">73-4, 92, </t>
  </si>
  <si>
    <t xml:space="preserve">61, 87, </t>
  </si>
  <si>
    <t xml:space="preserve">6, 67, 82, 89, 90, </t>
  </si>
  <si>
    <t xml:space="preserve">80, 82, </t>
  </si>
  <si>
    <t xml:space="preserve">61, 65, 67, 82, </t>
  </si>
  <si>
    <t>lowland England</t>
  </si>
  <si>
    <t xml:space="preserve">82, 91, </t>
  </si>
  <si>
    <t xml:space="preserve">77-8, 83-4, 87, 89, 90, </t>
  </si>
  <si>
    <t xml:space="preserve">63, 84, </t>
  </si>
  <si>
    <t xml:space="preserve">85, 92, </t>
  </si>
  <si>
    <t xml:space="preserve">62, 81, </t>
  </si>
  <si>
    <t xml:space="preserve">6, 61, 84, </t>
  </si>
  <si>
    <t xml:space="preserve">62, 84-6, 90, </t>
  </si>
  <si>
    <t xml:space="preserve">67, 90, </t>
  </si>
  <si>
    <t xml:space="preserve">62, 90-1, </t>
  </si>
  <si>
    <t xml:space="preserve">4, 90-1, </t>
  </si>
  <si>
    <t>Highland edge</t>
  </si>
  <si>
    <t xml:space="preserve">87, 298, </t>
  </si>
  <si>
    <t>Fountains Abbey</t>
  </si>
  <si>
    <t>WH site</t>
  </si>
  <si>
    <t>306,</t>
  </si>
  <si>
    <t>Studley Royal Park</t>
  </si>
  <si>
    <t xml:space="preserve">60, 65, 72, 74, 90-1, 306, </t>
  </si>
  <si>
    <t>Canterbury Cathedral</t>
  </si>
  <si>
    <t xml:space="preserve">306, </t>
  </si>
  <si>
    <t>St. Augustine's Abbey</t>
  </si>
  <si>
    <t>Durham Castle</t>
  </si>
  <si>
    <t>WH Site</t>
  </si>
  <si>
    <t>Durham Cathedral</t>
  </si>
  <si>
    <t>Tower of London</t>
  </si>
  <si>
    <t>Blenheim Palace</t>
  </si>
  <si>
    <t>Palace of Westminster</t>
  </si>
  <si>
    <t>Westminster Abbey</t>
  </si>
  <si>
    <t>Ironbridge Gorge</t>
  </si>
  <si>
    <t>Hadrian's Wall</t>
  </si>
  <si>
    <t>King Edward I's castles/towns</t>
  </si>
  <si>
    <t>Rose Theatre</t>
  </si>
  <si>
    <t xml:space="preserve">309, </t>
  </si>
  <si>
    <t>South Bank</t>
  </si>
  <si>
    <t>Badbury Rings</t>
  </si>
  <si>
    <t>Iron Age</t>
  </si>
  <si>
    <t xml:space="preserve">306, 310, </t>
  </si>
  <si>
    <t>Windsor Castle</t>
  </si>
  <si>
    <t>Bath's Roman baths</t>
  </si>
  <si>
    <t>Roman</t>
  </si>
  <si>
    <t>Edinburgh Castle</t>
  </si>
  <si>
    <t>Warwick Castle</t>
  </si>
  <si>
    <t>Shakespeare's birthplace</t>
  </si>
  <si>
    <t>Stratford-upon-Avon</t>
  </si>
  <si>
    <t>Hampton Court</t>
  </si>
  <si>
    <t>Leeds Castle</t>
  </si>
  <si>
    <t>Lulworth Castle</t>
  </si>
  <si>
    <t xml:space="preserve">311, </t>
  </si>
  <si>
    <t>Bede's World</t>
  </si>
  <si>
    <t>Jarrow</t>
  </si>
  <si>
    <t>York</t>
  </si>
  <si>
    <t>Jorvik Viking Centre</t>
  </si>
  <si>
    <t xml:space="preserve">92, 311, </t>
  </si>
  <si>
    <t>Morewellham Quay</t>
  </si>
  <si>
    <t>Oxford Archaeological Unit</t>
  </si>
  <si>
    <t xml:space="preserve">311-2, </t>
  </si>
  <si>
    <t>South Shields</t>
  </si>
  <si>
    <t>Roman gatehouse</t>
  </si>
  <si>
    <t xml:space="preserve">312, </t>
  </si>
  <si>
    <t xml:space="preserve">58-9, 60-1, 65, 67, 72-3, 77-8, 80, 87, 89, 90-2, 302-4, 306, 310, 312, </t>
  </si>
  <si>
    <t>Silchester</t>
  </si>
  <si>
    <t xml:space="preserve">313, </t>
  </si>
  <si>
    <t xml:space="preserve">1, 3, 5-9, 10-11, 63-4, 74-5, 77-8, 80, 82, 84, 92, 297-9, 300-2, 305, 310, 312-3, </t>
  </si>
  <si>
    <t>7-9, 297-9, 302, 306-7, 311,</t>
  </si>
  <si>
    <t xml:space="preserve">5, 8, 78, 82, 92, 297-8, 306-7, </t>
  </si>
  <si>
    <t xml:space="preserve">3, 5, 8, 80, 82, 84, 87, 91, 306-7, </t>
  </si>
  <si>
    <t xml:space="preserve">9, 60, 63, 67, 72, 78, 80, 82, 86, 90, 298, </t>
  </si>
  <si>
    <t xml:space="preserve">6, 58, 60-1, 86-7, 90, 298, 302, 312, </t>
  </si>
  <si>
    <t xml:space="preserve">7, 298, </t>
  </si>
  <si>
    <t xml:space="preserve">5, 304, </t>
  </si>
  <si>
    <t xml:space="preserve">299, </t>
  </si>
  <si>
    <t>Lincoln</t>
  </si>
  <si>
    <t xml:space="preserve">86, 92, 311, </t>
  </si>
  <si>
    <t xml:space="preserve">6, 59, 60, 71-2, 78, 84, 86, 89, 90, 310-1, </t>
  </si>
  <si>
    <t>Chester</t>
  </si>
  <si>
    <t xml:space="preserve">307, </t>
  </si>
  <si>
    <t xml:space="preserve">307, 311, </t>
  </si>
  <si>
    <t>Hereford</t>
  </si>
  <si>
    <t xml:space="preserve">298-9, </t>
  </si>
  <si>
    <t>Southampton</t>
  </si>
  <si>
    <t xml:space="preserve">298, 307, </t>
  </si>
  <si>
    <t>Colchester</t>
  </si>
  <si>
    <t>City of Bristol</t>
  </si>
  <si>
    <t>Fox</t>
  </si>
  <si>
    <t>NE England</t>
  </si>
  <si>
    <t>NW England</t>
  </si>
  <si>
    <t>SE England</t>
  </si>
  <si>
    <t>SW England</t>
  </si>
  <si>
    <t>Central England</t>
  </si>
  <si>
    <t>Northern Scotland</t>
  </si>
  <si>
    <t>Southern Scotland</t>
  </si>
  <si>
    <t>Eastern Scotland</t>
  </si>
  <si>
    <t>Western Scotland</t>
  </si>
  <si>
    <t>Central Scotland</t>
  </si>
  <si>
    <t>n</t>
  </si>
  <si>
    <t>s</t>
  </si>
  <si>
    <t>e</t>
  </si>
  <si>
    <t>c</t>
  </si>
  <si>
    <t>ne</t>
  </si>
  <si>
    <t>sw</t>
  </si>
  <si>
    <t>nw</t>
  </si>
  <si>
    <t>se</t>
  </si>
  <si>
    <t>eastern-southern Britain</t>
  </si>
  <si>
    <t xml:space="preserve">, </t>
  </si>
  <si>
    <t>east coast Britain</t>
  </si>
  <si>
    <t>Essex coast</t>
  </si>
  <si>
    <t>Hampshire-Dorset</t>
  </si>
  <si>
    <t>East Anglian rivers</t>
  </si>
  <si>
    <t>Fenland rivers</t>
  </si>
  <si>
    <t xml:space="preserve">21, </t>
  </si>
  <si>
    <t>North Atlantic</t>
  </si>
  <si>
    <t>North Sea basin</t>
  </si>
  <si>
    <t xml:space="preserve">9, 15, </t>
  </si>
  <si>
    <t>Great Ouse River</t>
  </si>
  <si>
    <t>Colne</t>
  </si>
  <si>
    <t>Orwell</t>
  </si>
  <si>
    <t>Waveney</t>
  </si>
  <si>
    <t>harbour</t>
  </si>
  <si>
    <t>Weymouth</t>
  </si>
  <si>
    <t>All Cannings Cross</t>
  </si>
  <si>
    <t>Iron Age site</t>
  </si>
  <si>
    <t>Hengistbury Head</t>
  </si>
  <si>
    <t>north Devon</t>
  </si>
  <si>
    <t>South Pembrokeshire</t>
  </si>
  <si>
    <t>Barry</t>
  </si>
  <si>
    <t>Peat Deposit</t>
  </si>
  <si>
    <t>Barry Docks</t>
  </si>
  <si>
    <t>Brean Down</t>
  </si>
  <si>
    <t>Weston-super-Mare</t>
  </si>
  <si>
    <t xml:space="preserve">9, 24, </t>
  </si>
  <si>
    <t>southern Fens</t>
  </si>
  <si>
    <t>Dovercourt</t>
  </si>
  <si>
    <t>Fen Basin</t>
  </si>
  <si>
    <t xml:space="preserve">24-5, </t>
  </si>
  <si>
    <t>ports</t>
  </si>
  <si>
    <t xml:space="preserve">15, 24-6, </t>
  </si>
  <si>
    <t>Cardigan Bay</t>
  </si>
  <si>
    <t>Exmouth</t>
  </si>
  <si>
    <t>upland England</t>
  </si>
  <si>
    <t>Midland Gap</t>
  </si>
  <si>
    <t>Clwydian Mountains</t>
  </si>
  <si>
    <t>Berwyn mountain range</t>
  </si>
  <si>
    <t>South Shropshire hills</t>
  </si>
  <si>
    <t>hills</t>
  </si>
  <si>
    <t>Wrekin</t>
  </si>
  <si>
    <t>hill</t>
  </si>
  <si>
    <t>Malvern Hills</t>
  </si>
  <si>
    <t>western valley</t>
  </si>
  <si>
    <t>eastern valley</t>
  </si>
  <si>
    <t>Quantocks</t>
  </si>
  <si>
    <t>Dunkery Beacon</t>
  </si>
  <si>
    <t>Taunton Vale</t>
  </si>
  <si>
    <t>Helvellyn</t>
  </si>
  <si>
    <t>Skiddaw</t>
  </si>
  <si>
    <t>mountains</t>
  </si>
  <si>
    <t>Cambrian mountains</t>
  </si>
  <si>
    <t>lowland zone</t>
  </si>
  <si>
    <t xml:space="preserve">9, 28, </t>
  </si>
  <si>
    <t>Lyme Regis</t>
  </si>
  <si>
    <t>Western Downs</t>
  </si>
  <si>
    <t>Hampshire Downs</t>
  </si>
  <si>
    <t>Beachy Head</t>
  </si>
  <si>
    <t>Forest Ridge</t>
  </si>
  <si>
    <t>Ragstone Ridge</t>
  </si>
  <si>
    <t>Hindhead</t>
  </si>
  <si>
    <t>East Anglian ridge</t>
  </si>
  <si>
    <t>Hunstanton</t>
  </si>
  <si>
    <t>Lincoln Wolds</t>
  </si>
  <si>
    <t>Cotteswold Hills</t>
  </si>
  <si>
    <t>Northampton uplands</t>
  </si>
  <si>
    <t>Lincoln Edge</t>
  </si>
  <si>
    <t>Vale of Trent</t>
  </si>
  <si>
    <t xml:space="preserve">13, 28, </t>
  </si>
  <si>
    <t>Vale of York</t>
  </si>
  <si>
    <t>Robin Hood's Bay</t>
  </si>
  <si>
    <t>Southampton Water</t>
  </si>
  <si>
    <t>estuary</t>
  </si>
  <si>
    <t>southern Peak</t>
  </si>
  <si>
    <t xml:space="preserve">9, 29, </t>
  </si>
  <si>
    <t>eastern highlands</t>
  </si>
  <si>
    <t>Mercia</t>
  </si>
  <si>
    <t xml:space="preserve">13, 15, 33, </t>
  </si>
  <si>
    <t>south coast Britain</t>
  </si>
  <si>
    <t xml:space="preserve">29, 36, </t>
  </si>
  <si>
    <t xml:space="preserve">9, 15, 37, </t>
  </si>
  <si>
    <t>Forth-Clyde area</t>
  </si>
  <si>
    <t xml:space="preserve">33, 39, </t>
  </si>
  <si>
    <t xml:space="preserve">13, 15, 20, 39, </t>
  </si>
  <si>
    <t xml:space="preserve">27-9, 40-1, </t>
  </si>
  <si>
    <t>north England</t>
  </si>
  <si>
    <t xml:space="preserve">27, 46, </t>
  </si>
  <si>
    <t>Winterslow</t>
  </si>
  <si>
    <t>south-western Lowlands</t>
  </si>
  <si>
    <t>eastern Lowlands</t>
  </si>
  <si>
    <t xml:space="preserve">23, 32, 46, </t>
  </si>
  <si>
    <t>Eastern Plain</t>
  </si>
  <si>
    <t xml:space="preserve">27, 29, 51, </t>
  </si>
  <si>
    <t>Dales</t>
  </si>
  <si>
    <t>East Suffolk</t>
  </si>
  <si>
    <t>West Suffolk</t>
  </si>
  <si>
    <t xml:space="preserve">24, 51, 53, 55, </t>
  </si>
  <si>
    <t>Kimmeridge</t>
  </si>
  <si>
    <t xml:space="preserve">28, 55, </t>
  </si>
  <si>
    <t xml:space="preserve">55, 58, </t>
  </si>
  <si>
    <t xml:space="preserve">27, 58, </t>
  </si>
  <si>
    <t xml:space="preserve">28, 58, </t>
  </si>
  <si>
    <t>South Lancashire</t>
  </si>
  <si>
    <t>Malpas Hills</t>
  </si>
  <si>
    <t>Peckforton Hills</t>
  </si>
  <si>
    <t xml:space="preserve">24, 46, 58, </t>
  </si>
  <si>
    <t xml:space="preserve">8, 27, 40, 59, </t>
  </si>
  <si>
    <t xml:space="preserve">27, 41, 59, </t>
  </si>
  <si>
    <t xml:space="preserve">24, 60, </t>
  </si>
  <si>
    <t xml:space="preserve">9, 20, 29, 60, </t>
  </si>
  <si>
    <t xml:space="preserve">9, 20-1, 60, </t>
  </si>
  <si>
    <t>Lydney</t>
  </si>
  <si>
    <t>Connemara</t>
  </si>
  <si>
    <t xml:space="preserve">28, 61, </t>
  </si>
  <si>
    <t xml:space="preserve">52, 54, 61, </t>
  </si>
  <si>
    <t>Heathlands</t>
  </si>
  <si>
    <t xml:space="preserve">51, 61, </t>
  </si>
  <si>
    <t>southern slopes</t>
  </si>
  <si>
    <t>eastern slopes</t>
  </si>
  <si>
    <t xml:space="preserve">28, 62, </t>
  </si>
  <si>
    <t xml:space="preserve">28, 55, 62, </t>
  </si>
  <si>
    <t>Brigg</t>
  </si>
  <si>
    <t>Wintringham</t>
  </si>
  <si>
    <t>Weir Dyke</t>
  </si>
  <si>
    <t>Caistor</t>
  </si>
  <si>
    <t xml:space="preserve">55, 62, </t>
  </si>
  <si>
    <t>Ancaster</t>
  </si>
  <si>
    <t>Grantham</t>
  </si>
  <si>
    <t xml:space="preserve">46, 62, </t>
  </si>
  <si>
    <t xml:space="preserve">61, 63, </t>
  </si>
  <si>
    <t xml:space="preserve">28, 62-3, </t>
  </si>
  <si>
    <t xml:space="preserve">58, 60, 63, </t>
  </si>
  <si>
    <t>Exe Valley</t>
  </si>
  <si>
    <t xml:space="preserve">24, 28, 46, 63, </t>
  </si>
  <si>
    <t xml:space="preserve">55, 62-3, </t>
  </si>
  <si>
    <t>Shoeburyness</t>
  </si>
  <si>
    <t>south-east Essex</t>
  </si>
  <si>
    <t xml:space="preserve">25, 64, </t>
  </si>
  <si>
    <t xml:space="preserve">13, 28, 64, </t>
  </si>
  <si>
    <t>River Yare</t>
  </si>
  <si>
    <t xml:space="preserve">13, 62, 64, </t>
  </si>
  <si>
    <t>Rochester</t>
  </si>
  <si>
    <t xml:space="preserve">13, 51, 64, </t>
  </si>
  <si>
    <t>Deben</t>
  </si>
  <si>
    <t xml:space="preserve">13, 64, </t>
  </si>
  <si>
    <t xml:space="preserve">28, 65, </t>
  </si>
  <si>
    <t xml:space="preserve">9, 28-9, 46, 55, 59, 65, </t>
  </si>
  <si>
    <t>Radipole</t>
  </si>
  <si>
    <t xml:space="preserve">13, 20, 28, 65, </t>
  </si>
  <si>
    <t xml:space="preserve">13, 20, 65, </t>
  </si>
  <si>
    <t xml:space="preserve">20, 65, </t>
  </si>
  <si>
    <t>Itchen</t>
  </si>
  <si>
    <t>King's Lynn</t>
  </si>
  <si>
    <t xml:space="preserve">9, 65, </t>
  </si>
  <si>
    <t xml:space="preserve">55, 65, </t>
  </si>
  <si>
    <t xml:space="preserve">13, 28, 62-5, </t>
  </si>
  <si>
    <t xml:space="preserve">55, 58, 65, </t>
  </si>
  <si>
    <t xml:space="preserve">25, 50, 54, 66, </t>
  </si>
  <si>
    <t xml:space="preserve">28-9, 32, 62, 66, </t>
  </si>
  <si>
    <t xml:space="preserve">28, 66, </t>
  </si>
  <si>
    <t xml:space="preserve">28, 46, 51, 55, 58, 66, </t>
  </si>
  <si>
    <t xml:space="preserve">28, 55, 58, 66, </t>
  </si>
  <si>
    <t>River Tyne</t>
  </si>
  <si>
    <t>Tweed Valley</t>
  </si>
  <si>
    <t>Eden Valley</t>
  </si>
  <si>
    <t>Aire Gap</t>
  </si>
  <si>
    <t>Northern Pennines</t>
  </si>
  <si>
    <t>River Dove</t>
  </si>
  <si>
    <t>Taff Estuary</t>
  </si>
  <si>
    <t>Mounts Bay</t>
  </si>
  <si>
    <t xml:space="preserve">20, 44, 66, </t>
  </si>
  <si>
    <t>Fowey-Padstow</t>
  </si>
  <si>
    <t>Carmarthen Bay</t>
  </si>
  <si>
    <t>Porthmadog</t>
  </si>
  <si>
    <t>Traeth Mawr</t>
  </si>
  <si>
    <t>Clynnog</t>
  </si>
  <si>
    <t xml:space="preserve">40, 67, </t>
  </si>
  <si>
    <t xml:space="preserve">29, 67, </t>
  </si>
  <si>
    <t>Luce Bay</t>
  </si>
  <si>
    <t>Wigtown Bay</t>
  </si>
  <si>
    <t>67,</t>
  </si>
  <si>
    <t>Belfast Lough</t>
  </si>
  <si>
    <t>Loch Ryan</t>
  </si>
  <si>
    <t>Mull of Galloway</t>
  </si>
  <si>
    <t xml:space="preserve">29, 41, 66-7, </t>
  </si>
  <si>
    <t xml:space="preserve">9, 41, 67, </t>
  </si>
  <si>
    <t xml:space="preserve">27, 67, </t>
  </si>
  <si>
    <t xml:space="preserve">28, 67, </t>
  </si>
  <si>
    <t>Plynlimon Range</t>
  </si>
  <si>
    <t xml:space="preserve">27, 67-8, </t>
  </si>
  <si>
    <t>Oswestry</t>
  </si>
  <si>
    <t>Montford Bridge</t>
  </si>
  <si>
    <t xml:space="preserve">27, 68, </t>
  </si>
  <si>
    <t>Dyfi estuary</t>
  </si>
  <si>
    <t>Worcestershire</t>
  </si>
  <si>
    <t>Bewdley</t>
  </si>
  <si>
    <t>south-west North Yorks</t>
  </si>
  <si>
    <t>Preston</t>
  </si>
  <si>
    <t>Ribble Valley</t>
  </si>
  <si>
    <t>Warrington</t>
  </si>
  <si>
    <t>Irthing</t>
  </si>
  <si>
    <t>Tyne Gap</t>
  </si>
  <si>
    <t>Clydeside</t>
  </si>
  <si>
    <t>Lauderdale</t>
  </si>
  <si>
    <t>Moorfoot Hills</t>
  </si>
  <si>
    <t>Biggar Water</t>
  </si>
  <si>
    <t>Eddleston Water</t>
  </si>
  <si>
    <t>Culter</t>
  </si>
  <si>
    <t xml:space="preserve">9, 20, 28, 51, 61, 68-9, </t>
  </si>
  <si>
    <t xml:space="preserve">66, 68-9, </t>
  </si>
  <si>
    <t xml:space="preserve">9, 29, 66, 68-9, </t>
  </si>
  <si>
    <t xml:space="preserve">29, 40, 68-9, </t>
  </si>
  <si>
    <t xml:space="preserve">58, 67-9, </t>
  </si>
  <si>
    <t xml:space="preserve">17, 32, 62, 68-9, </t>
  </si>
  <si>
    <t xml:space="preserve">9, 28-9, 46, 55, 69, </t>
  </si>
  <si>
    <t xml:space="preserve">9, 13, 17, 20, 52, 55, 65, 69, </t>
  </si>
  <si>
    <t xml:space="preserve">27, 50, 58, 68-9, </t>
  </si>
  <si>
    <t xml:space="preserve">27, 68-9, </t>
  </si>
  <si>
    <t xml:space="preserve">13, 28, 69, </t>
  </si>
  <si>
    <t>Althorpe</t>
  </si>
  <si>
    <t>north Lincolnshire</t>
  </si>
  <si>
    <t>Shrewsbury</t>
  </si>
  <si>
    <t xml:space="preserve">58, 69, </t>
  </si>
  <si>
    <t>River Wye</t>
  </si>
  <si>
    <t xml:space="preserve">20, 27, 29, 51, 68-9, 70, </t>
  </si>
  <si>
    <t xml:space="preserve">66, 68, 70, </t>
  </si>
  <si>
    <t xml:space="preserve">41, 67-8, 70, </t>
  </si>
  <si>
    <t xml:space="preserve">64, 70, </t>
  </si>
  <si>
    <t xml:space="preserve">20, 23, 29, 39, 41, 44-6, 66, 70, </t>
  </si>
  <si>
    <t xml:space="preserve">27, 70, </t>
  </si>
  <si>
    <t xml:space="preserve">27, 38-9, 43, 50, 59, 60, 70-1, </t>
  </si>
  <si>
    <t>Tre'r Ceiri</t>
  </si>
  <si>
    <t>Iron Age hillfort</t>
  </si>
  <si>
    <t xml:space="preserve">41, 71, </t>
  </si>
  <si>
    <t xml:space="preserve">27-8, 41, 67, 69, 70, 72, </t>
  </si>
  <si>
    <t xml:space="preserve">9, 28, 49, 59, 73, </t>
  </si>
  <si>
    <t>Welsh uplands</t>
  </si>
  <si>
    <t xml:space="preserve">67, 73, </t>
  </si>
  <si>
    <t>Blaenrhondda</t>
  </si>
  <si>
    <t xml:space="preserve">24, 59, 66, 73, </t>
  </si>
  <si>
    <t xml:space="preserve">27, 66, 69, 74, </t>
  </si>
  <si>
    <t xml:space="preserve">27, 84, </t>
  </si>
  <si>
    <t>Teesmouth</t>
  </si>
  <si>
    <t xml:space="preserve">28, 59, 84, </t>
  </si>
  <si>
    <t>Torquay</t>
  </si>
  <si>
    <t xml:space="preserve">20, 29, 70, 84, </t>
  </si>
  <si>
    <t xml:space="preserve">39, 68, 84-5, </t>
  </si>
  <si>
    <t xml:space="preserve">23, 68, 70, 86, </t>
  </si>
  <si>
    <t xml:space="preserve">8, 27, 29, 36, 38, 40, 43, 49, 58-9, 60, 65-7, 71-4, 76, 86, </t>
  </si>
  <si>
    <t xml:space="preserve">40-1, 67, 86, </t>
  </si>
  <si>
    <t xml:space="preserve">20-1, 28-9, 71, 86, </t>
  </si>
  <si>
    <t xml:space="preserve">27, 38, 66-7, 86, </t>
  </si>
  <si>
    <t xml:space="preserve">28-9, 51, 61-5, 86-7, </t>
  </si>
  <si>
    <t xml:space="preserve">29, 87, </t>
  </si>
  <si>
    <t xml:space="preserve">8-9, 12-3, 15, 17, 20, 22-4, 26-7, 29, 33, 39, 40-3, 45, 47, 49, 55, 58-9, 60-1, 64-5, 67-8, 70, 74, 76, 82, 84-7, 89, </t>
  </si>
  <si>
    <t xml:space="preserve">8, 28-9, 33-6, 38-9, 40-1, 43-7, 49, 50, 58, 66-9, 73-6, 84-7, </t>
  </si>
  <si>
    <t xml:space="preserve">8-9, 28-9, 33-4, 36-8, 44-6, 49, 50, 58, 62-5, 68, 76, 84-7, </t>
  </si>
  <si>
    <t xml:space="preserve">17, 20, 23, 26-7, 29, 49, 61, 69, 86-7, </t>
  </si>
  <si>
    <t>northern Lowlands</t>
  </si>
  <si>
    <t>south-eastern Lowlands</t>
  </si>
  <si>
    <t xml:space="preserve">46, 86, </t>
  </si>
  <si>
    <t>northern highlands</t>
  </si>
  <si>
    <t>north Britain</t>
  </si>
  <si>
    <t xml:space="preserve">66, 69, 85, </t>
  </si>
  <si>
    <t>southern highlands</t>
  </si>
  <si>
    <t xml:space="preserve">74, 85, </t>
  </si>
  <si>
    <t xml:space="preserve">9, 17, 20-4, 26-7, 29, 46-7, 67, 76, </t>
  </si>
  <si>
    <t xml:space="preserve">82, 86, </t>
  </si>
  <si>
    <t xml:space="preserve">13, 15, 17, 20, 22, 26-7, 40, 47, 58, 84, 86-7, </t>
  </si>
  <si>
    <t xml:space="preserve">17, 33, 40, 51, 55, 84, </t>
  </si>
  <si>
    <t xml:space="preserve">13, 26, 63, 65, 84, </t>
  </si>
  <si>
    <t xml:space="preserve">13, 20, 28, 32, 51, 55, 62-4, 69, 84, 86, </t>
  </si>
  <si>
    <t xml:space="preserve">41, 86, </t>
  </si>
  <si>
    <t xml:space="preserve">20, 28, 39, 40-1, 58, 67-8, 85, </t>
  </si>
  <si>
    <t xml:space="preserve">9, 39, 40-4, 46, 58, 60, 66-9, 85-7, </t>
  </si>
  <si>
    <t xml:space="preserve">20, 22, 26, 39, 40, 46-7, 82, 84, 86-7, </t>
  </si>
  <si>
    <t xml:space="preserve">13, 15, 20, 23, 26, 82, 84, </t>
  </si>
  <si>
    <t xml:space="preserve">26, 82, 87, </t>
  </si>
  <si>
    <t xml:space="preserve">13, 26, 34, 82, 84-5, </t>
  </si>
  <si>
    <t xml:space="preserve">13, 15, 20-1, 23-4, 26, 34, 47, 84, </t>
  </si>
  <si>
    <t xml:space="preserve">13, 26, 84, </t>
  </si>
  <si>
    <t>Hampshire/Wiltshire</t>
  </si>
  <si>
    <t>East Yorkshire</t>
  </si>
  <si>
    <t>North Yorkshire</t>
  </si>
  <si>
    <t>west Wales</t>
  </si>
  <si>
    <t>Eastbourne             East Sussex</t>
  </si>
  <si>
    <t>upland Wales</t>
  </si>
  <si>
    <t>Study area</t>
  </si>
  <si>
    <t>Region</t>
  </si>
  <si>
    <t>No of refs</t>
  </si>
  <si>
    <t>Total no of English county references</t>
  </si>
  <si>
    <t>Total no of references</t>
  </si>
  <si>
    <t>Regions</t>
  </si>
  <si>
    <t>No of refs per region</t>
  </si>
  <si>
    <t>Stanton Drew              Weddings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</si>
</sst>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u/>
      <sz val="8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4"/>
      <name val="Times New Roman"/>
      <family val="1"/>
    </font>
    <font>
      <sz val="10"/>
      <color theme="4"/>
      <name val="Times New Roman"/>
      <family val="1"/>
    </font>
    <font>
      <sz val="10"/>
      <name val="Times New Roman"/>
      <family val="1"/>
    </font>
    <font>
      <b/>
      <u/>
      <sz val="8"/>
      <name val="Times New Roman"/>
      <family val="1"/>
    </font>
    <font>
      <sz val="8"/>
      <name val="Times New Roman"/>
      <family val="1"/>
    </font>
    <font>
      <sz val="8"/>
      <color theme="9"/>
      <name val="Times New Roman"/>
      <family val="1"/>
    </font>
    <font>
      <sz val="8"/>
      <color rgb="FFFF0000"/>
      <name val="Times New Roman"/>
      <family val="1"/>
    </font>
    <font>
      <b/>
      <u/>
      <sz val="8"/>
      <color rgb="FF00B050"/>
      <name val="Times New Roman"/>
      <family val="1"/>
    </font>
    <font>
      <sz val="8"/>
      <color rgb="FF00B050"/>
      <name val="Times New Roman"/>
      <family val="1"/>
    </font>
    <font>
      <sz val="10"/>
      <color rgb="FF00B050"/>
      <name val="Times New Roman"/>
      <family val="1"/>
    </font>
    <font>
      <b/>
      <u/>
      <sz val="8"/>
      <color rgb="FF0070C0"/>
      <name val="Times New Roman"/>
      <family val="1"/>
    </font>
    <font>
      <sz val="8"/>
      <color rgb="FF0070C0"/>
      <name val="Times New Roman"/>
      <family val="1"/>
    </font>
    <font>
      <sz val="10"/>
      <color rgb="FF0070C0"/>
      <name val="Times New Roman"/>
      <family val="1"/>
    </font>
    <font>
      <b/>
      <u/>
      <sz val="8"/>
      <color rgb="FFFF0000"/>
      <name val="Times New Roman"/>
      <family val="1"/>
    </font>
    <font>
      <sz val="10"/>
      <color rgb="FFFF0000"/>
      <name val="Times New Roman"/>
      <family val="1"/>
    </font>
    <font>
      <b/>
      <u/>
      <sz val="8"/>
      <color rgb="FF00B0F0"/>
      <name val="Times New Roman"/>
      <family val="1"/>
    </font>
    <font>
      <sz val="8"/>
      <color rgb="FF00B0F0"/>
      <name val="Times New Roman"/>
      <family val="1"/>
    </font>
    <font>
      <sz val="10"/>
      <color rgb="FF00B0F0"/>
      <name val="Times New Roman"/>
      <family val="1"/>
    </font>
    <font>
      <b/>
      <u/>
      <sz val="10"/>
      <name val="Times New Roman"/>
      <family val="1"/>
    </font>
    <font>
      <b/>
      <u/>
      <sz val="11"/>
      <color theme="1"/>
      <name val="Calibri"/>
      <family val="2"/>
      <scheme val="minor"/>
    </font>
    <font>
      <u/>
      <sz val="8"/>
      <name val="Times New Roman"/>
      <family val="1"/>
    </font>
    <font>
      <sz val="10"/>
      <color theme="1"/>
      <name val="Calibri"/>
      <family val="2"/>
      <scheme val="minor"/>
    </font>
    <font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8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6" fillId="0" borderId="0" xfId="0" applyFont="1" applyAlignment="1">
      <alignment horizontal="left"/>
    </xf>
    <xf numFmtId="0" fontId="8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24" fillId="0" borderId="0" xfId="0" applyFont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22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10" fillId="0" borderId="0" xfId="0" applyFont="1" applyAlignment="1">
      <alignment horizontal="left" vertical="center" wrapText="1"/>
    </xf>
    <xf numFmtId="0" fontId="8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Thomas</a:t>
            </a:r>
            <a:r>
              <a:rPr lang="en-GB" baseline="0"/>
              <a:t> (2013) No. of references per country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'9 Thomas Birth of Neo GB'!$B$645</c:f>
              <c:strCache>
                <c:ptCount val="1"/>
                <c:pt idx="0">
                  <c:v>England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'9 Thomas Birth of Neo GB'!$C$645</c:f>
              <c:numCache>
                <c:formatCode>General</c:formatCode>
                <c:ptCount val="1"/>
                <c:pt idx="0">
                  <c:v>1085</c:v>
                </c:pt>
              </c:numCache>
            </c:numRef>
          </c:val>
        </c:ser>
        <c:ser>
          <c:idx val="1"/>
          <c:order val="1"/>
          <c:tx>
            <c:strRef>
              <c:f>'9 Thomas Birth of Neo GB'!$B$646</c:f>
              <c:strCache>
                <c:ptCount val="1"/>
                <c:pt idx="0">
                  <c:v>Scotland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'9 Thomas Birth of Neo GB'!$C$646</c:f>
              <c:numCache>
                <c:formatCode>General</c:formatCode>
                <c:ptCount val="1"/>
                <c:pt idx="0">
                  <c:v>508.5</c:v>
                </c:pt>
              </c:numCache>
            </c:numRef>
          </c:val>
        </c:ser>
        <c:ser>
          <c:idx val="2"/>
          <c:order val="2"/>
          <c:tx>
            <c:strRef>
              <c:f>'9 Thomas Birth of Neo GB'!$B$647</c:f>
              <c:strCache>
                <c:ptCount val="1"/>
                <c:pt idx="0">
                  <c:v>Wales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'9 Thomas Birth of Neo GB'!$C$647</c:f>
              <c:numCache>
                <c:formatCode>General</c:formatCode>
                <c:ptCount val="1"/>
                <c:pt idx="0">
                  <c:v>142</c:v>
                </c:pt>
              </c:numCache>
            </c:numRef>
          </c:val>
        </c:ser>
        <c:ser>
          <c:idx val="3"/>
          <c:order val="3"/>
          <c:tx>
            <c:strRef>
              <c:f>'9 Thomas Birth of Neo GB'!$B$648</c:f>
              <c:strCache>
                <c:ptCount val="1"/>
                <c:pt idx="0">
                  <c:v>Ireland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'9 Thomas Birth of Neo GB'!$C$648</c:f>
              <c:numCache>
                <c:formatCode>General</c:formatCode>
                <c:ptCount val="1"/>
                <c:pt idx="0">
                  <c:v>219.5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69921536"/>
        <c:axId val="469917224"/>
      </c:barChart>
      <c:catAx>
        <c:axId val="469921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917224"/>
        <c:crosses val="autoZero"/>
        <c:auto val="1"/>
        <c:lblAlgn val="ctr"/>
        <c:lblOffset val="100"/>
        <c:noMultiLvlLbl val="0"/>
      </c:catAx>
      <c:valAx>
        <c:axId val="469917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9921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Thomas (2013) % references per English 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>
                <c:manualLayout>
                  <c:x val="-3.5194356946510651E-2"/>
                  <c:y val="0.1106453941289242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7086797281173191E-2"/>
                  <c:y val="0.18281590655736077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9882798497333129E-2"/>
                  <c:y val="0.16435616785212809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'9 Thomas Birth of Neo GB'!$B$539:$B$543</c:f>
              <c:strCache>
                <c:ptCount val="5"/>
                <c:pt idx="0">
                  <c:v>NE</c:v>
                </c:pt>
                <c:pt idx="1">
                  <c:v>NW</c:v>
                </c:pt>
                <c:pt idx="2">
                  <c:v>SE</c:v>
                </c:pt>
                <c:pt idx="3">
                  <c:v>SW</c:v>
                </c:pt>
                <c:pt idx="4">
                  <c:v>Central</c:v>
                </c:pt>
              </c:strCache>
            </c:strRef>
          </c:cat>
          <c:val>
            <c:numRef>
              <c:f>'9 Thomas Birth of Neo GB'!$C$539:$C$543</c:f>
              <c:numCache>
                <c:formatCode>General</c:formatCode>
                <c:ptCount val="5"/>
                <c:pt idx="0">
                  <c:v>78</c:v>
                </c:pt>
                <c:pt idx="1">
                  <c:v>12</c:v>
                </c:pt>
                <c:pt idx="2">
                  <c:v>283</c:v>
                </c:pt>
                <c:pt idx="3">
                  <c:v>475</c:v>
                </c:pt>
                <c:pt idx="4">
                  <c:v>179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Thomas</a:t>
            </a:r>
            <a:r>
              <a:rPr lang="en-GB" baseline="0"/>
              <a:t> (2013) English site references per county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'9 Thomas Birth of Neo GB'!$B$483:$B$536</c:f>
              <c:strCache>
                <c:ptCount val="54"/>
                <c:pt idx="0">
                  <c:v>Bath and North-East Somerset</c:v>
                </c:pt>
                <c:pt idx="1">
                  <c:v>Bedfordshire</c:v>
                </c:pt>
                <c:pt idx="2">
                  <c:v>Berkshire</c:v>
                </c:pt>
                <c:pt idx="3">
                  <c:v>Brighton and Hove</c:v>
                </c:pt>
                <c:pt idx="4">
                  <c:v>Buckinghamshire</c:v>
                </c:pt>
                <c:pt idx="5">
                  <c:v>Cambridgeshire</c:v>
                </c:pt>
                <c:pt idx="6">
                  <c:v>Cheshire</c:v>
                </c:pt>
                <c:pt idx="7">
                  <c:v>Cleveland</c:v>
                </c:pt>
                <c:pt idx="8">
                  <c:v>Cornwall</c:v>
                </c:pt>
                <c:pt idx="9">
                  <c:v>Cumbria</c:v>
                </c:pt>
                <c:pt idx="10">
                  <c:v>Derbyshire</c:v>
                </c:pt>
                <c:pt idx="11">
                  <c:v>Devon</c:v>
                </c:pt>
                <c:pt idx="12">
                  <c:v>Dorset</c:v>
                </c:pt>
                <c:pt idx="13">
                  <c:v>Durham</c:v>
                </c:pt>
                <c:pt idx="14">
                  <c:v>East Anglia</c:v>
                </c:pt>
                <c:pt idx="15">
                  <c:v>Essex</c:v>
                </c:pt>
                <c:pt idx="16">
                  <c:v>East Midlands</c:v>
                </c:pt>
                <c:pt idx="17">
                  <c:v>West Midlands</c:v>
                </c:pt>
                <c:pt idx="18">
                  <c:v>Gloucestershire</c:v>
                </c:pt>
                <c:pt idx="19">
                  <c:v>Hampshire</c:v>
                </c:pt>
                <c:pt idx="20">
                  <c:v>Herefordshire</c:v>
                </c:pt>
                <c:pt idx="21">
                  <c:v>Hertfordshire</c:v>
                </c:pt>
                <c:pt idx="22">
                  <c:v>Kent</c:v>
                </c:pt>
                <c:pt idx="23">
                  <c:v>Lancashire</c:v>
                </c:pt>
                <c:pt idx="24">
                  <c:v>Leicestershire</c:v>
                </c:pt>
                <c:pt idx="25">
                  <c:v>Lincolnshire</c:v>
                </c:pt>
                <c:pt idx="26">
                  <c:v>London Greater</c:v>
                </c:pt>
                <c:pt idx="27">
                  <c:v>London Inner</c:v>
                </c:pt>
                <c:pt idx="28">
                  <c:v>Merseyside</c:v>
                </c:pt>
                <c:pt idx="29">
                  <c:v>Middlesex</c:v>
                </c:pt>
                <c:pt idx="30">
                  <c:v>Milton Keynes</c:v>
                </c:pt>
                <c:pt idx="31">
                  <c:v>Norfolk</c:v>
                </c:pt>
                <c:pt idx="32">
                  <c:v>Northamptonshire</c:v>
                </c:pt>
                <c:pt idx="33">
                  <c:v>Northumberland</c:v>
                </c:pt>
                <c:pt idx="34">
                  <c:v>Nottinghamshire</c:v>
                </c:pt>
                <c:pt idx="35">
                  <c:v>Oxfordshire</c:v>
                </c:pt>
                <c:pt idx="36">
                  <c:v>Shropshire</c:v>
                </c:pt>
                <c:pt idx="37">
                  <c:v>Somerset</c:v>
                </c:pt>
                <c:pt idx="38">
                  <c:v>Staffordshire</c:v>
                </c:pt>
                <c:pt idx="39">
                  <c:v>Suffolk</c:v>
                </c:pt>
                <c:pt idx="40">
                  <c:v>Surrey</c:v>
                </c:pt>
                <c:pt idx="41">
                  <c:v>Sussex</c:v>
                </c:pt>
                <c:pt idx="42">
                  <c:v>Tyne and Wear</c:v>
                </c:pt>
                <c:pt idx="43">
                  <c:v>Warwickshire</c:v>
                </c:pt>
                <c:pt idx="44">
                  <c:v>Wiltshire</c:v>
                </c:pt>
                <c:pt idx="45">
                  <c:v>Windsor &amp; Maidenhead</c:v>
                </c:pt>
                <c:pt idx="46">
                  <c:v>Yorkshire East</c:v>
                </c:pt>
                <c:pt idx="47">
                  <c:v>Yorkshire North</c:v>
                </c:pt>
                <c:pt idx="48">
                  <c:v>Yorkshire South</c:v>
                </c:pt>
                <c:pt idx="49">
                  <c:v>Yorkshire West</c:v>
                </c:pt>
                <c:pt idx="50">
                  <c:v>Other mentions</c:v>
                </c:pt>
                <c:pt idx="51">
                  <c:v>Isle of Man</c:v>
                </c:pt>
                <c:pt idx="52">
                  <c:v>Isle of Wight</c:v>
                </c:pt>
                <c:pt idx="53">
                  <c:v>Scilly Isles</c:v>
                </c:pt>
              </c:strCache>
            </c:strRef>
          </c:cat>
          <c:val>
            <c:numRef>
              <c:f>'9 Thomas Birth of Neo GB'!$C$483:$C$536</c:f>
              <c:numCache>
                <c:formatCode>General</c:formatCode>
                <c:ptCount val="54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>
                  <c:v>0</c:v>
                </c:pt>
                <c:pt idx="4">
                  <c:v>5</c:v>
                </c:pt>
                <c:pt idx="5">
                  <c:v>42</c:v>
                </c:pt>
                <c:pt idx="6">
                  <c:v>0</c:v>
                </c:pt>
                <c:pt idx="7">
                  <c:v>5</c:v>
                </c:pt>
                <c:pt idx="8">
                  <c:v>11</c:v>
                </c:pt>
                <c:pt idx="9">
                  <c:v>3</c:v>
                </c:pt>
                <c:pt idx="10">
                  <c:v>14</c:v>
                </c:pt>
                <c:pt idx="11">
                  <c:v>29</c:v>
                </c:pt>
                <c:pt idx="12">
                  <c:v>42</c:v>
                </c:pt>
                <c:pt idx="13">
                  <c:v>0</c:v>
                </c:pt>
                <c:pt idx="14">
                  <c:v>9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86</c:v>
                </c:pt>
                <c:pt idx="19">
                  <c:v>8</c:v>
                </c:pt>
                <c:pt idx="20">
                  <c:v>1</c:v>
                </c:pt>
                <c:pt idx="21">
                  <c:v>5</c:v>
                </c:pt>
                <c:pt idx="22">
                  <c:v>57</c:v>
                </c:pt>
                <c:pt idx="23">
                  <c:v>0</c:v>
                </c:pt>
                <c:pt idx="24">
                  <c:v>0</c:v>
                </c:pt>
                <c:pt idx="25">
                  <c:v>7</c:v>
                </c:pt>
                <c:pt idx="26">
                  <c:v>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12</c:v>
                </c:pt>
                <c:pt idx="32">
                  <c:v>24</c:v>
                </c:pt>
                <c:pt idx="33">
                  <c:v>11</c:v>
                </c:pt>
                <c:pt idx="34">
                  <c:v>0</c:v>
                </c:pt>
                <c:pt idx="35">
                  <c:v>61</c:v>
                </c:pt>
                <c:pt idx="36">
                  <c:v>18</c:v>
                </c:pt>
                <c:pt idx="37">
                  <c:v>67</c:v>
                </c:pt>
                <c:pt idx="38">
                  <c:v>0</c:v>
                </c:pt>
                <c:pt idx="39">
                  <c:v>7</c:v>
                </c:pt>
                <c:pt idx="40">
                  <c:v>3</c:v>
                </c:pt>
                <c:pt idx="41">
                  <c:v>77</c:v>
                </c:pt>
                <c:pt idx="42">
                  <c:v>0</c:v>
                </c:pt>
                <c:pt idx="43">
                  <c:v>0</c:v>
                </c:pt>
                <c:pt idx="44">
                  <c:v>150</c:v>
                </c:pt>
                <c:pt idx="45">
                  <c:v>15</c:v>
                </c:pt>
                <c:pt idx="46">
                  <c:v>11</c:v>
                </c:pt>
                <c:pt idx="47">
                  <c:v>22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429072"/>
        <c:axId val="471427112"/>
      </c:barChart>
      <c:catAx>
        <c:axId val="47142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427112"/>
        <c:crosses val="autoZero"/>
        <c:auto val="1"/>
        <c:lblAlgn val="ctr"/>
        <c:lblOffset val="100"/>
        <c:noMultiLvlLbl val="0"/>
      </c:catAx>
      <c:valAx>
        <c:axId val="471427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42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Thomas (2013)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 Thomas Birth of Neo GB'!$B$539</c:f>
              <c:strCache>
                <c:ptCount val="1"/>
                <c:pt idx="0">
                  <c:v>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'9 Thomas Birth of Neo GB'!$C$539</c:f>
              <c:numCache>
                <c:formatCode>General</c:formatCode>
                <c:ptCount val="1"/>
                <c:pt idx="0">
                  <c:v>78</c:v>
                </c:pt>
              </c:numCache>
            </c:numRef>
          </c:val>
        </c:ser>
        <c:ser>
          <c:idx val="1"/>
          <c:order val="1"/>
          <c:tx>
            <c:strRef>
              <c:f>'9 Thomas Birth of Neo GB'!$B$540</c:f>
              <c:strCache>
                <c:ptCount val="1"/>
                <c:pt idx="0">
                  <c:v>NW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'9 Thomas Birth of Neo GB'!$C$540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2"/>
          <c:order val="2"/>
          <c:tx>
            <c:strRef>
              <c:f>'9 Thomas Birth of Neo GB'!$B$541</c:f>
              <c:strCache>
                <c:ptCount val="1"/>
                <c:pt idx="0">
                  <c:v>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'9 Thomas Birth of Neo GB'!$C$541</c:f>
              <c:numCache>
                <c:formatCode>General</c:formatCode>
                <c:ptCount val="1"/>
                <c:pt idx="0">
                  <c:v>283</c:v>
                </c:pt>
              </c:numCache>
            </c:numRef>
          </c:val>
        </c:ser>
        <c:ser>
          <c:idx val="3"/>
          <c:order val="3"/>
          <c:tx>
            <c:strRef>
              <c:f>'9 Thomas Birth of Neo GB'!$B$542</c:f>
              <c:strCache>
                <c:ptCount val="1"/>
                <c:pt idx="0">
                  <c:v>SW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'9 Thomas Birth of Neo GB'!$C$542</c:f>
              <c:numCache>
                <c:formatCode>General</c:formatCode>
                <c:ptCount val="1"/>
                <c:pt idx="0">
                  <c:v>475</c:v>
                </c:pt>
              </c:numCache>
            </c:numRef>
          </c:val>
        </c:ser>
        <c:ser>
          <c:idx val="4"/>
          <c:order val="4"/>
          <c:tx>
            <c:strRef>
              <c:f>'9 Thomas Birth of Neo GB'!$B$543</c:f>
              <c:strCache>
                <c:ptCount val="1"/>
                <c:pt idx="0">
                  <c:v>Central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'9 Thomas Birth of Neo GB'!$C$543</c:f>
              <c:numCache>
                <c:formatCode>General</c:formatCode>
                <c:ptCount val="1"/>
                <c:pt idx="0">
                  <c:v>179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427896"/>
        <c:axId val="471426328"/>
      </c:barChart>
      <c:catAx>
        <c:axId val="4714278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1426328"/>
        <c:crosses val="autoZero"/>
        <c:auto val="1"/>
        <c:lblAlgn val="ctr"/>
        <c:lblOffset val="100"/>
        <c:noMultiLvlLbl val="0"/>
      </c:catAx>
      <c:valAx>
        <c:axId val="47142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427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664679</xdr:colOff>
      <xdr:row>526</xdr:row>
      <xdr:rowOff>10353</xdr:rowOff>
    </xdr:from>
    <xdr:to>
      <xdr:col>10</xdr:col>
      <xdr:colOff>1695864</xdr:colOff>
      <xdr:row>542</xdr:row>
      <xdr:rowOff>123826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952499</xdr:colOff>
      <xdr:row>551</xdr:row>
      <xdr:rowOff>113887</xdr:rowOff>
    </xdr:from>
    <xdr:to>
      <xdr:col>9</xdr:col>
      <xdr:colOff>248478</xdr:colOff>
      <xdr:row>565</xdr:row>
      <xdr:rowOff>124032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548723</xdr:colOff>
      <xdr:row>498</xdr:row>
      <xdr:rowOff>72678</xdr:rowOff>
    </xdr:from>
    <xdr:to>
      <xdr:col>18</xdr:col>
      <xdr:colOff>62120</xdr:colOff>
      <xdr:row>523</xdr:row>
      <xdr:rowOff>41412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457614</xdr:colOff>
      <xdr:row>535</xdr:row>
      <xdr:rowOff>114093</xdr:rowOff>
    </xdr:from>
    <xdr:to>
      <xdr:col>10</xdr:col>
      <xdr:colOff>1488799</xdr:colOff>
      <xdr:row>552</xdr:row>
      <xdr:rowOff>144738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8"/>
  <sheetViews>
    <sheetView tabSelected="1" zoomScale="110" zoomScaleNormal="130" workbookViewId="0">
      <pane ySplit="1" topLeftCell="A361" activePane="bottomLeft" state="frozen"/>
      <selection activeCell="A680" sqref="A680"/>
      <selection pane="bottomLeft" activeCell="F363" sqref="F363"/>
    </sheetView>
  </sheetViews>
  <sheetFormatPr defaultRowHeight="21" customHeight="1" x14ac:dyDescent="0.25"/>
  <cols>
    <col min="1" max="1" width="9.140625" style="1"/>
    <col min="2" max="2" width="15.28515625" style="4" customWidth="1"/>
    <col min="3" max="3" width="18.85546875" style="2" customWidth="1"/>
    <col min="4" max="4" width="9.140625" style="6" customWidth="1"/>
    <col min="5" max="5" width="11.140625" style="4" customWidth="1"/>
    <col min="6" max="6" width="8.42578125" style="4" customWidth="1"/>
    <col min="7" max="10" width="9.140625" style="4" customWidth="1"/>
    <col min="11" max="11" width="47" style="6" customWidth="1"/>
    <col min="12" max="12" width="5.85546875" style="1" customWidth="1"/>
    <col min="13" max="13" width="6.85546875" style="1" customWidth="1"/>
    <col min="14" max="14" width="6.5703125" style="1" customWidth="1"/>
    <col min="15" max="15" width="10.85546875" style="1" customWidth="1"/>
    <col min="16" max="16" width="10.28515625" style="1" customWidth="1"/>
    <col min="17" max="17" width="13.85546875" style="6" customWidth="1"/>
    <col min="18" max="16384" width="9.140625" style="1"/>
  </cols>
  <sheetData>
    <row r="1" spans="1:19" s="3" customFormat="1" ht="42" customHeight="1" x14ac:dyDescent="0.25">
      <c r="A1" s="3" t="s">
        <v>1267</v>
      </c>
      <c r="B1" s="3" t="s">
        <v>2</v>
      </c>
      <c r="C1" s="3" t="s">
        <v>0</v>
      </c>
      <c r="D1" s="5" t="s">
        <v>6</v>
      </c>
      <c r="E1" s="3" t="s">
        <v>1</v>
      </c>
      <c r="F1" s="3" t="s">
        <v>3</v>
      </c>
      <c r="G1" s="5" t="s">
        <v>29</v>
      </c>
      <c r="H1" s="5" t="s">
        <v>30</v>
      </c>
      <c r="I1" s="5" t="s">
        <v>71</v>
      </c>
      <c r="J1" s="5" t="s">
        <v>4</v>
      </c>
      <c r="K1" s="5" t="s">
        <v>5</v>
      </c>
      <c r="L1" s="3" t="s">
        <v>109</v>
      </c>
      <c r="M1" s="3" t="s">
        <v>104</v>
      </c>
      <c r="N1" s="3" t="s">
        <v>105</v>
      </c>
      <c r="O1" s="3" t="s">
        <v>106</v>
      </c>
      <c r="P1" s="3" t="s">
        <v>107</v>
      </c>
      <c r="Q1" s="5"/>
      <c r="R1" s="5"/>
      <c r="S1" s="5"/>
    </row>
    <row r="2" spans="1:19" s="3" customFormat="1" ht="18.75" customHeight="1" x14ac:dyDescent="0.25">
      <c r="A2" s="3" t="s">
        <v>1268</v>
      </c>
      <c r="B2" s="6" t="s">
        <v>532</v>
      </c>
      <c r="C2" s="2" t="s">
        <v>533</v>
      </c>
      <c r="D2" s="6" t="s">
        <v>8</v>
      </c>
      <c r="E2" s="4" t="s">
        <v>534</v>
      </c>
      <c r="F2" s="4" t="s">
        <v>11</v>
      </c>
      <c r="G2" s="6"/>
      <c r="H2" s="4">
        <f t="shared" ref="H2:H33" si="0">SUM(G2,I2)</f>
        <v>2</v>
      </c>
      <c r="I2" s="6">
        <v>2</v>
      </c>
      <c r="J2" s="6">
        <v>1</v>
      </c>
      <c r="K2" s="6" t="s">
        <v>513</v>
      </c>
      <c r="L2" s="4" t="s">
        <v>119</v>
      </c>
      <c r="M2" s="4">
        <v>60034</v>
      </c>
      <c r="N2" s="4">
        <v>63276</v>
      </c>
      <c r="O2" s="4">
        <v>360034</v>
      </c>
      <c r="P2" s="4">
        <v>163276</v>
      </c>
    </row>
    <row r="3" spans="1:19" s="3" customFormat="1" ht="18.75" customHeight="1" x14ac:dyDescent="0.25">
      <c r="A3" s="3" t="s">
        <v>1268</v>
      </c>
      <c r="B3" s="6" t="s">
        <v>411</v>
      </c>
      <c r="C3" s="2" t="s">
        <v>605</v>
      </c>
      <c r="D3" s="6" t="s">
        <v>598</v>
      </c>
      <c r="E3" s="6" t="s">
        <v>606</v>
      </c>
      <c r="F3" s="4" t="s">
        <v>11</v>
      </c>
      <c r="G3" s="6"/>
      <c r="H3" s="4">
        <f t="shared" si="0"/>
        <v>1</v>
      </c>
      <c r="I3" s="6">
        <v>1</v>
      </c>
      <c r="J3" s="6">
        <v>1</v>
      </c>
      <c r="K3" s="6" t="s">
        <v>590</v>
      </c>
      <c r="L3" s="4" t="s">
        <v>177</v>
      </c>
      <c r="M3" s="4">
        <v>21</v>
      </c>
      <c r="N3" s="4">
        <v>2347</v>
      </c>
      <c r="O3" s="4">
        <v>500210</v>
      </c>
      <c r="P3" s="4">
        <v>223470</v>
      </c>
    </row>
    <row r="4" spans="1:19" s="4" customFormat="1" ht="18.75" customHeight="1" x14ac:dyDescent="0.25">
      <c r="A4" s="3" t="s">
        <v>1268</v>
      </c>
      <c r="B4" s="4" t="s">
        <v>411</v>
      </c>
      <c r="C4" s="2" t="s">
        <v>412</v>
      </c>
      <c r="D4" s="6" t="s">
        <v>18</v>
      </c>
      <c r="E4" s="4" t="s">
        <v>413</v>
      </c>
      <c r="F4" s="4" t="s">
        <v>11</v>
      </c>
      <c r="G4" s="6"/>
      <c r="H4" s="4">
        <f t="shared" si="0"/>
        <v>2</v>
      </c>
      <c r="I4" s="6">
        <v>2</v>
      </c>
      <c r="J4" s="6">
        <v>2</v>
      </c>
      <c r="K4" s="6" t="s">
        <v>508</v>
      </c>
      <c r="L4" s="4" t="s">
        <v>177</v>
      </c>
      <c r="M4" s="4">
        <v>615</v>
      </c>
      <c r="N4" s="4">
        <v>2460</v>
      </c>
      <c r="O4" s="4">
        <v>506150</v>
      </c>
      <c r="P4" s="4">
        <v>224600</v>
      </c>
    </row>
    <row r="5" spans="1:19" s="4" customFormat="1" ht="18.75" customHeight="1" x14ac:dyDescent="0.25">
      <c r="A5" s="3" t="s">
        <v>1268</v>
      </c>
      <c r="B5" s="4" t="s">
        <v>297</v>
      </c>
      <c r="C5" s="2" t="s">
        <v>539</v>
      </c>
      <c r="D5" s="6" t="s">
        <v>540</v>
      </c>
      <c r="E5" s="4" t="s">
        <v>311</v>
      </c>
      <c r="F5" s="4" t="s">
        <v>11</v>
      </c>
      <c r="G5" s="6"/>
      <c r="H5" s="4">
        <f t="shared" si="0"/>
        <v>1</v>
      </c>
      <c r="I5" s="6">
        <v>1</v>
      </c>
      <c r="J5" s="6">
        <v>1</v>
      </c>
      <c r="K5" s="6" t="s">
        <v>541</v>
      </c>
      <c r="L5" s="4" t="s">
        <v>110</v>
      </c>
      <c r="M5" s="4">
        <v>32759</v>
      </c>
      <c r="N5" s="4">
        <v>82668</v>
      </c>
      <c r="O5" s="4">
        <v>432759</v>
      </c>
      <c r="P5" s="4">
        <v>182668</v>
      </c>
    </row>
    <row r="6" spans="1:19" s="4" customFormat="1" ht="21.75" customHeight="1" x14ac:dyDescent="0.25">
      <c r="A6" s="3" t="s">
        <v>1268</v>
      </c>
      <c r="B6" s="4" t="s">
        <v>297</v>
      </c>
      <c r="C6" s="2" t="s">
        <v>308</v>
      </c>
      <c r="D6" s="6" t="s">
        <v>310</v>
      </c>
      <c r="E6" s="4" t="s">
        <v>311</v>
      </c>
      <c r="F6" s="4" t="s">
        <v>11</v>
      </c>
      <c r="G6" s="6"/>
      <c r="H6" s="4">
        <f t="shared" si="0"/>
        <v>1</v>
      </c>
      <c r="I6" s="6">
        <v>1</v>
      </c>
      <c r="J6" s="6">
        <v>1</v>
      </c>
      <c r="K6" s="6" t="s">
        <v>309</v>
      </c>
      <c r="L6" s="4" t="s">
        <v>110</v>
      </c>
      <c r="M6" s="4">
        <v>6326</v>
      </c>
      <c r="N6" s="4">
        <v>7590</v>
      </c>
      <c r="O6" s="4">
        <v>463260</v>
      </c>
      <c r="P6" s="4">
        <v>175900</v>
      </c>
    </row>
    <row r="7" spans="1:19" s="4" customFormat="1" ht="21.75" customHeight="1" x14ac:dyDescent="0.25">
      <c r="A7" s="3" t="s">
        <v>1268</v>
      </c>
      <c r="B7" s="4" t="s">
        <v>297</v>
      </c>
      <c r="C7" s="2" t="s">
        <v>298</v>
      </c>
      <c r="D7" s="6" t="s">
        <v>39</v>
      </c>
      <c r="E7" s="4" t="s">
        <v>67</v>
      </c>
      <c r="F7" s="4" t="s">
        <v>11</v>
      </c>
      <c r="G7" s="6"/>
      <c r="H7" s="4">
        <f t="shared" si="0"/>
        <v>1</v>
      </c>
      <c r="I7" s="6">
        <v>1</v>
      </c>
      <c r="J7" s="6">
        <v>1</v>
      </c>
      <c r="K7" s="6" t="s">
        <v>79</v>
      </c>
      <c r="L7" s="4" t="s">
        <v>110</v>
      </c>
      <c r="M7" s="4">
        <v>39519</v>
      </c>
      <c r="N7" s="4">
        <v>68161</v>
      </c>
      <c r="O7" s="4">
        <v>439519</v>
      </c>
      <c r="P7" s="4">
        <v>168161</v>
      </c>
    </row>
    <row r="8" spans="1:19" s="4" customFormat="1" ht="21.75" customHeight="1" x14ac:dyDescent="0.25">
      <c r="A8" s="3" t="s">
        <v>1268</v>
      </c>
      <c r="B8" s="4" t="s">
        <v>76</v>
      </c>
      <c r="C8" s="2" t="s">
        <v>330</v>
      </c>
      <c r="D8" s="6" t="s">
        <v>331</v>
      </c>
      <c r="E8" s="4" t="s">
        <v>1281</v>
      </c>
      <c r="F8" s="4" t="s">
        <v>11</v>
      </c>
      <c r="G8" s="6">
        <v>5</v>
      </c>
      <c r="H8" s="4">
        <f t="shared" si="0"/>
        <v>5</v>
      </c>
      <c r="I8" s="6"/>
      <c r="J8" s="6">
        <v>2</v>
      </c>
      <c r="K8" s="6" t="s">
        <v>347</v>
      </c>
      <c r="L8" s="4" t="s">
        <v>177</v>
      </c>
      <c r="M8" s="4">
        <v>193</v>
      </c>
      <c r="N8" s="4">
        <v>983</v>
      </c>
      <c r="O8" s="4">
        <v>519300</v>
      </c>
      <c r="P8" s="4">
        <v>298300</v>
      </c>
    </row>
    <row r="9" spans="1:19" s="4" customFormat="1" ht="21.75" customHeight="1" x14ac:dyDescent="0.25">
      <c r="A9" s="3" t="s">
        <v>1268</v>
      </c>
      <c r="B9" s="4" t="s">
        <v>76</v>
      </c>
      <c r="C9" s="2" t="s">
        <v>501</v>
      </c>
      <c r="D9" s="6" t="s">
        <v>90</v>
      </c>
      <c r="E9" s="6" t="s">
        <v>176</v>
      </c>
      <c r="F9" s="4" t="s">
        <v>11</v>
      </c>
      <c r="G9" s="6"/>
      <c r="H9" s="4">
        <f t="shared" si="0"/>
        <v>2</v>
      </c>
      <c r="I9" s="6">
        <v>2</v>
      </c>
      <c r="J9" s="6">
        <v>1</v>
      </c>
      <c r="K9" s="6" t="s">
        <v>502</v>
      </c>
      <c r="L9" s="4" t="s">
        <v>175</v>
      </c>
      <c r="M9" s="4">
        <v>577</v>
      </c>
      <c r="N9" s="4">
        <v>647</v>
      </c>
      <c r="O9" s="4">
        <v>557700</v>
      </c>
      <c r="P9" s="4">
        <v>364700</v>
      </c>
    </row>
    <row r="10" spans="1:19" s="4" customFormat="1" ht="21.75" customHeight="1" x14ac:dyDescent="0.25">
      <c r="A10" s="3" t="s">
        <v>1268</v>
      </c>
      <c r="B10" s="4" t="s">
        <v>76</v>
      </c>
      <c r="C10" s="2" t="s">
        <v>615</v>
      </c>
      <c r="D10" s="6" t="s">
        <v>616</v>
      </c>
      <c r="E10" s="6" t="s">
        <v>178</v>
      </c>
      <c r="F10" s="4" t="s">
        <v>11</v>
      </c>
      <c r="G10" s="6">
        <v>1</v>
      </c>
      <c r="H10" s="4">
        <f t="shared" si="0"/>
        <v>1</v>
      </c>
      <c r="I10" s="6"/>
      <c r="J10" s="6">
        <v>1</v>
      </c>
      <c r="K10" s="6" t="s">
        <v>590</v>
      </c>
      <c r="L10" s="4" t="s">
        <v>177</v>
      </c>
      <c r="M10" s="4">
        <v>662</v>
      </c>
      <c r="N10" s="4">
        <v>698</v>
      </c>
      <c r="O10" s="4">
        <v>566200</v>
      </c>
      <c r="P10" s="4">
        <v>269800</v>
      </c>
    </row>
    <row r="11" spans="1:19" ht="21" customHeight="1" x14ac:dyDescent="0.25">
      <c r="A11" s="3" t="s">
        <v>1268</v>
      </c>
      <c r="B11" s="4" t="s">
        <v>76</v>
      </c>
      <c r="C11" s="2" t="s">
        <v>174</v>
      </c>
      <c r="D11" s="6" t="s">
        <v>92</v>
      </c>
      <c r="E11" s="6" t="s">
        <v>176</v>
      </c>
      <c r="F11" s="4" t="s">
        <v>11</v>
      </c>
      <c r="H11" s="4">
        <f t="shared" si="0"/>
        <v>3</v>
      </c>
      <c r="I11" s="4">
        <v>3</v>
      </c>
      <c r="J11" s="4">
        <v>2</v>
      </c>
      <c r="K11" s="6" t="s">
        <v>212</v>
      </c>
      <c r="L11" s="1" t="s">
        <v>175</v>
      </c>
      <c r="M11" s="1">
        <v>1385</v>
      </c>
      <c r="N11" s="1">
        <v>735</v>
      </c>
      <c r="O11" s="1">
        <v>513850</v>
      </c>
      <c r="P11" s="1">
        <v>307350</v>
      </c>
    </row>
    <row r="12" spans="1:19" ht="21" customHeight="1" x14ac:dyDescent="0.25">
      <c r="A12" s="3" t="s">
        <v>1268</v>
      </c>
      <c r="B12" s="4" t="s">
        <v>76</v>
      </c>
      <c r="C12" s="2" t="s">
        <v>179</v>
      </c>
      <c r="D12" s="6" t="s">
        <v>39</v>
      </c>
      <c r="E12" s="6" t="s">
        <v>176</v>
      </c>
      <c r="F12" s="4" t="s">
        <v>11</v>
      </c>
      <c r="H12" s="4">
        <f t="shared" si="0"/>
        <v>6</v>
      </c>
      <c r="I12" s="4">
        <v>6</v>
      </c>
      <c r="J12" s="4">
        <v>6</v>
      </c>
      <c r="K12" s="6" t="s">
        <v>640</v>
      </c>
      <c r="L12" s="1" t="s">
        <v>177</v>
      </c>
      <c r="M12" s="1">
        <v>208</v>
      </c>
      <c r="N12" s="1">
        <v>989</v>
      </c>
      <c r="O12" s="1">
        <v>520800</v>
      </c>
      <c r="P12" s="1">
        <v>298900</v>
      </c>
    </row>
    <row r="13" spans="1:19" ht="21" customHeight="1" x14ac:dyDescent="0.25">
      <c r="A13" s="3" t="s">
        <v>1268</v>
      </c>
      <c r="B13" s="4" t="s">
        <v>76</v>
      </c>
      <c r="C13" s="2" t="s">
        <v>388</v>
      </c>
      <c r="D13" s="6" t="s">
        <v>20</v>
      </c>
      <c r="E13" s="6" t="s">
        <v>176</v>
      </c>
      <c r="F13" s="4" t="s">
        <v>11</v>
      </c>
      <c r="H13" s="4">
        <f t="shared" si="0"/>
        <v>1</v>
      </c>
      <c r="I13" s="4">
        <v>1</v>
      </c>
      <c r="J13" s="4">
        <v>1</v>
      </c>
      <c r="K13" s="6" t="s">
        <v>389</v>
      </c>
      <c r="L13" s="1" t="s">
        <v>175</v>
      </c>
      <c r="M13" s="1">
        <v>1180</v>
      </c>
      <c r="N13" s="1">
        <v>830</v>
      </c>
      <c r="O13" s="1">
        <v>511800</v>
      </c>
      <c r="P13" s="1">
        <v>308300</v>
      </c>
    </row>
    <row r="14" spans="1:19" ht="21" customHeight="1" x14ac:dyDescent="0.25">
      <c r="A14" s="3" t="s">
        <v>1268</v>
      </c>
      <c r="B14" s="4" t="s">
        <v>76</v>
      </c>
      <c r="C14" s="2" t="s">
        <v>75</v>
      </c>
      <c r="D14" s="6" t="s">
        <v>39</v>
      </c>
      <c r="E14" s="6" t="s">
        <v>178</v>
      </c>
      <c r="F14" s="4" t="s">
        <v>11</v>
      </c>
      <c r="H14" s="4">
        <f t="shared" si="0"/>
        <v>2</v>
      </c>
      <c r="I14" s="4">
        <v>2</v>
      </c>
      <c r="J14" s="4">
        <v>2</v>
      </c>
      <c r="K14" s="6" t="s">
        <v>80</v>
      </c>
      <c r="L14" s="1" t="s">
        <v>177</v>
      </c>
      <c r="M14" s="1">
        <v>6390</v>
      </c>
      <c r="N14" s="1">
        <v>8496</v>
      </c>
      <c r="O14" s="1">
        <v>563900</v>
      </c>
      <c r="P14" s="1">
        <v>284960</v>
      </c>
    </row>
    <row r="15" spans="1:19" ht="21" customHeight="1" x14ac:dyDescent="0.25">
      <c r="A15" s="3" t="s">
        <v>1268</v>
      </c>
      <c r="B15" s="4" t="s">
        <v>213</v>
      </c>
      <c r="C15" s="2" t="s">
        <v>214</v>
      </c>
      <c r="D15" s="6" t="s">
        <v>215</v>
      </c>
      <c r="E15" s="6" t="s">
        <v>216</v>
      </c>
      <c r="F15" s="4" t="s">
        <v>11</v>
      </c>
      <c r="H15" s="4">
        <f t="shared" si="0"/>
        <v>2</v>
      </c>
      <c r="I15" s="4">
        <v>2</v>
      </c>
      <c r="J15" s="4">
        <v>2</v>
      </c>
      <c r="K15" s="6" t="s">
        <v>234</v>
      </c>
      <c r="L15" s="1" t="s">
        <v>218</v>
      </c>
      <c r="M15" s="1">
        <v>7365</v>
      </c>
      <c r="N15" s="1">
        <v>1960</v>
      </c>
      <c r="O15" s="1">
        <v>473650</v>
      </c>
      <c r="P15" s="1">
        <v>519600</v>
      </c>
    </row>
    <row r="16" spans="1:19" ht="21" customHeight="1" x14ac:dyDescent="0.25">
      <c r="A16" s="3" t="s">
        <v>1268</v>
      </c>
      <c r="B16" s="4" t="s">
        <v>42</v>
      </c>
      <c r="C16" s="2" t="s">
        <v>1338</v>
      </c>
      <c r="D16" s="6" t="s">
        <v>1278</v>
      </c>
      <c r="E16" s="4" t="s">
        <v>323</v>
      </c>
      <c r="F16" s="4" t="s">
        <v>11</v>
      </c>
      <c r="G16" s="4">
        <v>1</v>
      </c>
      <c r="H16" s="4">
        <f t="shared" si="0"/>
        <v>1</v>
      </c>
      <c r="J16" s="4">
        <v>1</v>
      </c>
      <c r="K16" s="6" t="s">
        <v>324</v>
      </c>
      <c r="L16" s="1" t="s">
        <v>144</v>
      </c>
      <c r="M16" s="1">
        <v>70617</v>
      </c>
      <c r="N16" s="1">
        <v>12296</v>
      </c>
      <c r="O16" s="1">
        <v>170617</v>
      </c>
      <c r="P16" s="1">
        <v>12296</v>
      </c>
    </row>
    <row r="17" spans="1:16" ht="21" customHeight="1" x14ac:dyDescent="0.25">
      <c r="A17" s="3" t="s">
        <v>1268</v>
      </c>
      <c r="B17" s="4" t="s">
        <v>42</v>
      </c>
      <c r="D17" s="6" t="s">
        <v>1278</v>
      </c>
      <c r="E17" s="4" t="s">
        <v>361</v>
      </c>
      <c r="F17" s="4" t="s">
        <v>11</v>
      </c>
      <c r="G17" s="4">
        <v>1</v>
      </c>
      <c r="H17" s="4">
        <f t="shared" si="0"/>
        <v>1</v>
      </c>
      <c r="J17" s="4">
        <v>1</v>
      </c>
      <c r="K17" s="6" t="s">
        <v>645</v>
      </c>
      <c r="L17" s="1" t="s">
        <v>144</v>
      </c>
      <c r="M17" s="1">
        <v>46379</v>
      </c>
      <c r="N17" s="1">
        <v>28409</v>
      </c>
      <c r="O17" s="1">
        <v>146379</v>
      </c>
      <c r="P17" s="1">
        <v>28409</v>
      </c>
    </row>
    <row r="18" spans="1:16" ht="21" customHeight="1" x14ac:dyDescent="0.25">
      <c r="A18" s="3" t="s">
        <v>1268</v>
      </c>
      <c r="B18" s="4" t="s">
        <v>42</v>
      </c>
      <c r="C18" s="2" t="s">
        <v>299</v>
      </c>
      <c r="D18" s="6" t="s">
        <v>1278</v>
      </c>
      <c r="E18" s="4" t="s">
        <v>300</v>
      </c>
      <c r="F18" s="4" t="s">
        <v>11</v>
      </c>
      <c r="G18" s="4">
        <v>2</v>
      </c>
      <c r="H18" s="4">
        <f t="shared" si="0"/>
        <v>2</v>
      </c>
      <c r="J18" s="4">
        <v>2</v>
      </c>
      <c r="K18" s="6" t="s">
        <v>581</v>
      </c>
      <c r="L18" s="1" t="s">
        <v>520</v>
      </c>
      <c r="M18" s="1">
        <v>17019</v>
      </c>
      <c r="N18" s="1">
        <v>73583</v>
      </c>
      <c r="O18" s="1">
        <v>217019</v>
      </c>
      <c r="P18" s="1">
        <v>73583</v>
      </c>
    </row>
    <row r="19" spans="1:16" ht="21" customHeight="1" x14ac:dyDescent="0.25">
      <c r="A19" s="3" t="s">
        <v>1268</v>
      </c>
      <c r="B19" s="4" t="s">
        <v>42</v>
      </c>
      <c r="C19" s="2" t="s">
        <v>362</v>
      </c>
      <c r="D19" s="6" t="s">
        <v>41</v>
      </c>
      <c r="E19" s="4" t="s">
        <v>363</v>
      </c>
      <c r="F19" s="4" t="s">
        <v>11</v>
      </c>
      <c r="H19" s="4">
        <f t="shared" si="0"/>
        <v>2</v>
      </c>
      <c r="I19" s="4">
        <v>2</v>
      </c>
      <c r="J19" s="4">
        <v>2</v>
      </c>
      <c r="K19" s="6" t="s">
        <v>376</v>
      </c>
      <c r="L19" s="1" t="s">
        <v>144</v>
      </c>
      <c r="M19" s="1">
        <v>4311</v>
      </c>
      <c r="N19" s="1">
        <v>3421</v>
      </c>
      <c r="O19" s="1">
        <v>143110</v>
      </c>
      <c r="P19" s="1">
        <v>34210</v>
      </c>
    </row>
    <row r="20" spans="1:16" ht="21" customHeight="1" x14ac:dyDescent="0.25">
      <c r="A20" s="3" t="s">
        <v>1268</v>
      </c>
      <c r="B20" s="4" t="s">
        <v>42</v>
      </c>
      <c r="C20" s="2" t="s">
        <v>142</v>
      </c>
      <c r="D20" s="6" t="s">
        <v>39</v>
      </c>
      <c r="E20" s="4" t="s">
        <v>143</v>
      </c>
      <c r="F20" s="4" t="s">
        <v>11</v>
      </c>
      <c r="H20" s="4">
        <f t="shared" si="0"/>
        <v>6</v>
      </c>
      <c r="I20" s="4">
        <v>6</v>
      </c>
      <c r="J20" s="4">
        <v>5</v>
      </c>
      <c r="K20" s="6" t="s">
        <v>662</v>
      </c>
      <c r="L20" s="1" t="s">
        <v>144</v>
      </c>
      <c r="M20" s="1">
        <v>685</v>
      </c>
      <c r="N20" s="1">
        <v>407</v>
      </c>
      <c r="O20" s="1">
        <v>168500</v>
      </c>
      <c r="P20" s="1">
        <v>40700</v>
      </c>
    </row>
    <row r="21" spans="1:16" ht="21" customHeight="1" x14ac:dyDescent="0.25">
      <c r="A21" s="3" t="s">
        <v>1268</v>
      </c>
      <c r="B21" s="4" t="s">
        <v>42</v>
      </c>
      <c r="C21" s="2" t="s">
        <v>360</v>
      </c>
      <c r="D21" s="6" t="s">
        <v>41</v>
      </c>
      <c r="E21" s="4" t="s">
        <v>361</v>
      </c>
      <c r="F21" s="4" t="s">
        <v>11</v>
      </c>
      <c r="H21" s="4">
        <f t="shared" si="0"/>
        <v>1</v>
      </c>
      <c r="I21" s="4">
        <v>1</v>
      </c>
      <c r="J21" s="4">
        <v>1</v>
      </c>
      <c r="K21" s="6" t="s">
        <v>358</v>
      </c>
      <c r="L21" s="1" t="s">
        <v>144</v>
      </c>
      <c r="M21" s="1">
        <v>4013</v>
      </c>
      <c r="N21" s="1">
        <v>2818</v>
      </c>
      <c r="O21" s="1">
        <v>140130</v>
      </c>
      <c r="P21" s="1">
        <v>28180</v>
      </c>
    </row>
    <row r="22" spans="1:16" ht="21" customHeight="1" x14ac:dyDescent="0.25">
      <c r="A22" s="3" t="s">
        <v>1268</v>
      </c>
      <c r="B22" s="4" t="s">
        <v>42</v>
      </c>
      <c r="C22" s="2" t="s">
        <v>43</v>
      </c>
      <c r="E22" s="4" t="s">
        <v>43</v>
      </c>
      <c r="F22" s="4" t="s">
        <v>11</v>
      </c>
      <c r="G22" s="4">
        <v>6</v>
      </c>
      <c r="H22" s="4">
        <f t="shared" si="0"/>
        <v>6</v>
      </c>
      <c r="J22" s="4">
        <v>5</v>
      </c>
      <c r="K22" s="6" t="s">
        <v>643</v>
      </c>
      <c r="L22" s="1" t="s">
        <v>520</v>
      </c>
      <c r="M22" s="1">
        <v>64087</v>
      </c>
      <c r="N22" s="1">
        <v>76444</v>
      </c>
      <c r="O22" s="1">
        <v>264087</v>
      </c>
      <c r="P22" s="1">
        <v>76444</v>
      </c>
    </row>
    <row r="23" spans="1:16" ht="21" customHeight="1" x14ac:dyDescent="0.25">
      <c r="A23" s="3" t="s">
        <v>1268</v>
      </c>
      <c r="B23" s="4" t="s">
        <v>42</v>
      </c>
      <c r="C23" s="2" t="s">
        <v>573</v>
      </c>
      <c r="D23" s="6" t="s">
        <v>90</v>
      </c>
      <c r="E23" s="4" t="s">
        <v>43</v>
      </c>
      <c r="F23" s="4" t="s">
        <v>11</v>
      </c>
      <c r="H23" s="4">
        <f t="shared" si="0"/>
        <v>1</v>
      </c>
      <c r="I23" s="4">
        <v>1</v>
      </c>
      <c r="J23" s="4">
        <v>1</v>
      </c>
      <c r="K23" s="6" t="s">
        <v>572</v>
      </c>
      <c r="L23" s="1" t="s">
        <v>144</v>
      </c>
      <c r="M23" s="1">
        <v>601</v>
      </c>
      <c r="N23" s="1">
        <v>395</v>
      </c>
      <c r="O23" s="1">
        <v>160100</v>
      </c>
      <c r="P23" s="1">
        <v>39500</v>
      </c>
    </row>
    <row r="24" spans="1:16" ht="21" customHeight="1" x14ac:dyDescent="0.25">
      <c r="A24" s="3" t="s">
        <v>1268</v>
      </c>
      <c r="B24" s="4" t="s">
        <v>42</v>
      </c>
      <c r="C24" s="2" t="s">
        <v>535</v>
      </c>
      <c r="D24" s="6" t="s">
        <v>8</v>
      </c>
      <c r="E24" s="4" t="s">
        <v>43</v>
      </c>
      <c r="F24" s="4" t="s">
        <v>11</v>
      </c>
      <c r="H24" s="4">
        <f t="shared" si="0"/>
        <v>1</v>
      </c>
      <c r="I24" s="4">
        <v>1</v>
      </c>
      <c r="J24" s="4">
        <v>1</v>
      </c>
      <c r="K24" s="6" t="s">
        <v>513</v>
      </c>
      <c r="L24" s="1" t="s">
        <v>520</v>
      </c>
      <c r="M24" s="1">
        <v>25825</v>
      </c>
      <c r="N24" s="1">
        <v>71393</v>
      </c>
      <c r="O24" s="1">
        <v>225825</v>
      </c>
      <c r="P24" s="1">
        <v>71393</v>
      </c>
    </row>
    <row r="25" spans="1:16" ht="21" customHeight="1" x14ac:dyDescent="0.25">
      <c r="A25" s="3" t="s">
        <v>1268</v>
      </c>
      <c r="B25" s="4" t="s">
        <v>42</v>
      </c>
      <c r="C25" s="2" t="s">
        <v>375</v>
      </c>
      <c r="D25" s="6" t="s">
        <v>41</v>
      </c>
      <c r="E25" s="4" t="s">
        <v>375</v>
      </c>
      <c r="F25" s="4" t="s">
        <v>11</v>
      </c>
      <c r="G25" s="4">
        <v>1</v>
      </c>
      <c r="H25" s="4">
        <f t="shared" si="0"/>
        <v>1</v>
      </c>
      <c r="J25" s="4">
        <v>1</v>
      </c>
      <c r="K25" s="6" t="s">
        <v>372</v>
      </c>
      <c r="L25" s="1" t="s">
        <v>144</v>
      </c>
      <c r="M25" s="1">
        <v>34702</v>
      </c>
      <c r="N25" s="1">
        <v>24261</v>
      </c>
      <c r="O25" s="1">
        <v>134702</v>
      </c>
      <c r="P25" s="1">
        <v>24261</v>
      </c>
    </row>
    <row r="26" spans="1:16" ht="21" customHeight="1" x14ac:dyDescent="0.25">
      <c r="A26" s="3" t="s">
        <v>1268</v>
      </c>
      <c r="B26" s="4" t="s">
        <v>42</v>
      </c>
      <c r="C26" s="2" t="s">
        <v>518</v>
      </c>
      <c r="D26" s="6" t="s">
        <v>8</v>
      </c>
      <c r="E26" s="4" t="s">
        <v>363</v>
      </c>
      <c r="F26" s="4" t="s">
        <v>11</v>
      </c>
      <c r="H26" s="4">
        <f t="shared" si="0"/>
        <v>1</v>
      </c>
      <c r="I26" s="4">
        <v>1</v>
      </c>
      <c r="J26" s="4">
        <v>1</v>
      </c>
      <c r="K26" s="6" t="s">
        <v>513</v>
      </c>
      <c r="L26" s="1" t="s">
        <v>144</v>
      </c>
      <c r="M26" s="1">
        <v>4327</v>
      </c>
      <c r="N26" s="1">
        <v>2450</v>
      </c>
      <c r="O26" s="1">
        <v>143270</v>
      </c>
      <c r="P26" s="1">
        <v>24500</v>
      </c>
    </row>
    <row r="27" spans="1:16" ht="21" customHeight="1" x14ac:dyDescent="0.25">
      <c r="A27" s="3" t="s">
        <v>1268</v>
      </c>
      <c r="B27" s="4" t="s">
        <v>42</v>
      </c>
      <c r="C27" s="2" t="s">
        <v>551</v>
      </c>
      <c r="D27" s="6" t="s">
        <v>540</v>
      </c>
      <c r="E27" s="4" t="s">
        <v>552</v>
      </c>
      <c r="F27" s="4" t="s">
        <v>11</v>
      </c>
      <c r="G27" s="4">
        <v>1</v>
      </c>
      <c r="H27" s="4">
        <f t="shared" si="0"/>
        <v>2</v>
      </c>
      <c r="I27" s="4">
        <v>1</v>
      </c>
      <c r="J27" s="4">
        <v>2</v>
      </c>
      <c r="K27" s="6" t="s">
        <v>580</v>
      </c>
      <c r="L27" s="1" t="s">
        <v>520</v>
      </c>
      <c r="M27" s="1">
        <v>2601</v>
      </c>
      <c r="N27" s="1">
        <v>7191</v>
      </c>
      <c r="O27" s="1">
        <v>226010</v>
      </c>
      <c r="P27" s="1">
        <v>71910</v>
      </c>
    </row>
    <row r="28" spans="1:16" ht="21" customHeight="1" x14ac:dyDescent="0.25">
      <c r="A28" s="3" t="s">
        <v>1268</v>
      </c>
      <c r="B28" s="4" t="s">
        <v>10</v>
      </c>
      <c r="C28" s="2" t="s">
        <v>7</v>
      </c>
      <c r="D28" s="6" t="s">
        <v>8</v>
      </c>
      <c r="E28" s="4" t="s">
        <v>9</v>
      </c>
      <c r="F28" s="4" t="s">
        <v>11</v>
      </c>
      <c r="H28" s="4">
        <f t="shared" si="0"/>
        <v>1</v>
      </c>
      <c r="I28" s="4">
        <v>1</v>
      </c>
      <c r="J28" s="4">
        <v>1</v>
      </c>
      <c r="K28" s="6" t="s">
        <v>513</v>
      </c>
      <c r="L28" s="1" t="s">
        <v>166</v>
      </c>
      <c r="M28" s="1">
        <v>2913</v>
      </c>
      <c r="N28" s="1">
        <v>2363</v>
      </c>
      <c r="O28" s="1">
        <v>329130</v>
      </c>
      <c r="P28" s="1">
        <v>523630</v>
      </c>
    </row>
    <row r="29" spans="1:16" ht="21" customHeight="1" x14ac:dyDescent="0.25">
      <c r="A29" s="3" t="s">
        <v>1268</v>
      </c>
      <c r="B29" s="4" t="s">
        <v>10</v>
      </c>
      <c r="C29" s="2" t="s">
        <v>441</v>
      </c>
      <c r="D29" s="6" t="s">
        <v>26</v>
      </c>
      <c r="E29" s="6" t="s">
        <v>442</v>
      </c>
      <c r="F29" s="4" t="s">
        <v>11</v>
      </c>
      <c r="H29" s="4">
        <f t="shared" si="0"/>
        <v>1</v>
      </c>
      <c r="I29" s="4">
        <v>1</v>
      </c>
      <c r="J29" s="4">
        <v>1</v>
      </c>
      <c r="K29" s="6" t="s">
        <v>414</v>
      </c>
      <c r="L29" s="1" t="s">
        <v>166</v>
      </c>
      <c r="M29" s="1">
        <v>684</v>
      </c>
      <c r="N29" s="1">
        <v>72</v>
      </c>
      <c r="O29" s="1">
        <v>368400</v>
      </c>
      <c r="P29" s="1">
        <v>507200</v>
      </c>
    </row>
    <row r="30" spans="1:16" ht="21" customHeight="1" x14ac:dyDescent="0.25">
      <c r="A30" s="3" t="s">
        <v>1268</v>
      </c>
      <c r="B30" s="4" t="s">
        <v>10</v>
      </c>
      <c r="C30" s="2" t="s">
        <v>165</v>
      </c>
      <c r="D30" s="6" t="s">
        <v>151</v>
      </c>
      <c r="E30" s="4" t="s">
        <v>12</v>
      </c>
      <c r="F30" s="4" t="s">
        <v>11</v>
      </c>
      <c r="G30" s="4">
        <v>2</v>
      </c>
      <c r="H30" s="4">
        <f t="shared" si="0"/>
        <v>2</v>
      </c>
      <c r="J30" s="4">
        <v>1</v>
      </c>
      <c r="K30" s="6" t="s">
        <v>154</v>
      </c>
      <c r="L30" s="1" t="s">
        <v>166</v>
      </c>
      <c r="M30" s="1">
        <v>274</v>
      </c>
      <c r="N30" s="1">
        <v>72</v>
      </c>
      <c r="O30" s="1">
        <v>327400</v>
      </c>
      <c r="P30" s="1">
        <v>507200</v>
      </c>
    </row>
    <row r="31" spans="1:16" ht="21" customHeight="1" x14ac:dyDescent="0.25">
      <c r="A31" s="3" t="s">
        <v>1268</v>
      </c>
      <c r="B31" s="4" t="s">
        <v>126</v>
      </c>
      <c r="C31" s="2" t="s">
        <v>527</v>
      </c>
      <c r="D31" s="6" t="s">
        <v>528</v>
      </c>
      <c r="E31" s="4" t="s">
        <v>444</v>
      </c>
      <c r="F31" s="4" t="s">
        <v>11</v>
      </c>
      <c r="H31" s="4">
        <f t="shared" si="0"/>
        <v>2</v>
      </c>
      <c r="I31" s="4">
        <v>2</v>
      </c>
      <c r="J31" s="4">
        <v>1</v>
      </c>
      <c r="K31" s="6" t="s">
        <v>516</v>
      </c>
      <c r="L31" s="1" t="s">
        <v>445</v>
      </c>
      <c r="M31" s="1">
        <v>1603</v>
      </c>
      <c r="N31" s="1">
        <v>6355</v>
      </c>
      <c r="O31" s="1">
        <v>416030</v>
      </c>
      <c r="P31" s="1">
        <v>363550</v>
      </c>
    </row>
    <row r="32" spans="1:16" ht="21" customHeight="1" x14ac:dyDescent="0.25">
      <c r="A32" s="3" t="s">
        <v>1268</v>
      </c>
      <c r="B32" s="4" t="s">
        <v>126</v>
      </c>
      <c r="C32" s="2" t="s">
        <v>127</v>
      </c>
      <c r="D32" s="6" t="s">
        <v>39</v>
      </c>
      <c r="E32" s="4" t="s">
        <v>1281</v>
      </c>
      <c r="F32" s="4" t="s">
        <v>11</v>
      </c>
      <c r="H32" s="4">
        <f t="shared" si="0"/>
        <v>1</v>
      </c>
      <c r="I32" s="4">
        <v>1</v>
      </c>
      <c r="J32" s="4">
        <v>1</v>
      </c>
      <c r="K32" s="6" t="s">
        <v>128</v>
      </c>
      <c r="L32" s="1" t="s">
        <v>445</v>
      </c>
      <c r="M32" s="1">
        <v>41504</v>
      </c>
      <c r="N32" s="1">
        <v>29345</v>
      </c>
      <c r="O32" s="1">
        <v>441504</v>
      </c>
      <c r="P32" s="1">
        <v>329345</v>
      </c>
    </row>
    <row r="33" spans="1:16" ht="21" customHeight="1" x14ac:dyDescent="0.25">
      <c r="A33" s="3" t="s">
        <v>1268</v>
      </c>
      <c r="B33" s="4" t="s">
        <v>126</v>
      </c>
      <c r="C33" s="2" t="s">
        <v>443</v>
      </c>
      <c r="D33" s="6" t="s">
        <v>440</v>
      </c>
      <c r="E33" s="4" t="s">
        <v>444</v>
      </c>
      <c r="F33" s="4" t="s">
        <v>11</v>
      </c>
      <c r="H33" s="4">
        <f t="shared" si="0"/>
        <v>1</v>
      </c>
      <c r="I33" s="4">
        <v>1</v>
      </c>
      <c r="J33" s="4">
        <v>1</v>
      </c>
      <c r="K33" s="6" t="s">
        <v>414</v>
      </c>
      <c r="L33" s="1" t="s">
        <v>445</v>
      </c>
      <c r="M33" s="1">
        <v>1531</v>
      </c>
      <c r="N33" s="1">
        <v>5766</v>
      </c>
      <c r="O33" s="1">
        <v>415310</v>
      </c>
      <c r="P33" s="1">
        <v>357660</v>
      </c>
    </row>
    <row r="34" spans="1:16" ht="21" customHeight="1" x14ac:dyDescent="0.25">
      <c r="A34" s="3" t="s">
        <v>1268</v>
      </c>
      <c r="B34" s="4" t="s">
        <v>191</v>
      </c>
      <c r="C34" s="2" t="s">
        <v>192</v>
      </c>
      <c r="D34" s="6" t="s">
        <v>92</v>
      </c>
      <c r="E34" s="4" t="s">
        <v>194</v>
      </c>
      <c r="F34" s="4" t="s">
        <v>11</v>
      </c>
      <c r="H34" s="4">
        <f t="shared" ref="H34:H65" si="1">SUM(G34,I34)</f>
        <v>1</v>
      </c>
      <c r="I34" s="4">
        <v>1</v>
      </c>
      <c r="J34" s="4">
        <v>1</v>
      </c>
      <c r="K34" s="6" t="s">
        <v>193</v>
      </c>
      <c r="L34" s="1" t="s">
        <v>119</v>
      </c>
      <c r="M34" s="1">
        <v>112</v>
      </c>
      <c r="N34" s="1">
        <v>30</v>
      </c>
      <c r="O34" s="1">
        <v>311200</v>
      </c>
      <c r="P34" s="1">
        <v>103000</v>
      </c>
    </row>
    <row r="35" spans="1:16" ht="21" customHeight="1" x14ac:dyDescent="0.25">
      <c r="A35" s="3" t="s">
        <v>1268</v>
      </c>
      <c r="B35" s="4" t="s">
        <v>191</v>
      </c>
      <c r="C35" s="2" t="s">
        <v>519</v>
      </c>
      <c r="D35" s="6" t="s">
        <v>121</v>
      </c>
      <c r="E35" s="4" t="s">
        <v>43</v>
      </c>
      <c r="F35" s="4" t="s">
        <v>11</v>
      </c>
      <c r="H35" s="4">
        <f t="shared" si="1"/>
        <v>2</v>
      </c>
      <c r="I35" s="4">
        <v>2</v>
      </c>
      <c r="J35" s="4">
        <v>2</v>
      </c>
      <c r="K35" s="6" t="s">
        <v>521</v>
      </c>
      <c r="L35" s="1" t="s">
        <v>520</v>
      </c>
      <c r="M35" s="1">
        <v>5545</v>
      </c>
      <c r="N35" s="1">
        <v>7479</v>
      </c>
      <c r="O35" s="1">
        <v>255450</v>
      </c>
      <c r="P35" s="1">
        <v>74790</v>
      </c>
    </row>
    <row r="36" spans="1:16" ht="21" customHeight="1" x14ac:dyDescent="0.25">
      <c r="A36" s="3" t="s">
        <v>1268</v>
      </c>
      <c r="B36" s="4" t="s">
        <v>68</v>
      </c>
      <c r="C36" s="2" t="s">
        <v>382</v>
      </c>
      <c r="E36" s="4" t="s">
        <v>314</v>
      </c>
      <c r="F36" s="4" t="s">
        <v>11</v>
      </c>
      <c r="G36" s="4">
        <v>1</v>
      </c>
      <c r="H36" s="4">
        <f t="shared" si="1"/>
        <v>1</v>
      </c>
      <c r="J36" s="4">
        <v>1</v>
      </c>
      <c r="K36" s="6" t="s">
        <v>372</v>
      </c>
      <c r="L36" s="1" t="s">
        <v>119</v>
      </c>
      <c r="M36" s="1">
        <v>96585</v>
      </c>
      <c r="N36" s="1">
        <v>18584</v>
      </c>
      <c r="O36" s="1">
        <v>396585</v>
      </c>
      <c r="P36" s="1">
        <v>118584</v>
      </c>
    </row>
    <row r="37" spans="1:16" ht="21" customHeight="1" x14ac:dyDescent="0.25">
      <c r="A37" s="3" t="s">
        <v>1268</v>
      </c>
      <c r="B37" s="4" t="s">
        <v>68</v>
      </c>
      <c r="C37" s="2" t="s">
        <v>381</v>
      </c>
      <c r="D37" s="6" t="s">
        <v>20</v>
      </c>
      <c r="E37" s="4" t="s">
        <v>314</v>
      </c>
      <c r="F37" s="4" t="s">
        <v>11</v>
      </c>
      <c r="H37" s="4">
        <f t="shared" si="1"/>
        <v>3</v>
      </c>
      <c r="I37" s="4">
        <v>3</v>
      </c>
      <c r="J37" s="4">
        <v>2</v>
      </c>
      <c r="K37" s="6" t="s">
        <v>387</v>
      </c>
      <c r="L37" s="1" t="s">
        <v>110</v>
      </c>
      <c r="M37" s="1">
        <v>119</v>
      </c>
      <c r="N37" s="1">
        <v>160</v>
      </c>
      <c r="O37" s="1">
        <v>401700</v>
      </c>
      <c r="P37" s="1">
        <v>116000</v>
      </c>
    </row>
    <row r="38" spans="1:16" ht="21" customHeight="1" x14ac:dyDescent="0.25">
      <c r="A38" s="3" t="s">
        <v>1268</v>
      </c>
      <c r="B38" s="4" t="s">
        <v>68</v>
      </c>
      <c r="C38" s="2" t="s">
        <v>117</v>
      </c>
      <c r="D38" s="6" t="s">
        <v>92</v>
      </c>
      <c r="E38" s="4" t="s">
        <v>118</v>
      </c>
      <c r="F38" s="4" t="s">
        <v>11</v>
      </c>
      <c r="H38" s="4">
        <f t="shared" si="1"/>
        <v>14</v>
      </c>
      <c r="I38" s="4">
        <v>14</v>
      </c>
      <c r="J38" s="4">
        <v>8</v>
      </c>
      <c r="K38" s="6" t="s">
        <v>378</v>
      </c>
      <c r="L38" s="1" t="s">
        <v>119</v>
      </c>
      <c r="M38" s="1">
        <v>8492</v>
      </c>
      <c r="N38" s="1">
        <v>1226</v>
      </c>
      <c r="O38" s="1">
        <v>384920</v>
      </c>
      <c r="P38" s="1">
        <v>112260</v>
      </c>
    </row>
    <row r="39" spans="1:16" ht="21" customHeight="1" x14ac:dyDescent="0.25">
      <c r="A39" s="3" t="s">
        <v>1268</v>
      </c>
      <c r="B39" s="4" t="s">
        <v>68</v>
      </c>
      <c r="C39" s="2" t="s">
        <v>312</v>
      </c>
      <c r="D39" s="6" t="s">
        <v>280</v>
      </c>
      <c r="E39" s="4" t="s">
        <v>314</v>
      </c>
      <c r="F39" s="4" t="s">
        <v>11</v>
      </c>
      <c r="H39" s="4">
        <f t="shared" si="1"/>
        <v>1</v>
      </c>
      <c r="I39" s="4">
        <v>1</v>
      </c>
      <c r="J39" s="4">
        <v>1</v>
      </c>
      <c r="K39" s="6" t="s">
        <v>313</v>
      </c>
      <c r="L39" s="1" t="s">
        <v>110</v>
      </c>
      <c r="M39" s="1">
        <v>149</v>
      </c>
      <c r="N39" s="1">
        <v>1625</v>
      </c>
      <c r="O39" s="1">
        <v>401490</v>
      </c>
      <c r="P39" s="1">
        <v>116250</v>
      </c>
    </row>
    <row r="40" spans="1:16" ht="21" customHeight="1" x14ac:dyDescent="0.25">
      <c r="A40" s="3" t="s">
        <v>1268</v>
      </c>
      <c r="B40" s="4" t="s">
        <v>68</v>
      </c>
      <c r="C40" s="2" t="s">
        <v>197</v>
      </c>
      <c r="D40" s="6" t="s">
        <v>92</v>
      </c>
      <c r="E40" s="4" t="s">
        <v>198</v>
      </c>
      <c r="F40" s="4" t="s">
        <v>11</v>
      </c>
      <c r="H40" s="4">
        <f t="shared" si="1"/>
        <v>2</v>
      </c>
      <c r="I40" s="4">
        <v>2</v>
      </c>
      <c r="J40" s="4">
        <v>2</v>
      </c>
      <c r="K40" s="6" t="s">
        <v>379</v>
      </c>
      <c r="L40" s="1" t="s">
        <v>145</v>
      </c>
      <c r="M40" s="1">
        <v>6693</v>
      </c>
      <c r="N40" s="1">
        <v>8848</v>
      </c>
      <c r="O40" s="1">
        <v>366930</v>
      </c>
      <c r="P40" s="1">
        <v>88480</v>
      </c>
    </row>
    <row r="41" spans="1:16" ht="21" customHeight="1" x14ac:dyDescent="0.25">
      <c r="A41" s="3" t="s">
        <v>1268</v>
      </c>
      <c r="B41" s="4" t="s">
        <v>68</v>
      </c>
      <c r="C41" s="2" t="s">
        <v>402</v>
      </c>
      <c r="D41" s="6" t="s">
        <v>18</v>
      </c>
      <c r="E41" s="4" t="s">
        <v>21</v>
      </c>
      <c r="F41" s="4" t="s">
        <v>11</v>
      </c>
      <c r="H41" s="4">
        <f t="shared" si="1"/>
        <v>8</v>
      </c>
      <c r="I41" s="4">
        <v>8</v>
      </c>
      <c r="J41" s="4">
        <v>5</v>
      </c>
      <c r="K41" s="6" t="s">
        <v>538</v>
      </c>
      <c r="L41" s="1" t="s">
        <v>145</v>
      </c>
      <c r="M41" s="1">
        <v>70986</v>
      </c>
      <c r="N41" s="1">
        <v>89924</v>
      </c>
      <c r="O41" s="1">
        <v>370986</v>
      </c>
      <c r="P41" s="1">
        <v>89924</v>
      </c>
    </row>
    <row r="42" spans="1:16" ht="21" customHeight="1" x14ac:dyDescent="0.25">
      <c r="A42" s="3" t="s">
        <v>1268</v>
      </c>
      <c r="B42" s="4" t="s">
        <v>68</v>
      </c>
      <c r="C42" s="2" t="s">
        <v>544</v>
      </c>
      <c r="D42" s="6" t="s">
        <v>540</v>
      </c>
      <c r="E42" s="4" t="s">
        <v>382</v>
      </c>
      <c r="F42" s="4" t="s">
        <v>11</v>
      </c>
      <c r="H42" s="4">
        <f t="shared" si="1"/>
        <v>1</v>
      </c>
      <c r="I42" s="4">
        <v>1</v>
      </c>
      <c r="J42" s="4">
        <v>1</v>
      </c>
      <c r="K42" s="6" t="s">
        <v>541</v>
      </c>
      <c r="L42" s="1" t="s">
        <v>110</v>
      </c>
      <c r="M42" s="1">
        <v>19</v>
      </c>
      <c r="N42" s="1">
        <v>172</v>
      </c>
      <c r="O42" s="1">
        <v>401900</v>
      </c>
      <c r="P42" s="1">
        <v>117200</v>
      </c>
    </row>
    <row r="43" spans="1:16" ht="21" customHeight="1" x14ac:dyDescent="0.25">
      <c r="A43" s="3" t="s">
        <v>1268</v>
      </c>
      <c r="B43" s="4" t="s">
        <v>68</v>
      </c>
      <c r="C43" s="2" t="s">
        <v>343</v>
      </c>
      <c r="D43" s="6" t="s">
        <v>26</v>
      </c>
      <c r="E43" s="4" t="s">
        <v>314</v>
      </c>
      <c r="F43" s="4" t="s">
        <v>11</v>
      </c>
      <c r="G43" s="4">
        <v>1</v>
      </c>
      <c r="H43" s="4">
        <f t="shared" si="1"/>
        <v>2</v>
      </c>
      <c r="I43" s="4">
        <v>1</v>
      </c>
      <c r="J43" s="4">
        <v>2</v>
      </c>
      <c r="K43" s="6" t="s">
        <v>370</v>
      </c>
      <c r="L43" s="1" t="s">
        <v>110</v>
      </c>
      <c r="M43" s="1">
        <v>1239</v>
      </c>
      <c r="N43" s="1">
        <v>17283</v>
      </c>
      <c r="O43" s="1">
        <v>401239</v>
      </c>
      <c r="P43" s="1">
        <v>117283</v>
      </c>
    </row>
    <row r="44" spans="1:16" ht="21" customHeight="1" x14ac:dyDescent="0.25">
      <c r="A44" s="3" t="s">
        <v>1268</v>
      </c>
      <c r="B44" s="4" t="s">
        <v>209</v>
      </c>
      <c r="C44" s="2" t="s">
        <v>285</v>
      </c>
      <c r="D44" s="6" t="s">
        <v>39</v>
      </c>
      <c r="E44" s="4" t="s">
        <v>286</v>
      </c>
      <c r="F44" s="4" t="s">
        <v>11</v>
      </c>
      <c r="G44" s="4">
        <v>1</v>
      </c>
      <c r="H44" s="4">
        <f t="shared" si="1"/>
        <v>1</v>
      </c>
      <c r="J44" s="4">
        <v>1</v>
      </c>
      <c r="K44" s="6" t="s">
        <v>287</v>
      </c>
      <c r="L44" s="1" t="s">
        <v>108</v>
      </c>
      <c r="M44" s="1">
        <v>68610</v>
      </c>
      <c r="N44" s="1">
        <v>81143</v>
      </c>
      <c r="O44" s="1">
        <v>568610</v>
      </c>
      <c r="P44" s="1">
        <v>181143</v>
      </c>
    </row>
    <row r="45" spans="1:16" ht="21" customHeight="1" x14ac:dyDescent="0.25">
      <c r="A45" s="3" t="s">
        <v>1268</v>
      </c>
      <c r="B45" s="4" t="s">
        <v>209</v>
      </c>
      <c r="C45" s="2" t="s">
        <v>210</v>
      </c>
      <c r="D45" s="6" t="s">
        <v>92</v>
      </c>
      <c r="E45" s="4" t="s">
        <v>211</v>
      </c>
      <c r="F45" s="4" t="s">
        <v>11</v>
      </c>
      <c r="H45" s="4">
        <f t="shared" si="1"/>
        <v>1</v>
      </c>
      <c r="I45" s="4">
        <v>1</v>
      </c>
      <c r="J45" s="4">
        <v>1</v>
      </c>
      <c r="K45" s="6" t="s">
        <v>204</v>
      </c>
      <c r="L45" s="1" t="s">
        <v>108</v>
      </c>
      <c r="M45" s="1">
        <v>6515</v>
      </c>
      <c r="N45" s="1">
        <v>8055</v>
      </c>
      <c r="O45" s="1">
        <v>565150</v>
      </c>
      <c r="P45" s="1">
        <v>180550</v>
      </c>
    </row>
    <row r="46" spans="1:16" ht="21" customHeight="1" x14ac:dyDescent="0.25">
      <c r="A46" s="3" t="s">
        <v>1268</v>
      </c>
      <c r="B46" s="4" t="s">
        <v>209</v>
      </c>
      <c r="C46" s="2" t="s">
        <v>383</v>
      </c>
      <c r="D46" s="6" t="s">
        <v>20</v>
      </c>
      <c r="E46" s="4" t="s">
        <v>384</v>
      </c>
      <c r="F46" s="4" t="s">
        <v>11</v>
      </c>
      <c r="H46" s="4">
        <f t="shared" si="1"/>
        <v>3</v>
      </c>
      <c r="I46" s="4">
        <v>3</v>
      </c>
      <c r="J46" s="4">
        <v>2</v>
      </c>
      <c r="K46" s="6" t="s">
        <v>387</v>
      </c>
      <c r="L46" s="1" t="s">
        <v>177</v>
      </c>
      <c r="M46" s="1">
        <v>7252</v>
      </c>
      <c r="N46" s="1">
        <v>666</v>
      </c>
      <c r="O46" s="1">
        <v>572520</v>
      </c>
      <c r="P46" s="1">
        <v>206660</v>
      </c>
    </row>
    <row r="47" spans="1:16" ht="21" customHeight="1" x14ac:dyDescent="0.25">
      <c r="A47" s="3" t="s">
        <v>1268</v>
      </c>
      <c r="B47" s="4" t="s">
        <v>64</v>
      </c>
      <c r="C47" s="2" t="s">
        <v>542</v>
      </c>
      <c r="D47" s="6" t="s">
        <v>540</v>
      </c>
      <c r="E47" s="4" t="s">
        <v>69</v>
      </c>
      <c r="F47" s="4" t="s">
        <v>11</v>
      </c>
      <c r="H47" s="4">
        <f t="shared" si="1"/>
        <v>1</v>
      </c>
      <c r="I47" s="4">
        <v>1</v>
      </c>
      <c r="J47" s="4">
        <v>1</v>
      </c>
      <c r="K47" s="6" t="s">
        <v>541</v>
      </c>
      <c r="L47" s="1" t="s">
        <v>111</v>
      </c>
      <c r="M47" s="1">
        <v>148</v>
      </c>
      <c r="N47" s="1">
        <v>290</v>
      </c>
      <c r="O47" s="1">
        <v>414800</v>
      </c>
      <c r="P47" s="1">
        <v>229000</v>
      </c>
    </row>
    <row r="48" spans="1:16" ht="21" customHeight="1" x14ac:dyDescent="0.25">
      <c r="A48" s="3" t="s">
        <v>1268</v>
      </c>
      <c r="B48" s="4" t="s">
        <v>64</v>
      </c>
      <c r="C48" s="2" t="s">
        <v>195</v>
      </c>
      <c r="D48" s="6" t="s">
        <v>92</v>
      </c>
      <c r="E48" s="4" t="s">
        <v>69</v>
      </c>
      <c r="F48" s="4" t="s">
        <v>11</v>
      </c>
      <c r="H48" s="4">
        <f t="shared" si="1"/>
        <v>11</v>
      </c>
      <c r="I48" s="4">
        <v>11</v>
      </c>
      <c r="J48" s="4">
        <v>6</v>
      </c>
      <c r="K48" s="6" t="s">
        <v>380</v>
      </c>
      <c r="L48" s="1" t="s">
        <v>113</v>
      </c>
      <c r="M48" s="1">
        <v>9265</v>
      </c>
      <c r="N48" s="1">
        <v>1610</v>
      </c>
      <c r="O48" s="1">
        <v>392650</v>
      </c>
      <c r="P48" s="1">
        <v>216100</v>
      </c>
    </row>
    <row r="49" spans="1:16" ht="21" customHeight="1" x14ac:dyDescent="0.25">
      <c r="A49" s="3" t="s">
        <v>1268</v>
      </c>
      <c r="B49" s="4" t="s">
        <v>64</v>
      </c>
      <c r="C49" s="2" t="s">
        <v>222</v>
      </c>
      <c r="D49" s="6" t="s">
        <v>26</v>
      </c>
      <c r="E49" s="4" t="s">
        <v>69</v>
      </c>
      <c r="F49" s="4" t="s">
        <v>11</v>
      </c>
      <c r="H49" s="4">
        <f t="shared" si="1"/>
        <v>4</v>
      </c>
      <c r="I49" s="4">
        <v>4</v>
      </c>
      <c r="J49" s="4">
        <v>4</v>
      </c>
      <c r="K49" s="6" t="s">
        <v>339</v>
      </c>
      <c r="L49" s="1" t="s">
        <v>111</v>
      </c>
      <c r="M49" s="1">
        <v>9576</v>
      </c>
      <c r="N49" s="1">
        <v>21203</v>
      </c>
      <c r="O49" s="1">
        <v>409576</v>
      </c>
      <c r="P49" s="1">
        <v>221203</v>
      </c>
    </row>
    <row r="50" spans="1:16" ht="21" customHeight="1" x14ac:dyDescent="0.25">
      <c r="A50" s="3" t="s">
        <v>1268</v>
      </c>
      <c r="B50" s="4" t="s">
        <v>64</v>
      </c>
      <c r="C50" s="2" t="s">
        <v>337</v>
      </c>
      <c r="D50" s="6" t="s">
        <v>26</v>
      </c>
      <c r="E50" s="4" t="s">
        <v>69</v>
      </c>
      <c r="F50" s="4" t="s">
        <v>11</v>
      </c>
      <c r="H50" s="4">
        <f t="shared" si="1"/>
        <v>1</v>
      </c>
      <c r="I50" s="4">
        <v>1</v>
      </c>
      <c r="J50" s="4">
        <v>1</v>
      </c>
      <c r="K50" s="6" t="s">
        <v>338</v>
      </c>
      <c r="L50" s="1" t="s">
        <v>113</v>
      </c>
      <c r="M50" s="1">
        <v>79383</v>
      </c>
      <c r="N50" s="1">
        <v>1321</v>
      </c>
      <c r="O50" s="1">
        <v>379383</v>
      </c>
      <c r="P50" s="1">
        <v>201321</v>
      </c>
    </row>
    <row r="51" spans="1:16" ht="21" customHeight="1" x14ac:dyDescent="0.25">
      <c r="A51" s="3" t="s">
        <v>1268</v>
      </c>
      <c r="B51" s="4" t="s">
        <v>64</v>
      </c>
      <c r="C51" s="2" t="s">
        <v>96</v>
      </c>
      <c r="D51" s="6" t="s">
        <v>92</v>
      </c>
      <c r="E51" s="4" t="s">
        <v>69</v>
      </c>
      <c r="F51" s="4" t="s">
        <v>11</v>
      </c>
      <c r="H51" s="4">
        <f t="shared" si="1"/>
        <v>2</v>
      </c>
      <c r="I51" s="4">
        <v>2</v>
      </c>
      <c r="J51" s="4">
        <v>2</v>
      </c>
      <c r="K51" s="6" t="s">
        <v>196</v>
      </c>
      <c r="L51" s="1" t="s">
        <v>113</v>
      </c>
      <c r="M51" s="1">
        <v>9242</v>
      </c>
      <c r="N51" s="1">
        <v>1493</v>
      </c>
      <c r="O51" s="1">
        <v>392420</v>
      </c>
      <c r="P51" s="1">
        <v>214930</v>
      </c>
    </row>
    <row r="52" spans="1:16" ht="21" customHeight="1" x14ac:dyDescent="0.25">
      <c r="A52" s="3" t="s">
        <v>1268</v>
      </c>
      <c r="B52" s="4" t="s">
        <v>64</v>
      </c>
      <c r="C52" s="2" t="s">
        <v>63</v>
      </c>
      <c r="D52" s="6" t="s">
        <v>26</v>
      </c>
      <c r="E52" s="4" t="s">
        <v>69</v>
      </c>
      <c r="F52" s="4" t="s">
        <v>11</v>
      </c>
      <c r="H52" s="4">
        <f t="shared" si="1"/>
        <v>4</v>
      </c>
      <c r="I52" s="4">
        <v>4</v>
      </c>
      <c r="J52" s="4">
        <v>4</v>
      </c>
      <c r="K52" s="6" t="s">
        <v>650</v>
      </c>
      <c r="L52" s="1" t="s">
        <v>111</v>
      </c>
      <c r="M52" s="1">
        <v>72</v>
      </c>
      <c r="N52" s="1">
        <v>188</v>
      </c>
      <c r="O52" s="1">
        <v>407200</v>
      </c>
      <c r="P52" s="1">
        <v>218800</v>
      </c>
    </row>
    <row r="53" spans="1:16" ht="21" customHeight="1" x14ac:dyDescent="0.25">
      <c r="A53" s="3" t="s">
        <v>1268</v>
      </c>
      <c r="B53" s="4" t="s">
        <v>64</v>
      </c>
      <c r="C53" s="2" t="s">
        <v>547</v>
      </c>
      <c r="D53" s="6" t="s">
        <v>540</v>
      </c>
      <c r="E53" s="4" t="s">
        <v>548</v>
      </c>
      <c r="F53" s="4" t="s">
        <v>11</v>
      </c>
      <c r="H53" s="4">
        <f t="shared" si="1"/>
        <v>2</v>
      </c>
      <c r="I53" s="4">
        <v>2</v>
      </c>
      <c r="J53" s="4">
        <v>1</v>
      </c>
      <c r="K53" s="6" t="s">
        <v>546</v>
      </c>
      <c r="L53" s="1" t="s">
        <v>111</v>
      </c>
      <c r="M53" s="1">
        <v>92</v>
      </c>
      <c r="N53" s="1">
        <v>333</v>
      </c>
      <c r="O53" s="1">
        <v>409200</v>
      </c>
      <c r="P53" s="1">
        <v>233300</v>
      </c>
    </row>
    <row r="54" spans="1:16" ht="21" customHeight="1" x14ac:dyDescent="0.25">
      <c r="A54" s="3" t="s">
        <v>1268</v>
      </c>
      <c r="B54" s="4" t="s">
        <v>261</v>
      </c>
      <c r="C54" s="2" t="s">
        <v>290</v>
      </c>
      <c r="D54" s="6" t="s">
        <v>1276</v>
      </c>
      <c r="E54" s="4" t="s">
        <v>290</v>
      </c>
      <c r="F54" s="4" t="s">
        <v>11</v>
      </c>
      <c r="G54" s="4">
        <v>2</v>
      </c>
      <c r="H54" s="4">
        <f t="shared" si="1"/>
        <v>2</v>
      </c>
      <c r="J54" s="4">
        <v>2</v>
      </c>
      <c r="K54" s="6" t="s">
        <v>661</v>
      </c>
      <c r="L54" s="1" t="s">
        <v>110</v>
      </c>
      <c r="M54" s="1">
        <v>71683</v>
      </c>
      <c r="N54" s="1">
        <v>20323</v>
      </c>
      <c r="O54" s="1">
        <v>471683</v>
      </c>
      <c r="P54" s="1">
        <v>120323</v>
      </c>
    </row>
    <row r="55" spans="1:16" ht="21" customHeight="1" x14ac:dyDescent="0.25">
      <c r="A55" s="3" t="s">
        <v>1268</v>
      </c>
      <c r="B55" s="4" t="s">
        <v>261</v>
      </c>
      <c r="C55" s="2" t="s">
        <v>289</v>
      </c>
      <c r="D55" s="6" t="s">
        <v>39</v>
      </c>
      <c r="E55" s="4" t="s">
        <v>21</v>
      </c>
      <c r="F55" s="4" t="s">
        <v>11</v>
      </c>
      <c r="G55" s="4">
        <v>1</v>
      </c>
      <c r="H55" s="4">
        <f t="shared" si="1"/>
        <v>1</v>
      </c>
      <c r="J55" s="4">
        <v>1</v>
      </c>
      <c r="K55" s="6" t="s">
        <v>44</v>
      </c>
      <c r="L55" s="1" t="s">
        <v>110</v>
      </c>
      <c r="M55" s="1">
        <v>323</v>
      </c>
      <c r="N55" s="1">
        <v>377</v>
      </c>
      <c r="O55" s="1">
        <v>432300</v>
      </c>
      <c r="P55" s="1">
        <v>137700</v>
      </c>
    </row>
    <row r="56" spans="1:16" ht="21" customHeight="1" x14ac:dyDescent="0.25">
      <c r="A56" s="3" t="s">
        <v>1268</v>
      </c>
      <c r="B56" s="4" t="s">
        <v>261</v>
      </c>
      <c r="C56" s="2" t="s">
        <v>602</v>
      </c>
      <c r="D56" s="6" t="s">
        <v>39</v>
      </c>
      <c r="E56" s="4" t="s">
        <v>601</v>
      </c>
      <c r="F56" s="4" t="s">
        <v>11</v>
      </c>
      <c r="H56" s="4">
        <f t="shared" si="1"/>
        <v>1</v>
      </c>
      <c r="I56" s="4">
        <v>1</v>
      </c>
      <c r="J56" s="4">
        <v>1</v>
      </c>
      <c r="K56" s="6" t="s">
        <v>590</v>
      </c>
      <c r="L56" s="1" t="s">
        <v>110</v>
      </c>
      <c r="M56" s="1">
        <v>48</v>
      </c>
      <c r="N56" s="1">
        <v>209</v>
      </c>
      <c r="O56" s="1">
        <v>404800</v>
      </c>
      <c r="P56" s="1">
        <v>120900</v>
      </c>
    </row>
    <row r="57" spans="1:16" ht="21" customHeight="1" x14ac:dyDescent="0.25">
      <c r="A57" s="3" t="s">
        <v>1268</v>
      </c>
      <c r="B57" s="4" t="s">
        <v>261</v>
      </c>
      <c r="C57" s="2" t="s">
        <v>262</v>
      </c>
      <c r="D57" s="6" t="s">
        <v>26</v>
      </c>
      <c r="E57" s="4" t="s">
        <v>263</v>
      </c>
      <c r="F57" s="4" t="s">
        <v>11</v>
      </c>
      <c r="H57" s="4">
        <f t="shared" si="1"/>
        <v>1</v>
      </c>
      <c r="I57" s="4">
        <v>1</v>
      </c>
      <c r="J57" s="4">
        <v>1</v>
      </c>
      <c r="K57" s="6" t="s">
        <v>264</v>
      </c>
      <c r="L57" s="1" t="s">
        <v>110</v>
      </c>
      <c r="M57" s="1">
        <v>3310</v>
      </c>
      <c r="N57" s="1">
        <v>4952</v>
      </c>
      <c r="O57" s="1">
        <v>433100</v>
      </c>
      <c r="P57" s="1">
        <v>149520</v>
      </c>
    </row>
    <row r="58" spans="1:16" ht="21" customHeight="1" x14ac:dyDescent="0.25">
      <c r="A58" s="3" t="s">
        <v>1268</v>
      </c>
      <c r="B58" s="4" t="s">
        <v>283</v>
      </c>
      <c r="C58" s="2" t="s">
        <v>474</v>
      </c>
      <c r="D58" s="6" t="s">
        <v>26</v>
      </c>
      <c r="E58" s="4" t="s">
        <v>475</v>
      </c>
      <c r="F58" s="4" t="s">
        <v>11</v>
      </c>
      <c r="H58" s="4">
        <f t="shared" si="1"/>
        <v>1</v>
      </c>
      <c r="I58" s="4">
        <v>1</v>
      </c>
      <c r="J58" s="4">
        <v>1</v>
      </c>
      <c r="K58" s="6" t="s">
        <v>476</v>
      </c>
      <c r="L58" s="1" t="s">
        <v>477</v>
      </c>
      <c r="M58" s="1">
        <v>77</v>
      </c>
      <c r="N58" s="1">
        <v>532</v>
      </c>
      <c r="O58" s="1">
        <v>607700</v>
      </c>
      <c r="P58" s="1">
        <v>153200</v>
      </c>
    </row>
    <row r="59" spans="1:16" ht="21" customHeight="1" x14ac:dyDescent="0.25">
      <c r="A59" s="3" t="s">
        <v>1268</v>
      </c>
      <c r="B59" s="4" t="s">
        <v>430</v>
      </c>
      <c r="C59" s="2" t="s">
        <v>568</v>
      </c>
      <c r="D59" s="6" t="s">
        <v>434</v>
      </c>
      <c r="E59" s="6" t="s">
        <v>432</v>
      </c>
      <c r="F59" s="4" t="s">
        <v>11</v>
      </c>
      <c r="G59" s="4">
        <v>1</v>
      </c>
      <c r="H59" s="4">
        <f t="shared" si="1"/>
        <v>1</v>
      </c>
      <c r="J59" s="4">
        <v>1</v>
      </c>
      <c r="K59" s="6" t="s">
        <v>414</v>
      </c>
      <c r="L59" s="1" t="s">
        <v>431</v>
      </c>
      <c r="M59" s="1">
        <v>635</v>
      </c>
      <c r="N59" s="1">
        <v>104</v>
      </c>
      <c r="O59" s="1">
        <v>363500</v>
      </c>
      <c r="P59" s="1">
        <v>410400</v>
      </c>
    </row>
    <row r="60" spans="1:16" ht="21" customHeight="1" x14ac:dyDescent="0.25">
      <c r="A60" s="3" t="s">
        <v>1268</v>
      </c>
      <c r="B60" s="4" t="s">
        <v>328</v>
      </c>
      <c r="C60" s="2" t="s">
        <v>418</v>
      </c>
      <c r="D60" s="6" t="s">
        <v>26</v>
      </c>
      <c r="E60" s="4" t="s">
        <v>419</v>
      </c>
      <c r="F60" s="4" t="s">
        <v>11</v>
      </c>
      <c r="H60" s="4">
        <f t="shared" si="1"/>
        <v>1</v>
      </c>
      <c r="I60" s="4">
        <v>1</v>
      </c>
      <c r="J60" s="4">
        <v>1</v>
      </c>
      <c r="K60" s="6" t="s">
        <v>414</v>
      </c>
      <c r="L60" s="1" t="s">
        <v>175</v>
      </c>
      <c r="M60" s="1">
        <v>4278</v>
      </c>
      <c r="N60" s="1">
        <v>7126</v>
      </c>
      <c r="O60" s="1">
        <v>542780</v>
      </c>
      <c r="P60" s="1">
        <v>371260</v>
      </c>
    </row>
    <row r="61" spans="1:16" ht="21" customHeight="1" x14ac:dyDescent="0.25">
      <c r="A61" s="3" t="s">
        <v>1268</v>
      </c>
      <c r="B61" s="4" t="s">
        <v>483</v>
      </c>
      <c r="C61" s="2" t="s">
        <v>484</v>
      </c>
      <c r="D61" s="6" t="s">
        <v>41</v>
      </c>
      <c r="E61" s="4" t="s">
        <v>485</v>
      </c>
      <c r="F61" s="4" t="s">
        <v>11</v>
      </c>
      <c r="H61" s="4">
        <f t="shared" si="1"/>
        <v>1</v>
      </c>
      <c r="I61" s="4">
        <v>1</v>
      </c>
      <c r="J61" s="4">
        <v>1</v>
      </c>
      <c r="K61" s="6" t="s">
        <v>486</v>
      </c>
      <c r="L61" s="1" t="s">
        <v>189</v>
      </c>
      <c r="M61" s="1">
        <v>405</v>
      </c>
      <c r="N61" s="1">
        <v>875</v>
      </c>
      <c r="O61" s="1">
        <v>340500</v>
      </c>
      <c r="P61" s="1">
        <v>387500</v>
      </c>
    </row>
    <row r="62" spans="1:16" ht="21" customHeight="1" x14ac:dyDescent="0.25">
      <c r="A62" s="3" t="s">
        <v>1268</v>
      </c>
      <c r="B62" s="4" t="s">
        <v>78</v>
      </c>
      <c r="C62" s="2" t="s">
        <v>392</v>
      </c>
      <c r="D62" s="6" t="s">
        <v>18</v>
      </c>
      <c r="E62" s="4" t="s">
        <v>141</v>
      </c>
      <c r="F62" s="4" t="s">
        <v>11</v>
      </c>
      <c r="H62" s="4">
        <f t="shared" si="1"/>
        <v>1</v>
      </c>
      <c r="I62" s="4">
        <v>1</v>
      </c>
      <c r="J62" s="4">
        <v>1</v>
      </c>
      <c r="K62" s="6" t="s">
        <v>389</v>
      </c>
      <c r="L62" s="1" t="s">
        <v>393</v>
      </c>
      <c r="M62" s="1">
        <v>2398</v>
      </c>
      <c r="N62" s="1">
        <v>601</v>
      </c>
      <c r="O62" s="1">
        <v>623980</v>
      </c>
      <c r="P62" s="1">
        <v>306010</v>
      </c>
    </row>
    <row r="63" spans="1:16" ht="21" customHeight="1" x14ac:dyDescent="0.25">
      <c r="A63" s="3" t="s">
        <v>1268</v>
      </c>
      <c r="B63" s="4" t="s">
        <v>78</v>
      </c>
      <c r="C63" s="2" t="s">
        <v>77</v>
      </c>
      <c r="D63" s="6" t="s">
        <v>138</v>
      </c>
      <c r="E63" s="4" t="s">
        <v>141</v>
      </c>
      <c r="F63" s="4" t="s">
        <v>11</v>
      </c>
      <c r="H63" s="4">
        <f t="shared" si="1"/>
        <v>2</v>
      </c>
      <c r="I63" s="4">
        <v>2</v>
      </c>
      <c r="J63" s="4">
        <v>2</v>
      </c>
      <c r="K63" s="6" t="s">
        <v>332</v>
      </c>
      <c r="L63" s="1" t="s">
        <v>140</v>
      </c>
      <c r="M63" s="1">
        <v>343</v>
      </c>
      <c r="N63" s="1">
        <v>911</v>
      </c>
      <c r="O63" s="1">
        <v>634300</v>
      </c>
      <c r="P63" s="1">
        <v>291100</v>
      </c>
    </row>
    <row r="64" spans="1:16" ht="21" customHeight="1" x14ac:dyDescent="0.25">
      <c r="A64" s="3" t="s">
        <v>1268</v>
      </c>
      <c r="B64" s="4" t="s">
        <v>78</v>
      </c>
      <c r="C64" s="2" t="s">
        <v>565</v>
      </c>
      <c r="D64" s="6" t="s">
        <v>567</v>
      </c>
      <c r="E64" s="4" t="s">
        <v>566</v>
      </c>
      <c r="F64" s="4" t="s">
        <v>11</v>
      </c>
      <c r="H64" s="4">
        <f t="shared" si="1"/>
        <v>2</v>
      </c>
      <c r="I64" s="4">
        <v>2</v>
      </c>
      <c r="J64" s="4">
        <v>2</v>
      </c>
      <c r="K64" s="6" t="s">
        <v>569</v>
      </c>
      <c r="L64" s="1" t="s">
        <v>177</v>
      </c>
      <c r="M64" s="1">
        <v>81758</v>
      </c>
      <c r="N64" s="1">
        <v>89781</v>
      </c>
      <c r="O64" s="1">
        <v>581758</v>
      </c>
      <c r="P64" s="1">
        <v>289781</v>
      </c>
    </row>
    <row r="65" spans="1:16" ht="21" customHeight="1" x14ac:dyDescent="0.25">
      <c r="A65" s="3" t="s">
        <v>1268</v>
      </c>
      <c r="B65" s="4" t="s">
        <v>78</v>
      </c>
      <c r="C65" s="2" t="s">
        <v>344</v>
      </c>
      <c r="D65" s="6" t="s">
        <v>434</v>
      </c>
      <c r="F65" s="4" t="s">
        <v>11</v>
      </c>
      <c r="G65" s="4">
        <v>1</v>
      </c>
      <c r="H65" s="4">
        <f t="shared" si="1"/>
        <v>1</v>
      </c>
      <c r="I65" s="4">
        <v>0</v>
      </c>
      <c r="J65" s="4">
        <v>1</v>
      </c>
      <c r="K65" s="6" t="s">
        <v>338</v>
      </c>
      <c r="L65" s="1" t="s">
        <v>177</v>
      </c>
      <c r="M65" s="1">
        <v>926</v>
      </c>
      <c r="N65" s="1">
        <v>932</v>
      </c>
      <c r="O65" s="1">
        <v>592600</v>
      </c>
      <c r="P65" s="1">
        <v>293200</v>
      </c>
    </row>
    <row r="66" spans="1:16" ht="21" customHeight="1" x14ac:dyDescent="0.25">
      <c r="A66" s="3" t="s">
        <v>1268</v>
      </c>
      <c r="B66" s="4" t="s">
        <v>206</v>
      </c>
      <c r="C66" s="2" t="s">
        <v>207</v>
      </c>
      <c r="D66" s="6" t="s">
        <v>92</v>
      </c>
      <c r="E66" s="4" t="s">
        <v>208</v>
      </c>
      <c r="F66" s="4" t="s">
        <v>11</v>
      </c>
      <c r="H66" s="4">
        <f t="shared" ref="H66:H97" si="2">SUM(G66,I66)</f>
        <v>2</v>
      </c>
      <c r="I66" s="4">
        <v>2</v>
      </c>
      <c r="J66" s="4">
        <v>2</v>
      </c>
      <c r="K66" s="6" t="s">
        <v>415</v>
      </c>
      <c r="L66" s="1" t="s">
        <v>111</v>
      </c>
      <c r="M66" s="1">
        <v>7362</v>
      </c>
      <c r="N66" s="1">
        <v>5923</v>
      </c>
      <c r="O66" s="1">
        <v>473620</v>
      </c>
      <c r="P66" s="1">
        <v>259230</v>
      </c>
    </row>
    <row r="67" spans="1:16" ht="21" customHeight="1" x14ac:dyDescent="0.25">
      <c r="A67" s="3" t="s">
        <v>1268</v>
      </c>
      <c r="B67" s="4" t="s">
        <v>46</v>
      </c>
      <c r="C67" s="2" t="s">
        <v>45</v>
      </c>
      <c r="E67" s="4" t="s">
        <v>45</v>
      </c>
      <c r="F67" s="4" t="s">
        <v>11</v>
      </c>
      <c r="G67" s="4">
        <v>2</v>
      </c>
      <c r="H67" s="4">
        <f t="shared" si="2"/>
        <v>2</v>
      </c>
      <c r="J67" s="4">
        <v>2</v>
      </c>
      <c r="K67" s="6" t="s">
        <v>655</v>
      </c>
      <c r="L67" s="1" t="s">
        <v>398</v>
      </c>
      <c r="M67" s="1">
        <v>992</v>
      </c>
      <c r="N67" s="1">
        <v>278</v>
      </c>
      <c r="O67" s="1">
        <v>399200</v>
      </c>
      <c r="P67" s="1">
        <v>627800</v>
      </c>
    </row>
    <row r="68" spans="1:16" ht="21" customHeight="1" x14ac:dyDescent="0.25">
      <c r="A68" s="3" t="s">
        <v>1268</v>
      </c>
      <c r="B68" s="4" t="s">
        <v>46</v>
      </c>
      <c r="C68" s="2" t="s">
        <v>452</v>
      </c>
      <c r="D68" s="6" t="s">
        <v>18</v>
      </c>
      <c r="E68" s="4" t="s">
        <v>45</v>
      </c>
      <c r="F68" s="4" t="s">
        <v>11</v>
      </c>
      <c r="G68" s="4">
        <v>1</v>
      </c>
      <c r="H68" s="4">
        <f t="shared" si="2"/>
        <v>3</v>
      </c>
      <c r="I68" s="4">
        <v>2</v>
      </c>
      <c r="J68" s="4">
        <v>3</v>
      </c>
      <c r="K68" s="6" t="s">
        <v>639</v>
      </c>
      <c r="L68" s="1" t="s">
        <v>398</v>
      </c>
      <c r="M68" s="1">
        <v>9338</v>
      </c>
      <c r="N68" s="1">
        <v>3490</v>
      </c>
      <c r="O68" s="1">
        <v>393380</v>
      </c>
      <c r="P68" s="1">
        <v>634900</v>
      </c>
    </row>
    <row r="69" spans="1:16" ht="21" customHeight="1" x14ac:dyDescent="0.25">
      <c r="A69" s="3" t="s">
        <v>1268</v>
      </c>
      <c r="B69" s="4" t="s">
        <v>46</v>
      </c>
      <c r="C69" s="2" t="s">
        <v>626</v>
      </c>
      <c r="D69" s="6" t="s">
        <v>39</v>
      </c>
      <c r="E69" s="4" t="s">
        <v>628</v>
      </c>
      <c r="F69" s="4" t="s">
        <v>11</v>
      </c>
      <c r="G69" s="4">
        <v>1</v>
      </c>
      <c r="H69" s="4">
        <f t="shared" si="2"/>
        <v>1</v>
      </c>
      <c r="J69" s="4">
        <v>1</v>
      </c>
      <c r="K69" s="6" t="s">
        <v>590</v>
      </c>
      <c r="L69" s="1" t="s">
        <v>627</v>
      </c>
      <c r="M69" s="1">
        <v>133</v>
      </c>
      <c r="N69" s="1">
        <v>370</v>
      </c>
      <c r="O69" s="1">
        <v>413300</v>
      </c>
      <c r="P69" s="1">
        <v>637000</v>
      </c>
    </row>
    <row r="70" spans="1:16" ht="21" customHeight="1" x14ac:dyDescent="0.25">
      <c r="A70" s="3" t="s">
        <v>1268</v>
      </c>
      <c r="B70" s="4" t="s">
        <v>46</v>
      </c>
      <c r="C70" s="2" t="s">
        <v>83</v>
      </c>
      <c r="D70" s="6" t="s">
        <v>453</v>
      </c>
      <c r="E70" s="4" t="s">
        <v>45</v>
      </c>
      <c r="F70" s="4" t="s">
        <v>11</v>
      </c>
      <c r="H70" s="4">
        <f t="shared" si="2"/>
        <v>1</v>
      </c>
      <c r="I70" s="4">
        <v>1</v>
      </c>
      <c r="J70" s="4">
        <v>1</v>
      </c>
      <c r="K70" s="6" t="s">
        <v>79</v>
      </c>
      <c r="L70" s="1" t="s">
        <v>398</v>
      </c>
      <c r="M70" s="1">
        <v>959</v>
      </c>
      <c r="N70" s="1">
        <v>324</v>
      </c>
      <c r="O70" s="1">
        <v>395900</v>
      </c>
      <c r="P70" s="1">
        <v>632400</v>
      </c>
    </row>
    <row r="71" spans="1:16" ht="21" customHeight="1" x14ac:dyDescent="0.25">
      <c r="A71" s="3" t="s">
        <v>1268</v>
      </c>
      <c r="B71" s="4" t="s">
        <v>62</v>
      </c>
      <c r="C71" s="2" t="s">
        <v>61</v>
      </c>
      <c r="D71" s="6" t="s">
        <v>26</v>
      </c>
      <c r="E71" s="6" t="s">
        <v>101</v>
      </c>
      <c r="F71" s="4" t="s">
        <v>11</v>
      </c>
      <c r="H71" s="4">
        <f t="shared" si="2"/>
        <v>4</v>
      </c>
      <c r="I71" s="4">
        <v>4</v>
      </c>
      <c r="J71" s="4">
        <v>4</v>
      </c>
      <c r="K71" s="6" t="s">
        <v>320</v>
      </c>
      <c r="L71" s="1" t="s">
        <v>111</v>
      </c>
      <c r="M71" s="1">
        <v>3001</v>
      </c>
      <c r="N71" s="1">
        <v>1755</v>
      </c>
      <c r="O71" s="1">
        <v>430010</v>
      </c>
      <c r="P71" s="1">
        <v>217550</v>
      </c>
    </row>
    <row r="72" spans="1:16" ht="21" customHeight="1" x14ac:dyDescent="0.25">
      <c r="A72" s="3" t="s">
        <v>1268</v>
      </c>
      <c r="B72" s="4" t="s">
        <v>62</v>
      </c>
      <c r="C72" s="2" t="s">
        <v>91</v>
      </c>
      <c r="D72" s="6" t="s">
        <v>92</v>
      </c>
      <c r="E72" s="6" t="s">
        <v>102</v>
      </c>
      <c r="F72" s="4" t="s">
        <v>11</v>
      </c>
      <c r="G72" s="4">
        <v>1</v>
      </c>
      <c r="H72" s="4">
        <f t="shared" si="2"/>
        <v>2</v>
      </c>
      <c r="I72" s="4">
        <v>1</v>
      </c>
      <c r="J72" s="4">
        <v>2</v>
      </c>
      <c r="K72" s="6" t="s">
        <v>368</v>
      </c>
      <c r="L72" s="1" t="s">
        <v>110</v>
      </c>
      <c r="M72" s="1">
        <v>5109</v>
      </c>
      <c r="N72" s="1">
        <v>9828</v>
      </c>
      <c r="O72" s="1">
        <v>451090</v>
      </c>
      <c r="P72" s="1">
        <v>198280</v>
      </c>
    </row>
    <row r="73" spans="1:16" ht="21" customHeight="1" x14ac:dyDescent="0.25">
      <c r="A73" s="3" t="s">
        <v>1268</v>
      </c>
      <c r="B73" s="4" t="s">
        <v>62</v>
      </c>
      <c r="C73" s="2" t="s">
        <v>354</v>
      </c>
      <c r="D73" s="6" t="s">
        <v>355</v>
      </c>
      <c r="E73" s="6" t="s">
        <v>102</v>
      </c>
      <c r="F73" s="4" t="s">
        <v>11</v>
      </c>
      <c r="H73" s="4">
        <f t="shared" si="2"/>
        <v>2</v>
      </c>
      <c r="I73" s="4">
        <v>2</v>
      </c>
      <c r="J73" s="4">
        <v>2</v>
      </c>
      <c r="K73" s="6" t="s">
        <v>359</v>
      </c>
      <c r="L73" s="1" t="s">
        <v>110</v>
      </c>
      <c r="M73" s="1">
        <v>5124</v>
      </c>
      <c r="N73" s="1">
        <v>9820</v>
      </c>
      <c r="O73" s="1">
        <v>451240</v>
      </c>
      <c r="P73" s="1">
        <v>198200</v>
      </c>
    </row>
    <row r="74" spans="1:16" ht="21" customHeight="1" x14ac:dyDescent="0.25">
      <c r="A74" s="3" t="s">
        <v>1268</v>
      </c>
      <c r="B74" s="4" t="s">
        <v>62</v>
      </c>
      <c r="C74" s="2" t="s">
        <v>354</v>
      </c>
      <c r="D74" s="6" t="s">
        <v>540</v>
      </c>
      <c r="E74" s="6" t="s">
        <v>102</v>
      </c>
      <c r="F74" s="4" t="s">
        <v>11</v>
      </c>
      <c r="H74" s="4">
        <f t="shared" si="2"/>
        <v>1</v>
      </c>
      <c r="I74" s="4">
        <v>1</v>
      </c>
      <c r="J74" s="4">
        <v>1</v>
      </c>
      <c r="K74" s="6" t="s">
        <v>541</v>
      </c>
      <c r="L74" s="1" t="s">
        <v>110</v>
      </c>
      <c r="M74" s="1">
        <v>5167</v>
      </c>
      <c r="N74" s="1">
        <v>9830</v>
      </c>
      <c r="O74" s="1">
        <v>451670</v>
      </c>
      <c r="P74" s="1">
        <v>198300</v>
      </c>
    </row>
    <row r="75" spans="1:16" ht="21" customHeight="1" x14ac:dyDescent="0.25">
      <c r="A75" s="3" t="s">
        <v>1268</v>
      </c>
      <c r="B75" s="4" t="s">
        <v>62</v>
      </c>
      <c r="C75" s="2" t="s">
        <v>597</v>
      </c>
      <c r="D75" s="6" t="s">
        <v>598</v>
      </c>
      <c r="E75" s="6" t="s">
        <v>102</v>
      </c>
      <c r="F75" s="4" t="s">
        <v>11</v>
      </c>
      <c r="G75" s="4">
        <v>1</v>
      </c>
      <c r="H75" s="4">
        <f t="shared" si="2"/>
        <v>1</v>
      </c>
      <c r="J75" s="4">
        <v>1</v>
      </c>
      <c r="K75" s="6" t="s">
        <v>590</v>
      </c>
      <c r="L75" s="1" t="s">
        <v>110</v>
      </c>
      <c r="M75" s="1">
        <v>510</v>
      </c>
      <c r="N75" s="1">
        <v>977</v>
      </c>
      <c r="O75" s="1">
        <v>451000</v>
      </c>
      <c r="P75" s="1">
        <v>197700</v>
      </c>
    </row>
    <row r="76" spans="1:16" ht="21" customHeight="1" x14ac:dyDescent="0.25">
      <c r="A76" s="3" t="s">
        <v>1268</v>
      </c>
      <c r="B76" s="4" t="s">
        <v>62</v>
      </c>
      <c r="C76" s="2" t="s">
        <v>365</v>
      </c>
      <c r="D76" s="6" t="s">
        <v>366</v>
      </c>
      <c r="E76" s="6" t="s">
        <v>364</v>
      </c>
      <c r="F76" s="4" t="s">
        <v>11</v>
      </c>
      <c r="H76" s="4">
        <f t="shared" si="2"/>
        <v>3</v>
      </c>
      <c r="I76" s="4">
        <v>3</v>
      </c>
      <c r="J76" s="4">
        <v>2</v>
      </c>
      <c r="K76" s="6" t="s">
        <v>509</v>
      </c>
      <c r="L76" s="1" t="s">
        <v>111</v>
      </c>
      <c r="M76" s="1">
        <v>411</v>
      </c>
      <c r="N76" s="1">
        <v>48</v>
      </c>
      <c r="O76" s="1">
        <v>441100</v>
      </c>
      <c r="P76" s="1">
        <v>204800</v>
      </c>
    </row>
    <row r="77" spans="1:16" ht="21" customHeight="1" x14ac:dyDescent="0.25">
      <c r="A77" s="3" t="s">
        <v>1268</v>
      </c>
      <c r="B77" s="4" t="s">
        <v>62</v>
      </c>
      <c r="C77" s="2" t="s">
        <v>385</v>
      </c>
      <c r="D77" s="6" t="s">
        <v>20</v>
      </c>
      <c r="E77" s="6" t="s">
        <v>386</v>
      </c>
      <c r="F77" s="4" t="s">
        <v>11</v>
      </c>
      <c r="H77" s="4">
        <f t="shared" si="2"/>
        <v>3</v>
      </c>
      <c r="I77" s="4">
        <v>3</v>
      </c>
      <c r="J77" s="4">
        <v>3</v>
      </c>
      <c r="K77" s="6" t="s">
        <v>492</v>
      </c>
      <c r="L77" s="1" t="s">
        <v>110</v>
      </c>
      <c r="M77" s="1">
        <v>5738</v>
      </c>
      <c r="N77" s="1">
        <v>9546</v>
      </c>
      <c r="O77" s="1">
        <v>457380</v>
      </c>
      <c r="P77" s="1">
        <v>195460</v>
      </c>
    </row>
    <row r="78" spans="1:16" ht="21" customHeight="1" x14ac:dyDescent="0.25">
      <c r="A78" s="3" t="s">
        <v>1268</v>
      </c>
      <c r="B78" s="4" t="s">
        <v>62</v>
      </c>
      <c r="C78" s="2" t="s">
        <v>498</v>
      </c>
      <c r="D78" s="6" t="s">
        <v>499</v>
      </c>
      <c r="E78" s="6" t="s">
        <v>101</v>
      </c>
      <c r="F78" s="4" t="s">
        <v>11</v>
      </c>
      <c r="H78" s="4">
        <f t="shared" si="2"/>
        <v>1</v>
      </c>
      <c r="I78" s="4">
        <v>1</v>
      </c>
      <c r="J78" s="4">
        <v>1</v>
      </c>
      <c r="K78" s="6" t="s">
        <v>500</v>
      </c>
      <c r="L78" s="1" t="s">
        <v>111</v>
      </c>
      <c r="M78" s="1">
        <v>4252</v>
      </c>
      <c r="N78" s="1">
        <v>866</v>
      </c>
      <c r="O78" s="1">
        <v>442520</v>
      </c>
      <c r="P78" s="1">
        <v>208660</v>
      </c>
    </row>
    <row r="79" spans="1:16" ht="21" customHeight="1" x14ac:dyDescent="0.25">
      <c r="A79" s="3" t="s">
        <v>1268</v>
      </c>
      <c r="B79" s="4" t="s">
        <v>62</v>
      </c>
      <c r="C79" s="2" t="s">
        <v>599</v>
      </c>
      <c r="D79" s="6" t="s">
        <v>39</v>
      </c>
      <c r="E79" s="6" t="s">
        <v>600</v>
      </c>
      <c r="F79" s="4" t="s">
        <v>11</v>
      </c>
      <c r="H79" s="4">
        <f t="shared" si="2"/>
        <v>1</v>
      </c>
      <c r="I79" s="4">
        <v>1</v>
      </c>
      <c r="J79" s="4">
        <v>1</v>
      </c>
      <c r="K79" s="6" t="s">
        <v>590</v>
      </c>
      <c r="L79" s="1" t="s">
        <v>110</v>
      </c>
      <c r="M79" s="1">
        <v>6215</v>
      </c>
      <c r="N79" s="1">
        <v>8652</v>
      </c>
      <c r="O79" s="1">
        <v>462150</v>
      </c>
      <c r="P79" s="1">
        <v>186520</v>
      </c>
    </row>
    <row r="80" spans="1:16" ht="21" customHeight="1" x14ac:dyDescent="0.25">
      <c r="A80" s="3" t="s">
        <v>1268</v>
      </c>
      <c r="B80" s="4" t="s">
        <v>62</v>
      </c>
      <c r="C80" s="2" t="s">
        <v>531</v>
      </c>
      <c r="D80" s="6" t="s">
        <v>8</v>
      </c>
      <c r="E80" s="6" t="s">
        <v>101</v>
      </c>
      <c r="F80" s="4" t="s">
        <v>11</v>
      </c>
      <c r="H80" s="4">
        <f t="shared" si="2"/>
        <v>1</v>
      </c>
      <c r="I80" s="4">
        <v>1</v>
      </c>
      <c r="J80" s="4">
        <v>1</v>
      </c>
      <c r="K80" s="6" t="s">
        <v>513</v>
      </c>
      <c r="L80" s="1" t="s">
        <v>111</v>
      </c>
      <c r="M80" s="1">
        <v>297</v>
      </c>
      <c r="N80" s="1">
        <v>308</v>
      </c>
      <c r="O80" s="1">
        <v>429700</v>
      </c>
      <c r="P80" s="1">
        <v>230800</v>
      </c>
    </row>
    <row r="81" spans="1:16" ht="21" customHeight="1" x14ac:dyDescent="0.25">
      <c r="A81" s="3" t="s">
        <v>1268</v>
      </c>
      <c r="B81" s="4" t="s">
        <v>62</v>
      </c>
      <c r="C81" s="2" t="s">
        <v>233</v>
      </c>
      <c r="D81" s="6" t="s">
        <v>26</v>
      </c>
      <c r="E81" s="6" t="s">
        <v>102</v>
      </c>
      <c r="F81" s="4" t="s">
        <v>11</v>
      </c>
      <c r="H81" s="4">
        <f t="shared" si="2"/>
        <v>3</v>
      </c>
      <c r="I81" s="4">
        <v>3</v>
      </c>
      <c r="J81" s="4">
        <v>2</v>
      </c>
      <c r="K81" s="6" t="s">
        <v>241</v>
      </c>
      <c r="L81" s="1" t="s">
        <v>110</v>
      </c>
      <c r="M81" s="1">
        <v>28090</v>
      </c>
      <c r="N81" s="1">
        <v>85396</v>
      </c>
      <c r="O81" s="1">
        <v>428090</v>
      </c>
      <c r="P81" s="1">
        <v>185396</v>
      </c>
    </row>
    <row r="82" spans="1:16" ht="21" customHeight="1" x14ac:dyDescent="0.25">
      <c r="A82" s="3" t="s">
        <v>1268</v>
      </c>
      <c r="B82" s="4" t="s">
        <v>82</v>
      </c>
      <c r="C82" s="2" t="s">
        <v>81</v>
      </c>
      <c r="D82" s="6" t="s">
        <v>39</v>
      </c>
      <c r="E82" s="4" t="s">
        <v>70</v>
      </c>
      <c r="F82" s="4" t="s">
        <v>11</v>
      </c>
      <c r="H82" s="4">
        <f t="shared" si="2"/>
        <v>1</v>
      </c>
      <c r="I82" s="4">
        <v>1</v>
      </c>
      <c r="J82" s="4">
        <v>1</v>
      </c>
      <c r="K82" s="6" t="s">
        <v>79</v>
      </c>
      <c r="L82" s="1" t="s">
        <v>189</v>
      </c>
      <c r="M82" s="1">
        <v>43143</v>
      </c>
      <c r="N82" s="1">
        <v>30497</v>
      </c>
      <c r="O82" s="1">
        <v>343143</v>
      </c>
      <c r="P82" s="1">
        <v>330497</v>
      </c>
    </row>
    <row r="83" spans="1:16" ht="21" customHeight="1" x14ac:dyDescent="0.25">
      <c r="A83" s="3" t="s">
        <v>1268</v>
      </c>
      <c r="B83" s="4" t="s">
        <v>82</v>
      </c>
      <c r="C83" s="2" t="s">
        <v>577</v>
      </c>
      <c r="D83" s="6" t="s">
        <v>1278</v>
      </c>
      <c r="E83" s="4" t="s">
        <v>70</v>
      </c>
      <c r="F83" s="4" t="s">
        <v>11</v>
      </c>
      <c r="G83" s="4">
        <v>1</v>
      </c>
      <c r="H83" s="4">
        <f t="shared" si="2"/>
        <v>1</v>
      </c>
      <c r="J83" s="4">
        <v>1</v>
      </c>
      <c r="K83" s="6" t="s">
        <v>578</v>
      </c>
      <c r="L83" s="1" t="s">
        <v>113</v>
      </c>
      <c r="M83" s="1">
        <v>52417</v>
      </c>
      <c r="N83" s="1">
        <v>98975</v>
      </c>
      <c r="O83" s="1">
        <v>352417</v>
      </c>
      <c r="P83" s="1">
        <v>298975</v>
      </c>
    </row>
    <row r="84" spans="1:16" ht="21" customHeight="1" x14ac:dyDescent="0.25">
      <c r="A84" s="3" t="s">
        <v>1268</v>
      </c>
      <c r="B84" s="4" t="s">
        <v>22</v>
      </c>
      <c r="C84" s="2" t="s">
        <v>293</v>
      </c>
      <c r="D84" s="6" t="s">
        <v>1278</v>
      </c>
      <c r="E84" s="4" t="s">
        <v>22</v>
      </c>
      <c r="F84" s="4" t="s">
        <v>11</v>
      </c>
      <c r="H84" s="4">
        <f t="shared" si="2"/>
        <v>1</v>
      </c>
      <c r="I84" s="4">
        <v>1</v>
      </c>
      <c r="J84" s="4">
        <v>1</v>
      </c>
      <c r="K84" s="6" t="s">
        <v>294</v>
      </c>
      <c r="L84" s="1" t="s">
        <v>119</v>
      </c>
      <c r="M84" s="1">
        <v>53767</v>
      </c>
      <c r="N84" s="1">
        <v>17001</v>
      </c>
      <c r="O84" s="1">
        <v>353767</v>
      </c>
      <c r="P84" s="1">
        <v>117001</v>
      </c>
    </row>
    <row r="85" spans="1:16" ht="21" customHeight="1" x14ac:dyDescent="0.25">
      <c r="A85" s="3" t="s">
        <v>1268</v>
      </c>
      <c r="B85" s="4" t="s">
        <v>22</v>
      </c>
      <c r="C85" s="2" t="s">
        <v>149</v>
      </c>
      <c r="D85" s="6" t="s">
        <v>1278</v>
      </c>
      <c r="E85" s="4" t="s">
        <v>149</v>
      </c>
      <c r="F85" s="4" t="s">
        <v>11</v>
      </c>
      <c r="G85" s="4">
        <v>6</v>
      </c>
      <c r="H85" s="4">
        <f t="shared" si="2"/>
        <v>6</v>
      </c>
      <c r="J85" s="4">
        <v>5</v>
      </c>
      <c r="K85" s="6" t="s">
        <v>345</v>
      </c>
      <c r="L85" s="1" t="s">
        <v>119</v>
      </c>
      <c r="M85" s="1">
        <v>35170</v>
      </c>
      <c r="N85" s="1">
        <v>29909</v>
      </c>
      <c r="O85" s="1">
        <v>335170</v>
      </c>
      <c r="P85" s="1">
        <v>129909</v>
      </c>
    </row>
    <row r="86" spans="1:16" ht="21" customHeight="1" x14ac:dyDescent="0.25">
      <c r="A86" s="3" t="s">
        <v>1268</v>
      </c>
      <c r="B86" s="4" t="s">
        <v>22</v>
      </c>
      <c r="C86" s="2" t="s">
        <v>406</v>
      </c>
      <c r="D86" s="6" t="s">
        <v>18</v>
      </c>
      <c r="E86" s="4" t="s">
        <v>512</v>
      </c>
      <c r="F86" s="4" t="s">
        <v>11</v>
      </c>
      <c r="H86" s="4">
        <f t="shared" si="2"/>
        <v>1</v>
      </c>
      <c r="I86" s="4">
        <v>1</v>
      </c>
      <c r="J86" s="4">
        <v>1</v>
      </c>
      <c r="K86" s="6" t="s">
        <v>396</v>
      </c>
      <c r="L86" s="1" t="s">
        <v>119</v>
      </c>
      <c r="M86" s="1">
        <v>4842</v>
      </c>
      <c r="N86" s="1">
        <v>5582</v>
      </c>
      <c r="O86" s="1">
        <v>348420</v>
      </c>
      <c r="P86" s="1">
        <v>155820</v>
      </c>
    </row>
    <row r="87" spans="1:16" ht="21" customHeight="1" x14ac:dyDescent="0.25">
      <c r="A87" s="3" t="s">
        <v>1268</v>
      </c>
      <c r="B87" s="4" t="s">
        <v>22</v>
      </c>
      <c r="C87" s="2" t="s">
        <v>510</v>
      </c>
      <c r="D87" s="6" t="s">
        <v>18</v>
      </c>
      <c r="E87" s="4" t="s">
        <v>512</v>
      </c>
      <c r="F87" s="4" t="s">
        <v>11</v>
      </c>
      <c r="H87" s="4">
        <f t="shared" si="2"/>
        <v>1</v>
      </c>
      <c r="I87" s="4">
        <v>1</v>
      </c>
      <c r="J87" s="4">
        <v>1</v>
      </c>
      <c r="K87" s="6" t="s">
        <v>513</v>
      </c>
      <c r="L87" s="1" t="s">
        <v>119</v>
      </c>
      <c r="M87" s="1">
        <v>540</v>
      </c>
      <c r="N87" s="1">
        <v>530</v>
      </c>
      <c r="O87" s="1">
        <v>354000</v>
      </c>
      <c r="P87" s="1">
        <v>153000</v>
      </c>
    </row>
    <row r="88" spans="1:16" ht="16.5" customHeight="1" x14ac:dyDescent="0.25">
      <c r="A88" s="3" t="s">
        <v>1268</v>
      </c>
      <c r="B88" s="4" t="s">
        <v>22</v>
      </c>
      <c r="C88" s="2" t="s">
        <v>147</v>
      </c>
      <c r="D88" s="6" t="s">
        <v>148</v>
      </c>
      <c r="E88" s="4" t="s">
        <v>149</v>
      </c>
      <c r="F88" s="4" t="s">
        <v>11</v>
      </c>
      <c r="H88" s="4">
        <f t="shared" si="2"/>
        <v>3</v>
      </c>
      <c r="I88" s="4">
        <v>3</v>
      </c>
      <c r="J88" s="4">
        <v>3</v>
      </c>
      <c r="K88" s="6" t="s">
        <v>325</v>
      </c>
      <c r="L88" s="1" t="s">
        <v>119</v>
      </c>
      <c r="M88" s="1">
        <v>423</v>
      </c>
      <c r="N88" s="1">
        <v>403</v>
      </c>
      <c r="O88" s="1">
        <v>342300</v>
      </c>
      <c r="P88" s="1">
        <v>140300</v>
      </c>
    </row>
    <row r="89" spans="1:16" ht="18" customHeight="1" x14ac:dyDescent="0.25">
      <c r="A89" s="3" t="s">
        <v>1268</v>
      </c>
      <c r="B89" s="4" t="s">
        <v>22</v>
      </c>
      <c r="C89" s="2" t="s">
        <v>647</v>
      </c>
      <c r="D89" s="6" t="s">
        <v>648</v>
      </c>
      <c r="E89" s="4" t="s">
        <v>512</v>
      </c>
      <c r="F89" s="4" t="s">
        <v>11</v>
      </c>
      <c r="H89" s="4">
        <f t="shared" si="2"/>
        <v>1</v>
      </c>
      <c r="I89" s="4">
        <v>1</v>
      </c>
      <c r="J89" s="4">
        <v>1</v>
      </c>
      <c r="K89" s="6" t="s">
        <v>649</v>
      </c>
      <c r="L89" s="1" t="s">
        <v>119</v>
      </c>
      <c r="M89" s="1">
        <v>4531</v>
      </c>
      <c r="N89" s="1">
        <v>3907</v>
      </c>
      <c r="O89" s="1">
        <v>345310</v>
      </c>
      <c r="P89" s="1">
        <v>139070</v>
      </c>
    </row>
    <row r="90" spans="1:16" ht="18" customHeight="1" x14ac:dyDescent="0.25">
      <c r="A90" s="3" t="s">
        <v>1268</v>
      </c>
      <c r="B90" s="4" t="s">
        <v>446</v>
      </c>
      <c r="C90" s="2" t="s">
        <v>658</v>
      </c>
      <c r="D90" s="6" t="s">
        <v>1278</v>
      </c>
      <c r="E90" s="4" t="s">
        <v>659</v>
      </c>
      <c r="F90" s="4" t="s">
        <v>11</v>
      </c>
      <c r="G90" s="4">
        <v>1</v>
      </c>
      <c r="H90" s="4">
        <f t="shared" si="2"/>
        <v>1</v>
      </c>
      <c r="J90" s="4">
        <v>1</v>
      </c>
      <c r="K90" s="6" t="s">
        <v>657</v>
      </c>
      <c r="L90" s="1" t="s">
        <v>445</v>
      </c>
      <c r="M90" s="1">
        <v>79</v>
      </c>
      <c r="N90" s="1">
        <v>245</v>
      </c>
      <c r="O90" s="1">
        <v>407900</v>
      </c>
      <c r="P90" s="1">
        <v>324500</v>
      </c>
    </row>
    <row r="91" spans="1:16" ht="21" customHeight="1" x14ac:dyDescent="0.25">
      <c r="A91" s="3" t="s">
        <v>1268</v>
      </c>
      <c r="B91" s="4" t="s">
        <v>446</v>
      </c>
      <c r="C91" s="2" t="s">
        <v>447</v>
      </c>
      <c r="D91" s="6" t="s">
        <v>41</v>
      </c>
      <c r="E91" s="4" t="s">
        <v>448</v>
      </c>
      <c r="F91" s="4" t="s">
        <v>11</v>
      </c>
      <c r="H91" s="4">
        <f t="shared" si="2"/>
        <v>1</v>
      </c>
      <c r="I91" s="4">
        <v>1</v>
      </c>
      <c r="J91" s="4">
        <v>1</v>
      </c>
      <c r="K91" s="6" t="s">
        <v>414</v>
      </c>
      <c r="L91" s="1" t="s">
        <v>445</v>
      </c>
      <c r="M91" s="1">
        <v>122</v>
      </c>
      <c r="N91" s="1">
        <v>539</v>
      </c>
      <c r="O91" s="1">
        <v>412200</v>
      </c>
      <c r="P91" s="1">
        <v>353900</v>
      </c>
    </row>
    <row r="92" spans="1:16" ht="21" customHeight="1" x14ac:dyDescent="0.25">
      <c r="A92" s="3" t="s">
        <v>1268</v>
      </c>
      <c r="B92" s="4" t="s">
        <v>609</v>
      </c>
      <c r="C92" s="2" t="s">
        <v>610</v>
      </c>
      <c r="D92" s="6" t="s">
        <v>39</v>
      </c>
      <c r="E92" s="4" t="s">
        <v>611</v>
      </c>
      <c r="F92" s="4" t="s">
        <v>11</v>
      </c>
      <c r="H92" s="4">
        <f t="shared" si="2"/>
        <v>1</v>
      </c>
      <c r="I92" s="4">
        <v>1</v>
      </c>
      <c r="J92" s="4">
        <v>1</v>
      </c>
      <c r="K92" s="6" t="s">
        <v>590</v>
      </c>
      <c r="L92" s="1" t="s">
        <v>177</v>
      </c>
      <c r="M92" s="1">
        <v>78</v>
      </c>
      <c r="N92" s="1">
        <v>68</v>
      </c>
      <c r="O92" s="1">
        <v>578000</v>
      </c>
      <c r="P92" s="1">
        <v>268000</v>
      </c>
    </row>
    <row r="93" spans="1:16" ht="18.75" customHeight="1" x14ac:dyDescent="0.25">
      <c r="A93" s="3" t="s">
        <v>1268</v>
      </c>
      <c r="B93" s="4" t="s">
        <v>93</v>
      </c>
      <c r="C93" s="2" t="s">
        <v>353</v>
      </c>
      <c r="D93" s="6" t="s">
        <v>125</v>
      </c>
      <c r="E93" s="4" t="s">
        <v>103</v>
      </c>
      <c r="F93" s="4" t="s">
        <v>11</v>
      </c>
      <c r="H93" s="4">
        <f t="shared" si="2"/>
        <v>1</v>
      </c>
      <c r="I93" s="4">
        <v>1</v>
      </c>
      <c r="J93" s="4">
        <v>1</v>
      </c>
      <c r="K93" s="6" t="s">
        <v>349</v>
      </c>
      <c r="L93" s="1" t="s">
        <v>108</v>
      </c>
      <c r="M93" s="1">
        <v>5097</v>
      </c>
      <c r="N93" s="1">
        <v>358</v>
      </c>
      <c r="O93" s="1">
        <v>550970</v>
      </c>
      <c r="P93" s="1">
        <v>103580</v>
      </c>
    </row>
    <row r="94" spans="1:16" ht="21" customHeight="1" x14ac:dyDescent="0.25">
      <c r="A94" s="3" t="s">
        <v>1268</v>
      </c>
      <c r="B94" s="4" t="s">
        <v>93</v>
      </c>
      <c r="C94" s="2" t="s">
        <v>94</v>
      </c>
      <c r="D94" s="6" t="s">
        <v>92</v>
      </c>
      <c r="E94" s="4" t="s">
        <v>112</v>
      </c>
      <c r="F94" s="4" t="s">
        <v>11</v>
      </c>
      <c r="H94" s="4">
        <f t="shared" si="2"/>
        <v>1</v>
      </c>
      <c r="I94" s="4">
        <v>1</v>
      </c>
      <c r="J94" s="4">
        <v>1</v>
      </c>
      <c r="K94" s="6" t="s">
        <v>87</v>
      </c>
      <c r="L94" s="1" t="s">
        <v>108</v>
      </c>
      <c r="M94" s="1">
        <v>21</v>
      </c>
      <c r="N94" s="1">
        <v>1204</v>
      </c>
      <c r="O94" s="1">
        <v>500210</v>
      </c>
      <c r="P94" s="1">
        <v>112040</v>
      </c>
    </row>
    <row r="95" spans="1:16" ht="21" customHeight="1" x14ac:dyDescent="0.25">
      <c r="A95" s="3" t="s">
        <v>1268</v>
      </c>
      <c r="B95" s="4" t="s">
        <v>93</v>
      </c>
      <c r="C95" s="2" t="s">
        <v>159</v>
      </c>
      <c r="D95" s="6" t="s">
        <v>158</v>
      </c>
      <c r="E95" s="4" t="s">
        <v>112</v>
      </c>
      <c r="F95" s="4" t="s">
        <v>11</v>
      </c>
      <c r="H95" s="4">
        <f t="shared" si="2"/>
        <v>1</v>
      </c>
      <c r="I95" s="4">
        <v>1</v>
      </c>
      <c r="J95" s="4">
        <v>1</v>
      </c>
      <c r="K95" s="6" t="s">
        <v>154</v>
      </c>
      <c r="L95" s="1" t="s">
        <v>108</v>
      </c>
      <c r="M95" s="1">
        <v>1142</v>
      </c>
      <c r="N95" s="1">
        <v>828</v>
      </c>
      <c r="O95" s="1">
        <v>511420</v>
      </c>
      <c r="P95" s="1">
        <v>108280</v>
      </c>
    </row>
    <row r="96" spans="1:16" ht="21" customHeight="1" x14ac:dyDescent="0.25">
      <c r="A96" s="3" t="s">
        <v>1268</v>
      </c>
      <c r="B96" s="4" t="s">
        <v>93</v>
      </c>
      <c r="C96" s="2" t="s">
        <v>157</v>
      </c>
      <c r="D96" s="6" t="s">
        <v>158</v>
      </c>
      <c r="E96" s="4" t="s">
        <v>112</v>
      </c>
      <c r="F96" s="4" t="s">
        <v>11</v>
      </c>
      <c r="H96" s="4">
        <f t="shared" si="2"/>
        <v>1</v>
      </c>
      <c r="I96" s="4">
        <v>1</v>
      </c>
      <c r="J96" s="4">
        <v>1</v>
      </c>
      <c r="K96" s="6" t="s">
        <v>154</v>
      </c>
      <c r="L96" s="1" t="s">
        <v>108</v>
      </c>
      <c r="M96" s="1">
        <v>1360</v>
      </c>
      <c r="N96" s="1">
        <v>788</v>
      </c>
      <c r="O96" s="1">
        <v>513600</v>
      </c>
      <c r="P96" s="1">
        <v>107880</v>
      </c>
    </row>
    <row r="97" spans="1:16" ht="21" customHeight="1" x14ac:dyDescent="0.25">
      <c r="A97" s="3" t="s">
        <v>1268</v>
      </c>
      <c r="B97" s="4" t="s">
        <v>93</v>
      </c>
      <c r="C97" s="2" t="s">
        <v>203</v>
      </c>
      <c r="D97" s="6" t="s">
        <v>92</v>
      </c>
      <c r="E97" s="4" t="s">
        <v>103</v>
      </c>
      <c r="F97" s="4" t="s">
        <v>11</v>
      </c>
      <c r="H97" s="4">
        <f t="shared" si="2"/>
        <v>1</v>
      </c>
      <c r="I97" s="4">
        <v>1</v>
      </c>
      <c r="J97" s="4">
        <v>1</v>
      </c>
      <c r="K97" s="6" t="s">
        <v>204</v>
      </c>
      <c r="L97" s="1" t="s">
        <v>108</v>
      </c>
      <c r="M97" s="1">
        <v>5750</v>
      </c>
      <c r="N97" s="1">
        <v>222</v>
      </c>
      <c r="O97" s="1">
        <v>557500</v>
      </c>
      <c r="P97" s="1">
        <v>102220</v>
      </c>
    </row>
    <row r="98" spans="1:16" ht="21" customHeight="1" x14ac:dyDescent="0.25">
      <c r="A98" s="3" t="s">
        <v>1268</v>
      </c>
      <c r="B98" s="4" t="s">
        <v>93</v>
      </c>
      <c r="C98" s="2" t="s">
        <v>495</v>
      </c>
      <c r="D98" s="6" t="s">
        <v>496</v>
      </c>
      <c r="E98" s="4" t="s">
        <v>112</v>
      </c>
      <c r="F98" s="4" t="s">
        <v>11</v>
      </c>
      <c r="H98" s="4">
        <f t="shared" ref="H98:H128" si="3">SUM(G98,I98)</f>
        <v>1</v>
      </c>
      <c r="I98" s="4">
        <v>1</v>
      </c>
      <c r="J98" s="4">
        <v>1</v>
      </c>
      <c r="K98" s="6" t="s">
        <v>494</v>
      </c>
      <c r="L98" s="1" t="s">
        <v>108</v>
      </c>
      <c r="M98" s="1">
        <v>25973</v>
      </c>
      <c r="N98" s="1">
        <v>11088</v>
      </c>
      <c r="O98" s="1">
        <v>525973</v>
      </c>
      <c r="P98" s="1">
        <v>111088</v>
      </c>
    </row>
    <row r="99" spans="1:16" ht="21" customHeight="1" x14ac:dyDescent="0.25">
      <c r="A99" s="3" t="s">
        <v>1268</v>
      </c>
      <c r="B99" s="4" t="s">
        <v>93</v>
      </c>
      <c r="C99" s="2" t="s">
        <v>557</v>
      </c>
      <c r="D99" s="6" t="s">
        <v>90</v>
      </c>
      <c r="E99" s="4" t="s">
        <v>93</v>
      </c>
      <c r="F99" s="4" t="s">
        <v>11</v>
      </c>
      <c r="H99" s="4">
        <f t="shared" si="3"/>
        <v>1</v>
      </c>
      <c r="I99" s="4">
        <v>1</v>
      </c>
      <c r="J99" s="4">
        <v>1</v>
      </c>
      <c r="K99" s="6" t="s">
        <v>546</v>
      </c>
      <c r="L99" s="1" t="s">
        <v>108</v>
      </c>
      <c r="M99" s="1">
        <v>29069</v>
      </c>
      <c r="N99" s="1">
        <v>4753</v>
      </c>
      <c r="O99" s="1">
        <v>529069</v>
      </c>
      <c r="P99" s="1">
        <v>104753</v>
      </c>
    </row>
    <row r="100" spans="1:16" ht="21" customHeight="1" x14ac:dyDescent="0.25">
      <c r="A100" s="3" t="s">
        <v>1268</v>
      </c>
      <c r="B100" s="4" t="s">
        <v>93</v>
      </c>
      <c r="C100" s="2" t="s">
        <v>95</v>
      </c>
      <c r="D100" s="6" t="s">
        <v>92</v>
      </c>
      <c r="E100" s="4" t="s">
        <v>103</v>
      </c>
      <c r="F100" s="4" t="s">
        <v>11</v>
      </c>
      <c r="H100" s="4">
        <f t="shared" si="3"/>
        <v>1</v>
      </c>
      <c r="I100" s="4">
        <v>1</v>
      </c>
      <c r="J100" s="4">
        <v>1</v>
      </c>
      <c r="K100" s="6" t="s">
        <v>87</v>
      </c>
      <c r="L100" s="1" t="s">
        <v>108</v>
      </c>
      <c r="M100" s="1">
        <v>3990</v>
      </c>
      <c r="N100" s="1">
        <v>1177</v>
      </c>
      <c r="O100" s="1">
        <v>539900</v>
      </c>
      <c r="P100" s="1">
        <v>111770</v>
      </c>
    </row>
    <row r="101" spans="1:16" ht="21" customHeight="1" x14ac:dyDescent="0.25">
      <c r="A101" s="3" t="s">
        <v>1268</v>
      </c>
      <c r="B101" s="4" t="s">
        <v>93</v>
      </c>
      <c r="C101" s="2" t="s">
        <v>613</v>
      </c>
      <c r="D101" s="6" t="s">
        <v>616</v>
      </c>
      <c r="E101" s="4" t="s">
        <v>103</v>
      </c>
      <c r="F101" s="4" t="s">
        <v>11</v>
      </c>
      <c r="G101" s="4">
        <v>1</v>
      </c>
      <c r="H101" s="4">
        <f t="shared" si="3"/>
        <v>1</v>
      </c>
      <c r="J101" s="4">
        <v>1</v>
      </c>
      <c r="K101" s="6" t="s">
        <v>614</v>
      </c>
      <c r="L101" s="1" t="s">
        <v>108</v>
      </c>
      <c r="M101" s="1">
        <v>925</v>
      </c>
      <c r="N101" s="1">
        <v>226</v>
      </c>
      <c r="O101" s="1">
        <v>592500</v>
      </c>
      <c r="P101" s="1">
        <v>122600</v>
      </c>
    </row>
    <row r="102" spans="1:16" ht="18" customHeight="1" x14ac:dyDescent="0.25">
      <c r="A102" s="3" t="s">
        <v>1268</v>
      </c>
      <c r="B102" s="4" t="s">
        <v>93</v>
      </c>
      <c r="C102" s="2" t="s">
        <v>199</v>
      </c>
      <c r="D102" s="6" t="s">
        <v>92</v>
      </c>
      <c r="E102" s="4" t="s">
        <v>112</v>
      </c>
      <c r="F102" s="4" t="s">
        <v>11</v>
      </c>
      <c r="H102" s="4">
        <f t="shared" si="3"/>
        <v>1</v>
      </c>
      <c r="I102" s="4">
        <v>1</v>
      </c>
      <c r="J102" s="4">
        <v>1</v>
      </c>
      <c r="K102" s="6" t="s">
        <v>200</v>
      </c>
      <c r="L102" s="1" t="s">
        <v>110</v>
      </c>
      <c r="M102" s="1">
        <v>877</v>
      </c>
      <c r="N102" s="1">
        <v>110</v>
      </c>
      <c r="O102" s="1">
        <v>487700</v>
      </c>
      <c r="P102" s="1">
        <v>111000</v>
      </c>
    </row>
    <row r="103" spans="1:16" ht="19.5" customHeight="1" x14ac:dyDescent="0.25">
      <c r="A103" s="3" t="s">
        <v>1268</v>
      </c>
      <c r="B103" s="4" t="s">
        <v>93</v>
      </c>
      <c r="C103" s="2" t="s">
        <v>202</v>
      </c>
      <c r="D103" s="6" t="s">
        <v>92</v>
      </c>
      <c r="E103" s="6" t="s">
        <v>205</v>
      </c>
      <c r="F103" s="4" t="s">
        <v>11</v>
      </c>
      <c r="H103" s="4">
        <f t="shared" si="3"/>
        <v>1</v>
      </c>
      <c r="I103" s="4">
        <v>1</v>
      </c>
      <c r="J103" s="4">
        <v>1</v>
      </c>
      <c r="K103" s="6" t="s">
        <v>204</v>
      </c>
      <c r="L103" s="1" t="s">
        <v>108</v>
      </c>
      <c r="M103" s="1">
        <v>3303</v>
      </c>
      <c r="N103" s="1">
        <v>477</v>
      </c>
      <c r="O103" s="1">
        <v>533030</v>
      </c>
      <c r="P103" s="1">
        <v>104770</v>
      </c>
    </row>
    <row r="104" spans="1:16" ht="34.5" customHeight="1" x14ac:dyDescent="0.25">
      <c r="A104" s="3" t="s">
        <v>1268</v>
      </c>
      <c r="B104" s="4" t="s">
        <v>50</v>
      </c>
      <c r="C104" s="2" t="s">
        <v>390</v>
      </c>
      <c r="D104" s="6" t="s">
        <v>18</v>
      </c>
      <c r="E104" s="6" t="s">
        <v>391</v>
      </c>
      <c r="F104" s="4" t="s">
        <v>11</v>
      </c>
      <c r="H104" s="4">
        <f t="shared" si="3"/>
        <v>2</v>
      </c>
      <c r="I104" s="4">
        <v>2</v>
      </c>
      <c r="J104" s="4">
        <v>2</v>
      </c>
      <c r="K104" s="6" t="s">
        <v>481</v>
      </c>
      <c r="L104" s="1" t="s">
        <v>111</v>
      </c>
      <c r="M104" s="1">
        <v>28313</v>
      </c>
      <c r="N104" s="1">
        <v>62000</v>
      </c>
      <c r="O104" s="1">
        <v>428313</v>
      </c>
      <c r="P104" s="1">
        <v>262000</v>
      </c>
    </row>
    <row r="105" spans="1:16" ht="21" customHeight="1" x14ac:dyDescent="0.25">
      <c r="A105" s="3" t="s">
        <v>1268</v>
      </c>
      <c r="B105" s="4" t="s">
        <v>24</v>
      </c>
      <c r="C105" s="2" t="s">
        <v>67</v>
      </c>
      <c r="E105" s="4" t="s">
        <v>21</v>
      </c>
      <c r="F105" s="4" t="s">
        <v>11</v>
      </c>
      <c r="G105" s="4">
        <v>2</v>
      </c>
      <c r="H105" s="4">
        <f t="shared" si="3"/>
        <v>2</v>
      </c>
      <c r="J105" s="4">
        <v>2</v>
      </c>
      <c r="K105" s="6" t="s">
        <v>346</v>
      </c>
      <c r="L105" s="1" t="s">
        <v>110</v>
      </c>
      <c r="M105" s="1">
        <v>14732</v>
      </c>
      <c r="N105" s="1">
        <v>67790</v>
      </c>
      <c r="O105" s="1">
        <v>414732</v>
      </c>
      <c r="P105" s="1">
        <v>167790</v>
      </c>
    </row>
    <row r="106" spans="1:16" ht="21" customHeight="1" x14ac:dyDescent="0.25">
      <c r="A106" s="3" t="s">
        <v>1268</v>
      </c>
      <c r="B106" s="4" t="s">
        <v>24</v>
      </c>
      <c r="C106" s="2" t="s">
        <v>589</v>
      </c>
      <c r="D106" s="6" t="s">
        <v>540</v>
      </c>
      <c r="E106" s="4" t="s">
        <v>21</v>
      </c>
      <c r="F106" s="4" t="s">
        <v>11</v>
      </c>
      <c r="G106" s="4">
        <v>1</v>
      </c>
      <c r="H106" s="4">
        <f t="shared" si="3"/>
        <v>1</v>
      </c>
      <c r="J106" s="4">
        <v>1</v>
      </c>
      <c r="K106" s="6" t="s">
        <v>590</v>
      </c>
      <c r="L106" s="1" t="s">
        <v>110</v>
      </c>
      <c r="M106" s="1">
        <v>175</v>
      </c>
      <c r="N106" s="1">
        <v>423</v>
      </c>
      <c r="O106" s="1">
        <v>417500</v>
      </c>
      <c r="P106" s="1">
        <v>142300</v>
      </c>
    </row>
    <row r="107" spans="1:16" ht="21" customHeight="1" x14ac:dyDescent="0.25">
      <c r="A107" s="3" t="s">
        <v>1268</v>
      </c>
      <c r="B107" s="4" t="s">
        <v>24</v>
      </c>
      <c r="C107" s="2" t="s">
        <v>23</v>
      </c>
      <c r="D107" s="6" t="s">
        <v>124</v>
      </c>
      <c r="E107" s="4" t="s">
        <v>21</v>
      </c>
      <c r="F107" s="4" t="s">
        <v>11</v>
      </c>
      <c r="G107" s="4">
        <v>6</v>
      </c>
      <c r="H107" s="4">
        <f t="shared" si="3"/>
        <v>16</v>
      </c>
      <c r="I107" s="4">
        <v>10</v>
      </c>
      <c r="J107" s="4">
        <v>12</v>
      </c>
      <c r="K107" s="6" t="s">
        <v>591</v>
      </c>
      <c r="L107" s="1" t="s">
        <v>110</v>
      </c>
      <c r="M107" s="1">
        <v>1026</v>
      </c>
      <c r="N107" s="1">
        <v>6996</v>
      </c>
      <c r="O107" s="1">
        <v>410260</v>
      </c>
      <c r="P107" s="1">
        <v>169960</v>
      </c>
    </row>
    <row r="108" spans="1:16" ht="21" customHeight="1" x14ac:dyDescent="0.25">
      <c r="A108" s="3" t="s">
        <v>1268</v>
      </c>
      <c r="B108" s="4" t="s">
        <v>24</v>
      </c>
      <c r="C108" s="2" t="s">
        <v>146</v>
      </c>
      <c r="D108" s="6" t="s">
        <v>26</v>
      </c>
      <c r="E108" s="4" t="s">
        <v>21</v>
      </c>
      <c r="F108" s="4" t="s">
        <v>11</v>
      </c>
      <c r="H108" s="4">
        <f t="shared" si="3"/>
        <v>2</v>
      </c>
      <c r="I108" s="4">
        <v>2</v>
      </c>
      <c r="J108" s="4">
        <v>2</v>
      </c>
      <c r="K108" s="6" t="s">
        <v>267</v>
      </c>
      <c r="L108" s="1" t="s">
        <v>110</v>
      </c>
      <c r="M108" s="1">
        <v>66</v>
      </c>
      <c r="N108" s="1">
        <v>677</v>
      </c>
      <c r="O108" s="1">
        <v>406600</v>
      </c>
      <c r="P108" s="1">
        <v>167700</v>
      </c>
    </row>
    <row r="109" spans="1:16" ht="21" customHeight="1" x14ac:dyDescent="0.25">
      <c r="A109" s="3" t="s">
        <v>1268</v>
      </c>
      <c r="B109" s="4" t="s">
        <v>24</v>
      </c>
      <c r="C109" s="2" t="s">
        <v>545</v>
      </c>
      <c r="D109" s="6" t="s">
        <v>90</v>
      </c>
      <c r="E109" s="4" t="s">
        <v>550</v>
      </c>
      <c r="F109" s="4" t="s">
        <v>11</v>
      </c>
      <c r="H109" s="4">
        <f t="shared" si="3"/>
        <v>2</v>
      </c>
      <c r="I109" s="4">
        <v>2</v>
      </c>
      <c r="J109" s="4">
        <v>1</v>
      </c>
      <c r="K109" s="6" t="s">
        <v>546</v>
      </c>
      <c r="L109" s="1" t="s">
        <v>145</v>
      </c>
      <c r="M109" s="1">
        <v>7995</v>
      </c>
      <c r="N109" s="1">
        <v>8199</v>
      </c>
      <c r="O109" s="1">
        <v>379950</v>
      </c>
      <c r="P109" s="1">
        <v>81990</v>
      </c>
    </row>
    <row r="110" spans="1:16" ht="21" customHeight="1" x14ac:dyDescent="0.25">
      <c r="A110" s="3" t="s">
        <v>1268</v>
      </c>
      <c r="B110" s="4" t="s">
        <v>24</v>
      </c>
      <c r="C110" s="2" t="s">
        <v>15</v>
      </c>
      <c r="D110" s="6" t="s">
        <v>18</v>
      </c>
      <c r="E110" s="4" t="s">
        <v>21</v>
      </c>
      <c r="F110" s="4" t="s">
        <v>11</v>
      </c>
      <c r="G110" s="4">
        <v>1</v>
      </c>
      <c r="H110" s="4">
        <f t="shared" si="3"/>
        <v>10</v>
      </c>
      <c r="I110" s="4">
        <v>9</v>
      </c>
      <c r="J110" s="4">
        <v>5</v>
      </c>
      <c r="K110" s="6" t="s">
        <v>585</v>
      </c>
      <c r="L110" s="1" t="s">
        <v>110</v>
      </c>
      <c r="M110" s="1">
        <v>1501</v>
      </c>
      <c r="N110" s="1">
        <v>4375</v>
      </c>
      <c r="O110" s="1">
        <v>415010</v>
      </c>
      <c r="P110" s="1">
        <v>143750</v>
      </c>
    </row>
    <row r="111" spans="1:16" ht="21" customHeight="1" x14ac:dyDescent="0.25">
      <c r="A111" s="3" t="s">
        <v>1268</v>
      </c>
      <c r="B111" s="4" t="s">
        <v>24</v>
      </c>
      <c r="C111" s="2" t="s">
        <v>89</v>
      </c>
      <c r="D111" s="6" t="s">
        <v>90</v>
      </c>
      <c r="E111" s="4" t="s">
        <v>21</v>
      </c>
      <c r="F111" s="4" t="s">
        <v>11</v>
      </c>
      <c r="H111" s="4">
        <f t="shared" si="3"/>
        <v>2</v>
      </c>
      <c r="I111" s="4">
        <v>2</v>
      </c>
      <c r="J111" s="4">
        <v>2</v>
      </c>
      <c r="K111" s="6" t="s">
        <v>505</v>
      </c>
      <c r="L111" s="1" t="s">
        <v>110</v>
      </c>
      <c r="M111" s="1">
        <v>685</v>
      </c>
      <c r="N111" s="1">
        <v>6733</v>
      </c>
      <c r="O111" s="1">
        <v>406850</v>
      </c>
      <c r="P111" s="1">
        <v>167330</v>
      </c>
    </row>
    <row r="112" spans="1:16" ht="21" customHeight="1" x14ac:dyDescent="0.25">
      <c r="A112" s="3" t="s">
        <v>1268</v>
      </c>
      <c r="B112" s="4" t="s">
        <v>24</v>
      </c>
      <c r="C112" s="2" t="s">
        <v>268</v>
      </c>
      <c r="D112" s="6" t="s">
        <v>26</v>
      </c>
      <c r="E112" s="4" t="s">
        <v>21</v>
      </c>
      <c r="F112" s="4" t="s">
        <v>11</v>
      </c>
      <c r="H112" s="4">
        <f t="shared" si="3"/>
        <v>1</v>
      </c>
      <c r="I112" s="4">
        <v>1</v>
      </c>
      <c r="J112" s="4">
        <v>1</v>
      </c>
      <c r="K112" s="6" t="s">
        <v>264</v>
      </c>
      <c r="L112" s="1" t="s">
        <v>110</v>
      </c>
      <c r="M112" s="1">
        <v>86</v>
      </c>
      <c r="N112" s="1">
        <v>705</v>
      </c>
      <c r="O112" s="1">
        <v>408600</v>
      </c>
      <c r="P112" s="1">
        <v>170500</v>
      </c>
    </row>
    <row r="113" spans="1:16" ht="21" customHeight="1" x14ac:dyDescent="0.25">
      <c r="A113" s="3" t="s">
        <v>1268</v>
      </c>
      <c r="B113" s="4" t="s">
        <v>24</v>
      </c>
      <c r="C113" s="2" t="s">
        <v>88</v>
      </c>
      <c r="D113" s="6" t="s">
        <v>19</v>
      </c>
      <c r="E113" s="4" t="s">
        <v>21</v>
      </c>
      <c r="F113" s="4" t="s">
        <v>11</v>
      </c>
      <c r="H113" s="4">
        <f t="shared" si="3"/>
        <v>1</v>
      </c>
      <c r="I113" s="4">
        <v>1</v>
      </c>
      <c r="J113" s="4">
        <v>1</v>
      </c>
      <c r="K113" s="6" t="s">
        <v>87</v>
      </c>
      <c r="L113" s="1" t="s">
        <v>110</v>
      </c>
      <c r="M113" s="1">
        <v>1210</v>
      </c>
      <c r="N113" s="1">
        <v>6365</v>
      </c>
      <c r="O113" s="1">
        <v>412100</v>
      </c>
      <c r="P113" s="1">
        <v>163650</v>
      </c>
    </row>
    <row r="114" spans="1:16" ht="21" customHeight="1" x14ac:dyDescent="0.25">
      <c r="A114" s="3" t="s">
        <v>1268</v>
      </c>
      <c r="B114" s="4" t="s">
        <v>24</v>
      </c>
      <c r="C114" s="2" t="s">
        <v>341</v>
      </c>
      <c r="D114" s="6" t="s">
        <v>26</v>
      </c>
      <c r="E114" s="4" t="s">
        <v>21</v>
      </c>
      <c r="F114" s="4" t="s">
        <v>11</v>
      </c>
      <c r="H114" s="4">
        <f t="shared" si="3"/>
        <v>1</v>
      </c>
      <c r="I114" s="4">
        <v>1</v>
      </c>
      <c r="J114" s="4">
        <v>1</v>
      </c>
      <c r="K114" s="6" t="s">
        <v>338</v>
      </c>
      <c r="L114" s="1" t="s">
        <v>119</v>
      </c>
      <c r="M114" s="1">
        <v>8773</v>
      </c>
      <c r="N114" s="1">
        <v>7472</v>
      </c>
      <c r="O114" s="1">
        <v>387730</v>
      </c>
      <c r="P114" s="1">
        <v>174720</v>
      </c>
    </row>
    <row r="115" spans="1:16" ht="21" customHeight="1" x14ac:dyDescent="0.25">
      <c r="A115" s="3" t="s">
        <v>1268</v>
      </c>
      <c r="B115" s="4" t="s">
        <v>24</v>
      </c>
      <c r="C115" s="2" t="s">
        <v>342</v>
      </c>
      <c r="D115" s="6" t="s">
        <v>26</v>
      </c>
      <c r="E115" s="4" t="s">
        <v>21</v>
      </c>
      <c r="F115" s="4" t="s">
        <v>11</v>
      </c>
      <c r="H115" s="4">
        <f t="shared" si="3"/>
        <v>1</v>
      </c>
      <c r="I115" s="4">
        <v>1</v>
      </c>
      <c r="J115" s="4">
        <v>1</v>
      </c>
      <c r="K115" s="6" t="s">
        <v>338</v>
      </c>
      <c r="L115" s="1" t="s">
        <v>119</v>
      </c>
      <c r="M115" s="1">
        <v>8305</v>
      </c>
      <c r="N115" s="1">
        <v>7855</v>
      </c>
      <c r="O115" s="1">
        <v>383050</v>
      </c>
      <c r="P115" s="1">
        <v>178550</v>
      </c>
    </row>
    <row r="116" spans="1:16" ht="21" customHeight="1" x14ac:dyDescent="0.25">
      <c r="A116" s="3" t="s">
        <v>1268</v>
      </c>
      <c r="B116" s="4" t="s">
        <v>24</v>
      </c>
      <c r="C116" s="2" t="s">
        <v>403</v>
      </c>
      <c r="D116" s="6" t="s">
        <v>18</v>
      </c>
      <c r="E116" s="4" t="s">
        <v>21</v>
      </c>
      <c r="F116" s="4" t="s">
        <v>11</v>
      </c>
      <c r="H116" s="4">
        <f t="shared" si="3"/>
        <v>5</v>
      </c>
      <c r="I116" s="4">
        <v>5</v>
      </c>
      <c r="J116" s="4">
        <v>3</v>
      </c>
      <c r="K116" s="6" t="s">
        <v>506</v>
      </c>
      <c r="L116" s="1" t="s">
        <v>110</v>
      </c>
      <c r="M116" s="1">
        <v>908</v>
      </c>
      <c r="N116" s="1">
        <v>5820</v>
      </c>
      <c r="O116" s="1">
        <v>409080</v>
      </c>
      <c r="P116" s="1">
        <v>158200</v>
      </c>
    </row>
    <row r="117" spans="1:16" ht="21" customHeight="1" x14ac:dyDescent="0.25">
      <c r="A117" s="3" t="s">
        <v>1268</v>
      </c>
      <c r="B117" s="4" t="s">
        <v>24</v>
      </c>
      <c r="C117" s="2" t="s">
        <v>171</v>
      </c>
      <c r="D117" s="6" t="s">
        <v>172</v>
      </c>
      <c r="E117" s="4" t="s">
        <v>21</v>
      </c>
      <c r="F117" s="4" t="s">
        <v>11</v>
      </c>
      <c r="G117" s="4">
        <v>1</v>
      </c>
      <c r="H117" s="4">
        <f t="shared" si="3"/>
        <v>1</v>
      </c>
      <c r="J117" s="4">
        <v>1</v>
      </c>
      <c r="K117" s="6" t="s">
        <v>173</v>
      </c>
      <c r="L117" s="1" t="s">
        <v>110</v>
      </c>
      <c r="M117" s="1">
        <v>125</v>
      </c>
      <c r="N117" s="1">
        <v>708</v>
      </c>
      <c r="O117" s="1">
        <v>412500</v>
      </c>
      <c r="P117" s="1">
        <v>170800</v>
      </c>
    </row>
    <row r="118" spans="1:16" ht="21" customHeight="1" x14ac:dyDescent="0.25">
      <c r="A118" s="3" t="s">
        <v>1268</v>
      </c>
      <c r="B118" s="4" t="s">
        <v>24</v>
      </c>
      <c r="C118" s="2" t="s">
        <v>16</v>
      </c>
      <c r="D118" s="6" t="s">
        <v>19</v>
      </c>
      <c r="E118" s="4" t="s">
        <v>21</v>
      </c>
      <c r="F118" s="4" t="s">
        <v>11</v>
      </c>
      <c r="H118" s="4">
        <f t="shared" si="3"/>
        <v>2</v>
      </c>
      <c r="I118" s="4">
        <v>2</v>
      </c>
      <c r="J118" s="4">
        <v>2</v>
      </c>
      <c r="K118" s="6" t="s">
        <v>201</v>
      </c>
      <c r="L118" s="1" t="s">
        <v>110</v>
      </c>
      <c r="M118" s="1">
        <v>1022</v>
      </c>
      <c r="N118" s="1">
        <v>4594</v>
      </c>
      <c r="O118" s="1">
        <v>410220</v>
      </c>
      <c r="P118" s="1">
        <v>145940</v>
      </c>
    </row>
    <row r="119" spans="1:16" ht="21" customHeight="1" x14ac:dyDescent="0.25">
      <c r="A119" s="3" t="s">
        <v>1268</v>
      </c>
      <c r="B119" s="4" t="s">
        <v>24</v>
      </c>
      <c r="C119" s="2" t="s">
        <v>493</v>
      </c>
      <c r="D119" s="6" t="s">
        <v>90</v>
      </c>
      <c r="E119" s="4" t="s">
        <v>21</v>
      </c>
      <c r="F119" s="4" t="s">
        <v>11</v>
      </c>
      <c r="H119" s="4">
        <f t="shared" si="3"/>
        <v>1</v>
      </c>
      <c r="I119" s="4">
        <v>1</v>
      </c>
      <c r="J119" s="4">
        <v>1</v>
      </c>
      <c r="K119" s="6" t="s">
        <v>494</v>
      </c>
      <c r="L119" s="1" t="s">
        <v>110</v>
      </c>
      <c r="M119" s="1">
        <v>1830</v>
      </c>
      <c r="N119" s="1">
        <v>64410</v>
      </c>
      <c r="O119" s="1">
        <v>301830</v>
      </c>
      <c r="P119" s="1">
        <v>164410</v>
      </c>
    </row>
    <row r="120" spans="1:16" ht="21" customHeight="1" x14ac:dyDescent="0.25">
      <c r="A120" s="3" t="s">
        <v>1268</v>
      </c>
      <c r="B120" s="4" t="s">
        <v>24</v>
      </c>
      <c r="C120" s="2" t="s">
        <v>122</v>
      </c>
      <c r="D120" s="6" t="s">
        <v>123</v>
      </c>
      <c r="E120" s="4" t="s">
        <v>21</v>
      </c>
      <c r="F120" s="4" t="s">
        <v>11</v>
      </c>
      <c r="H120" s="4">
        <f t="shared" si="3"/>
        <v>1</v>
      </c>
      <c r="I120" s="4">
        <v>1</v>
      </c>
      <c r="J120" s="4">
        <v>1</v>
      </c>
      <c r="K120" s="6" t="s">
        <v>513</v>
      </c>
      <c r="L120" s="1" t="s">
        <v>110</v>
      </c>
      <c r="M120" s="1">
        <v>1184</v>
      </c>
      <c r="N120" s="1">
        <v>6802</v>
      </c>
      <c r="O120" s="1">
        <v>411840</v>
      </c>
      <c r="P120" s="1">
        <v>168020</v>
      </c>
    </row>
    <row r="121" spans="1:16" ht="21" customHeight="1" x14ac:dyDescent="0.25">
      <c r="A121" s="3" t="s">
        <v>1268</v>
      </c>
      <c r="B121" s="4" t="s">
        <v>24</v>
      </c>
      <c r="C121" s="2" t="s">
        <v>27</v>
      </c>
      <c r="D121" s="6" t="s">
        <v>125</v>
      </c>
      <c r="E121" s="4" t="s">
        <v>21</v>
      </c>
      <c r="F121" s="4" t="s">
        <v>11</v>
      </c>
      <c r="G121" s="4">
        <v>2</v>
      </c>
      <c r="H121" s="4">
        <f t="shared" si="3"/>
        <v>3</v>
      </c>
      <c r="I121" s="4">
        <v>1</v>
      </c>
      <c r="J121" s="4">
        <v>3</v>
      </c>
      <c r="K121" s="6" t="s">
        <v>583</v>
      </c>
      <c r="L121" s="1" t="s">
        <v>110</v>
      </c>
      <c r="M121" s="1">
        <v>1001</v>
      </c>
      <c r="N121" s="1">
        <v>6853</v>
      </c>
      <c r="O121" s="1">
        <v>410010</v>
      </c>
      <c r="P121" s="1">
        <v>168530</v>
      </c>
    </row>
    <row r="122" spans="1:16" ht="21" customHeight="1" x14ac:dyDescent="0.25">
      <c r="A122" s="3" t="s">
        <v>1268</v>
      </c>
      <c r="B122" s="4" t="s">
        <v>24</v>
      </c>
      <c r="C122" s="2" t="s">
        <v>612</v>
      </c>
      <c r="D122" s="6" t="s">
        <v>540</v>
      </c>
      <c r="E122" s="4" t="s">
        <v>21</v>
      </c>
      <c r="F122" s="4" t="s">
        <v>11</v>
      </c>
      <c r="H122" s="4">
        <f t="shared" si="3"/>
        <v>1</v>
      </c>
      <c r="I122" s="4">
        <v>1</v>
      </c>
      <c r="J122" s="4">
        <v>1</v>
      </c>
      <c r="K122" s="6" t="s">
        <v>590</v>
      </c>
      <c r="L122" s="1" t="s">
        <v>110</v>
      </c>
      <c r="M122" s="1">
        <v>217</v>
      </c>
      <c r="N122" s="1">
        <v>520</v>
      </c>
      <c r="O122" s="1">
        <v>421700</v>
      </c>
      <c r="P122" s="1">
        <v>152000</v>
      </c>
    </row>
    <row r="123" spans="1:16" ht="21" customHeight="1" x14ac:dyDescent="0.25">
      <c r="A123" s="3" t="s">
        <v>1268</v>
      </c>
      <c r="B123" s="4" t="s">
        <v>24</v>
      </c>
      <c r="C123" s="2" t="s">
        <v>60</v>
      </c>
      <c r="D123" s="6" t="s">
        <v>26</v>
      </c>
      <c r="E123" s="4" t="s">
        <v>21</v>
      </c>
      <c r="F123" s="4" t="s">
        <v>11</v>
      </c>
      <c r="G123" s="4">
        <v>1</v>
      </c>
      <c r="H123" s="4">
        <f t="shared" si="3"/>
        <v>6</v>
      </c>
      <c r="I123" s="4">
        <v>5</v>
      </c>
      <c r="J123" s="4">
        <v>5</v>
      </c>
      <c r="K123" s="6" t="s">
        <v>592</v>
      </c>
      <c r="L123" s="1" t="s">
        <v>110</v>
      </c>
      <c r="M123" s="1">
        <v>900</v>
      </c>
      <c r="N123" s="1">
        <v>6927</v>
      </c>
      <c r="O123" s="1">
        <v>409000</v>
      </c>
      <c r="P123" s="1">
        <v>169270</v>
      </c>
    </row>
    <row r="124" spans="1:16" ht="21" customHeight="1" x14ac:dyDescent="0.25">
      <c r="A124" s="3" t="s">
        <v>1268</v>
      </c>
      <c r="B124" s="4" t="s">
        <v>24</v>
      </c>
      <c r="C124" s="2" t="s">
        <v>13</v>
      </c>
      <c r="D124" s="6" t="s">
        <v>511</v>
      </c>
      <c r="E124" s="4" t="s">
        <v>21</v>
      </c>
      <c r="F124" s="4" t="s">
        <v>11</v>
      </c>
      <c r="G124" s="4">
        <v>3</v>
      </c>
      <c r="H124" s="4">
        <f t="shared" si="3"/>
        <v>14</v>
      </c>
      <c r="I124" s="4">
        <v>11</v>
      </c>
      <c r="J124" s="4">
        <v>8</v>
      </c>
      <c r="K124" s="6" t="s">
        <v>584</v>
      </c>
      <c r="L124" s="1" t="s">
        <v>110</v>
      </c>
      <c r="M124" s="1">
        <v>1224</v>
      </c>
      <c r="N124" s="1">
        <v>4128</v>
      </c>
      <c r="O124" s="1">
        <v>412240</v>
      </c>
      <c r="P124" s="1">
        <v>141280</v>
      </c>
    </row>
    <row r="125" spans="1:16" ht="21" customHeight="1" x14ac:dyDescent="0.25">
      <c r="A125" s="3" t="s">
        <v>1268</v>
      </c>
      <c r="B125" s="4" t="s">
        <v>24</v>
      </c>
      <c r="C125" s="2" t="s">
        <v>25</v>
      </c>
      <c r="D125" s="6" t="s">
        <v>26</v>
      </c>
      <c r="E125" s="4" t="s">
        <v>21</v>
      </c>
      <c r="F125" s="4" t="s">
        <v>11</v>
      </c>
      <c r="G125" s="4">
        <v>2</v>
      </c>
      <c r="H125" s="4">
        <f t="shared" si="3"/>
        <v>7</v>
      </c>
      <c r="I125" s="4">
        <v>5</v>
      </c>
      <c r="J125" s="4">
        <v>6</v>
      </c>
      <c r="K125" s="6" t="s">
        <v>348</v>
      </c>
      <c r="L125" s="1" t="s">
        <v>110</v>
      </c>
      <c r="M125" s="1">
        <v>1046</v>
      </c>
      <c r="N125" s="1">
        <v>6774</v>
      </c>
      <c r="O125" s="1">
        <v>410460</v>
      </c>
      <c r="P125" s="1">
        <v>167740</v>
      </c>
    </row>
    <row r="126" spans="1:16" ht="21" customHeight="1" x14ac:dyDescent="0.25">
      <c r="A126" s="3" t="s">
        <v>1268</v>
      </c>
      <c r="B126" s="4" t="s">
        <v>24</v>
      </c>
      <c r="C126" s="19" t="s">
        <v>1277</v>
      </c>
      <c r="D126" s="6" t="s">
        <v>90</v>
      </c>
      <c r="E126" s="4" t="s">
        <v>21</v>
      </c>
      <c r="F126" s="4" t="s">
        <v>11</v>
      </c>
      <c r="H126" s="4">
        <f t="shared" si="3"/>
        <v>3</v>
      </c>
      <c r="I126" s="4">
        <v>3</v>
      </c>
      <c r="J126" s="4">
        <v>2</v>
      </c>
      <c r="K126" s="6" t="s">
        <v>503</v>
      </c>
      <c r="L126" s="1" t="s">
        <v>110</v>
      </c>
      <c r="M126" s="1">
        <v>1196</v>
      </c>
      <c r="N126" s="1">
        <v>6835</v>
      </c>
      <c r="O126" s="1">
        <v>411960</v>
      </c>
      <c r="P126" s="1">
        <v>168350</v>
      </c>
    </row>
    <row r="127" spans="1:16" ht="21" customHeight="1" x14ac:dyDescent="0.25">
      <c r="A127" s="3" t="s">
        <v>1268</v>
      </c>
      <c r="B127" s="4" t="s">
        <v>24</v>
      </c>
      <c r="C127" s="2" t="s">
        <v>549</v>
      </c>
      <c r="D127" s="6" t="s">
        <v>540</v>
      </c>
      <c r="E127" s="4" t="s">
        <v>21</v>
      </c>
      <c r="F127" s="4" t="s">
        <v>11</v>
      </c>
      <c r="H127" s="4">
        <f t="shared" si="3"/>
        <v>3</v>
      </c>
      <c r="I127" s="4">
        <v>3</v>
      </c>
      <c r="J127" s="4">
        <v>1</v>
      </c>
      <c r="K127" s="6" t="s">
        <v>546</v>
      </c>
      <c r="L127" s="1" t="s">
        <v>110</v>
      </c>
      <c r="M127" s="1">
        <v>1192</v>
      </c>
      <c r="N127" s="1">
        <v>3979</v>
      </c>
      <c r="O127" s="1">
        <v>411920</v>
      </c>
      <c r="P127" s="1">
        <v>139790</v>
      </c>
    </row>
    <row r="128" spans="1:16" ht="21" customHeight="1" x14ac:dyDescent="0.25">
      <c r="A128" s="3" t="s">
        <v>1268</v>
      </c>
      <c r="B128" s="4" t="s">
        <v>24</v>
      </c>
      <c r="C128" s="2" t="s">
        <v>28</v>
      </c>
      <c r="D128" s="6" t="s">
        <v>19</v>
      </c>
      <c r="E128" s="4" t="s">
        <v>21</v>
      </c>
      <c r="F128" s="4" t="s">
        <v>11</v>
      </c>
      <c r="H128" s="4">
        <f t="shared" si="3"/>
        <v>9</v>
      </c>
      <c r="I128" s="4">
        <v>9</v>
      </c>
      <c r="J128" s="4">
        <v>8</v>
      </c>
      <c r="K128" s="6" t="s">
        <v>377</v>
      </c>
      <c r="L128" s="1" t="s">
        <v>110</v>
      </c>
      <c r="M128" s="1">
        <v>8711</v>
      </c>
      <c r="N128" s="1">
        <v>71462</v>
      </c>
      <c r="O128" s="1">
        <v>487110</v>
      </c>
      <c r="P128" s="1">
        <v>171462</v>
      </c>
    </row>
    <row r="129" spans="1:16" ht="21" customHeight="1" x14ac:dyDescent="0.25">
      <c r="A129" s="3" t="s">
        <v>1268</v>
      </c>
      <c r="B129" s="4" t="s">
        <v>24</v>
      </c>
      <c r="C129" s="2" t="s">
        <v>497</v>
      </c>
      <c r="D129" s="6" t="s">
        <v>90</v>
      </c>
      <c r="E129" s="4" t="s">
        <v>21</v>
      </c>
      <c r="F129" s="4" t="s">
        <v>11</v>
      </c>
      <c r="H129" s="4">
        <f t="shared" ref="H129:H141" si="4">SUM(G129,I129)</f>
        <v>1</v>
      </c>
      <c r="I129" s="4">
        <v>1</v>
      </c>
      <c r="J129" s="4">
        <v>1</v>
      </c>
      <c r="K129" s="6" t="s">
        <v>494</v>
      </c>
      <c r="L129" s="1" t="s">
        <v>110</v>
      </c>
      <c r="M129" s="1">
        <v>99</v>
      </c>
      <c r="N129" s="1">
        <v>417</v>
      </c>
      <c r="O129" s="1">
        <v>409900</v>
      </c>
      <c r="P129" s="1">
        <v>141700</v>
      </c>
    </row>
    <row r="130" spans="1:16" ht="21" customHeight="1" x14ac:dyDescent="0.25">
      <c r="A130" s="3" t="s">
        <v>1268</v>
      </c>
      <c r="B130" s="4" t="s">
        <v>24</v>
      </c>
      <c r="C130" s="2" t="s">
        <v>14</v>
      </c>
      <c r="D130" s="6" t="s">
        <v>17</v>
      </c>
      <c r="E130" s="4" t="s">
        <v>21</v>
      </c>
      <c r="F130" s="4" t="s">
        <v>11</v>
      </c>
      <c r="G130" s="4">
        <v>2</v>
      </c>
      <c r="H130" s="4">
        <f t="shared" si="4"/>
        <v>4</v>
      </c>
      <c r="I130" s="4">
        <v>2</v>
      </c>
      <c r="J130" s="4">
        <v>4</v>
      </c>
      <c r="K130" s="6" t="s">
        <v>530</v>
      </c>
      <c r="L130" s="1" t="s">
        <v>110</v>
      </c>
      <c r="M130" s="1">
        <v>1506</v>
      </c>
      <c r="N130" s="1">
        <v>4337</v>
      </c>
      <c r="O130" s="1">
        <v>415060</v>
      </c>
      <c r="P130" s="1">
        <v>143370</v>
      </c>
    </row>
    <row r="131" spans="1:16" ht="21" customHeight="1" x14ac:dyDescent="0.25">
      <c r="A131" s="3" t="s">
        <v>1268</v>
      </c>
      <c r="B131" s="4" t="s">
        <v>139</v>
      </c>
      <c r="C131" s="2" t="s">
        <v>556</v>
      </c>
      <c r="D131" s="6" t="s">
        <v>90</v>
      </c>
      <c r="E131" s="4" t="s">
        <v>134</v>
      </c>
      <c r="F131" s="4" t="s">
        <v>11</v>
      </c>
      <c r="H131" s="4">
        <f t="shared" si="4"/>
        <v>1</v>
      </c>
      <c r="I131" s="4">
        <v>1</v>
      </c>
      <c r="J131" s="4">
        <v>1</v>
      </c>
      <c r="K131" s="6" t="s">
        <v>546</v>
      </c>
      <c r="L131" s="1" t="s">
        <v>137</v>
      </c>
      <c r="M131" s="1">
        <v>12</v>
      </c>
      <c r="N131" s="1">
        <v>565</v>
      </c>
      <c r="O131" s="1">
        <v>501200</v>
      </c>
      <c r="P131" s="1">
        <v>456500</v>
      </c>
    </row>
    <row r="132" spans="1:16" ht="21" customHeight="1" x14ac:dyDescent="0.25">
      <c r="A132" s="3" t="s">
        <v>1268</v>
      </c>
      <c r="B132" s="4" t="s">
        <v>139</v>
      </c>
      <c r="C132" s="2" t="s">
        <v>135</v>
      </c>
      <c r="D132" s="6" t="s">
        <v>26</v>
      </c>
      <c r="E132" s="4" t="s">
        <v>134</v>
      </c>
      <c r="F132" s="4" t="s">
        <v>11</v>
      </c>
      <c r="H132" s="4">
        <f t="shared" si="4"/>
        <v>1</v>
      </c>
      <c r="I132" s="4">
        <v>1</v>
      </c>
      <c r="J132" s="4">
        <v>1</v>
      </c>
      <c r="K132" s="6" t="s">
        <v>136</v>
      </c>
      <c r="L132" s="1" t="s">
        <v>137</v>
      </c>
      <c r="M132" s="1">
        <v>560</v>
      </c>
      <c r="N132" s="1">
        <v>6732</v>
      </c>
      <c r="O132" s="1">
        <v>505600</v>
      </c>
      <c r="P132" s="1">
        <v>467320</v>
      </c>
    </row>
    <row r="133" spans="1:16" ht="21" customHeight="1" x14ac:dyDescent="0.25">
      <c r="A133" s="3" t="s">
        <v>1268</v>
      </c>
      <c r="B133" s="4" t="s">
        <v>139</v>
      </c>
      <c r="C133" s="2" t="s">
        <v>607</v>
      </c>
      <c r="D133" s="6" t="s">
        <v>39</v>
      </c>
      <c r="E133" s="4" t="s">
        <v>134</v>
      </c>
      <c r="F133" s="4" t="s">
        <v>11</v>
      </c>
      <c r="H133" s="4">
        <f t="shared" si="4"/>
        <v>1</v>
      </c>
      <c r="I133" s="4">
        <v>1</v>
      </c>
      <c r="J133" s="4">
        <v>1</v>
      </c>
      <c r="K133" s="6" t="s">
        <v>590</v>
      </c>
      <c r="L133" s="1" t="s">
        <v>137</v>
      </c>
      <c r="M133" s="1">
        <v>122</v>
      </c>
      <c r="N133" s="1">
        <v>675</v>
      </c>
      <c r="O133" s="1">
        <v>512200</v>
      </c>
      <c r="P133" s="1">
        <v>467500</v>
      </c>
    </row>
    <row r="134" spans="1:16" ht="21" customHeight="1" x14ac:dyDescent="0.25">
      <c r="A134" s="3" t="s">
        <v>1268</v>
      </c>
      <c r="B134" s="4" t="s">
        <v>139</v>
      </c>
      <c r="C134" s="2" t="s">
        <v>608</v>
      </c>
      <c r="D134" s="6" t="s">
        <v>39</v>
      </c>
      <c r="E134" s="4" t="s">
        <v>134</v>
      </c>
      <c r="F134" s="4" t="s">
        <v>11</v>
      </c>
      <c r="H134" s="4">
        <f t="shared" si="4"/>
        <v>1</v>
      </c>
      <c r="I134" s="4">
        <v>1</v>
      </c>
      <c r="J134" s="4">
        <v>1</v>
      </c>
      <c r="K134" s="6" t="s">
        <v>590</v>
      </c>
      <c r="L134" s="1" t="s">
        <v>137</v>
      </c>
      <c r="M134" s="1">
        <v>144</v>
      </c>
      <c r="N134" s="1">
        <v>654</v>
      </c>
      <c r="O134" s="1">
        <v>514400</v>
      </c>
      <c r="P134" s="1">
        <v>465400</v>
      </c>
    </row>
    <row r="135" spans="1:16" ht="21" customHeight="1" x14ac:dyDescent="0.25">
      <c r="A135" s="3" t="s">
        <v>1268</v>
      </c>
      <c r="B135" s="4" t="s">
        <v>139</v>
      </c>
      <c r="C135" s="2" t="s">
        <v>454</v>
      </c>
      <c r="D135" s="6" t="s">
        <v>20</v>
      </c>
      <c r="E135" s="4" t="s">
        <v>455</v>
      </c>
      <c r="F135" s="4" t="s">
        <v>11</v>
      </c>
      <c r="H135" s="4">
        <f t="shared" si="4"/>
        <v>1</v>
      </c>
      <c r="I135" s="4">
        <v>1</v>
      </c>
      <c r="J135" s="4">
        <v>1</v>
      </c>
      <c r="K135" s="6" t="s">
        <v>414</v>
      </c>
      <c r="L135" s="1" t="s">
        <v>137</v>
      </c>
      <c r="M135" s="1">
        <v>99</v>
      </c>
      <c r="N135" s="1">
        <v>657</v>
      </c>
      <c r="O135" s="1">
        <v>509900</v>
      </c>
      <c r="P135" s="1">
        <v>465700</v>
      </c>
    </row>
    <row r="136" spans="1:16" ht="21" customHeight="1" x14ac:dyDescent="0.25">
      <c r="A136" s="3" t="s">
        <v>1268</v>
      </c>
      <c r="B136" s="4" t="s">
        <v>269</v>
      </c>
      <c r="C136" s="2" t="s">
        <v>439</v>
      </c>
      <c r="D136" s="6" t="s">
        <v>440</v>
      </c>
      <c r="E136" s="4" t="s">
        <v>437</v>
      </c>
      <c r="F136" s="4" t="s">
        <v>11</v>
      </c>
      <c r="H136" s="4">
        <f t="shared" si="4"/>
        <v>3</v>
      </c>
      <c r="I136" s="4">
        <v>3</v>
      </c>
      <c r="J136" s="4">
        <v>3</v>
      </c>
      <c r="K136" s="6" t="s">
        <v>472</v>
      </c>
      <c r="L136" s="1" t="s">
        <v>271</v>
      </c>
      <c r="M136" s="1">
        <v>8804</v>
      </c>
      <c r="N136" s="1">
        <v>6688</v>
      </c>
      <c r="O136" s="1">
        <v>488040</v>
      </c>
      <c r="P136" s="1">
        <v>466880</v>
      </c>
    </row>
    <row r="137" spans="1:16" ht="21" customHeight="1" x14ac:dyDescent="0.25">
      <c r="A137" s="3" t="s">
        <v>1268</v>
      </c>
      <c r="B137" s="4" t="s">
        <v>269</v>
      </c>
      <c r="C137" s="2" t="s">
        <v>270</v>
      </c>
      <c r="E137" s="4" t="s">
        <v>272</v>
      </c>
      <c r="F137" s="4" t="s">
        <v>11</v>
      </c>
      <c r="H137" s="4">
        <f t="shared" si="4"/>
        <v>1</v>
      </c>
      <c r="I137" s="4">
        <v>1</v>
      </c>
      <c r="J137" s="4">
        <v>1</v>
      </c>
      <c r="K137" s="6" t="s">
        <v>264</v>
      </c>
      <c r="L137" s="1" t="s">
        <v>271</v>
      </c>
      <c r="M137" s="1">
        <v>9382</v>
      </c>
      <c r="N137" s="1">
        <v>7523</v>
      </c>
      <c r="O137" s="1">
        <v>493820</v>
      </c>
      <c r="P137" s="1">
        <v>475230</v>
      </c>
    </row>
    <row r="138" spans="1:16" ht="21" customHeight="1" x14ac:dyDescent="0.25">
      <c r="A138" s="3" t="s">
        <v>1268</v>
      </c>
      <c r="B138" s="4" t="s">
        <v>269</v>
      </c>
      <c r="C138" s="2" t="s">
        <v>449</v>
      </c>
      <c r="D138" s="6" t="s">
        <v>440</v>
      </c>
      <c r="E138" s="4" t="s">
        <v>450</v>
      </c>
      <c r="F138" s="4" t="s">
        <v>11</v>
      </c>
      <c r="H138" s="4">
        <f t="shared" si="4"/>
        <v>1</v>
      </c>
      <c r="I138" s="4">
        <v>1</v>
      </c>
      <c r="J138" s="4">
        <v>1</v>
      </c>
      <c r="K138" s="6" t="s">
        <v>414</v>
      </c>
      <c r="L138" s="1" t="s">
        <v>218</v>
      </c>
      <c r="M138" s="1">
        <v>234</v>
      </c>
      <c r="N138" s="1">
        <v>10</v>
      </c>
      <c r="O138" s="1">
        <v>423400</v>
      </c>
      <c r="P138" s="1">
        <v>501000</v>
      </c>
    </row>
    <row r="139" spans="1:16" ht="21" customHeight="1" x14ac:dyDescent="0.25">
      <c r="A139" s="3" t="s">
        <v>1268</v>
      </c>
      <c r="B139" s="4" t="s">
        <v>269</v>
      </c>
      <c r="C139" s="2" t="s">
        <v>277</v>
      </c>
      <c r="D139" s="6" t="s">
        <v>280</v>
      </c>
      <c r="E139" s="4" t="s">
        <v>272</v>
      </c>
      <c r="F139" s="4" t="s">
        <v>11</v>
      </c>
      <c r="H139" s="4">
        <f t="shared" si="4"/>
        <v>1</v>
      </c>
      <c r="I139" s="4">
        <v>1</v>
      </c>
      <c r="J139" s="4">
        <v>1</v>
      </c>
      <c r="K139" s="6" t="s">
        <v>279</v>
      </c>
      <c r="L139" s="1" t="s">
        <v>137</v>
      </c>
      <c r="M139" s="1">
        <v>103</v>
      </c>
      <c r="N139" s="1">
        <v>8753</v>
      </c>
      <c r="O139" s="1">
        <v>501030</v>
      </c>
      <c r="P139" s="1">
        <v>487530</v>
      </c>
    </row>
    <row r="140" spans="1:16" ht="21" customHeight="1" x14ac:dyDescent="0.25">
      <c r="A140" s="3" t="s">
        <v>1268</v>
      </c>
      <c r="B140" s="4" t="s">
        <v>269</v>
      </c>
      <c r="C140" s="2" t="s">
        <v>404</v>
      </c>
      <c r="D140" s="6" t="s">
        <v>18</v>
      </c>
      <c r="E140" s="4" t="s">
        <v>405</v>
      </c>
      <c r="F140" s="4" t="s">
        <v>11</v>
      </c>
      <c r="H140" s="4">
        <f t="shared" si="4"/>
        <v>1</v>
      </c>
      <c r="I140" s="4">
        <v>1</v>
      </c>
      <c r="J140" s="4">
        <v>1</v>
      </c>
      <c r="K140" s="6" t="s">
        <v>396</v>
      </c>
      <c r="L140" s="1" t="s">
        <v>271</v>
      </c>
      <c r="M140" s="1">
        <v>2854</v>
      </c>
      <c r="N140" s="1">
        <v>7946</v>
      </c>
      <c r="O140" s="1">
        <v>428540</v>
      </c>
      <c r="P140" s="1">
        <v>479460</v>
      </c>
    </row>
    <row r="141" spans="1:16" ht="21" customHeight="1" x14ac:dyDescent="0.25">
      <c r="A141" s="3" t="s">
        <v>1268</v>
      </c>
      <c r="B141" s="4" t="s">
        <v>269</v>
      </c>
      <c r="C141" s="2" t="s">
        <v>436</v>
      </c>
      <c r="D141" s="6" t="s">
        <v>438</v>
      </c>
      <c r="E141" s="4" t="s">
        <v>437</v>
      </c>
      <c r="F141" s="4" t="s">
        <v>11</v>
      </c>
      <c r="H141" s="4">
        <f t="shared" si="4"/>
        <v>1</v>
      </c>
      <c r="I141" s="4">
        <v>1</v>
      </c>
      <c r="J141" s="4">
        <v>1</v>
      </c>
      <c r="K141" s="6" t="s">
        <v>414</v>
      </c>
      <c r="L141" s="1" t="s">
        <v>271</v>
      </c>
      <c r="M141" s="1">
        <v>7825</v>
      </c>
      <c r="N141" s="1">
        <v>6824</v>
      </c>
      <c r="O141" s="1">
        <v>478250</v>
      </c>
      <c r="P141" s="1">
        <v>468240</v>
      </c>
    </row>
    <row r="142" spans="1:16" ht="21" customHeight="1" x14ac:dyDescent="0.25">
      <c r="A142" s="3" t="s">
        <v>1268</v>
      </c>
      <c r="B142" s="4" t="s">
        <v>231</v>
      </c>
      <c r="C142" s="2" t="s">
        <v>129</v>
      </c>
      <c r="D142" s="6" t="s">
        <v>39</v>
      </c>
      <c r="E142" s="4" t="s">
        <v>232</v>
      </c>
      <c r="F142" s="4" t="s">
        <v>35</v>
      </c>
      <c r="H142" s="4">
        <f t="shared" ref="H142:H169" si="5">SUM(G142,I142)</f>
        <v>1</v>
      </c>
      <c r="I142" s="4">
        <v>1</v>
      </c>
      <c r="J142" s="4">
        <v>1</v>
      </c>
      <c r="K142" s="6" t="s">
        <v>128</v>
      </c>
      <c r="L142" s="1" t="s">
        <v>130</v>
      </c>
      <c r="M142" s="1">
        <v>7335</v>
      </c>
      <c r="N142" s="1">
        <v>9590</v>
      </c>
      <c r="O142" s="1">
        <v>373350</v>
      </c>
      <c r="P142" s="1">
        <v>795900</v>
      </c>
    </row>
    <row r="143" spans="1:16" ht="21" customHeight="1" x14ac:dyDescent="0.25">
      <c r="A143" s="3" t="s">
        <v>1268</v>
      </c>
      <c r="B143" s="4" t="s">
        <v>231</v>
      </c>
      <c r="C143" s="2" t="s">
        <v>230</v>
      </c>
      <c r="D143" s="6" t="s">
        <v>39</v>
      </c>
      <c r="E143" s="4" t="s">
        <v>232</v>
      </c>
      <c r="F143" s="4" t="s">
        <v>35</v>
      </c>
      <c r="H143" s="4">
        <f t="shared" si="5"/>
        <v>2</v>
      </c>
      <c r="I143" s="4">
        <v>2</v>
      </c>
      <c r="J143" s="4">
        <v>1</v>
      </c>
      <c r="K143" s="6" t="s">
        <v>224</v>
      </c>
      <c r="L143" s="1" t="s">
        <v>130</v>
      </c>
      <c r="M143" s="1">
        <v>6276</v>
      </c>
      <c r="N143" s="1">
        <v>6737</v>
      </c>
      <c r="O143" s="1">
        <v>362760</v>
      </c>
      <c r="P143" s="1">
        <v>767370</v>
      </c>
    </row>
    <row r="144" spans="1:16" ht="21" customHeight="1" x14ac:dyDescent="0.25">
      <c r="A144" s="3" t="s">
        <v>1268</v>
      </c>
      <c r="B144" s="4" t="s">
        <v>231</v>
      </c>
      <c r="C144" s="2" t="s">
        <v>461</v>
      </c>
      <c r="D144" s="6" t="s">
        <v>8</v>
      </c>
      <c r="E144" s="4" t="s">
        <v>86</v>
      </c>
      <c r="F144" s="4" t="s">
        <v>35</v>
      </c>
      <c r="H144" s="4">
        <f t="shared" si="5"/>
        <v>1</v>
      </c>
      <c r="I144" s="4">
        <v>1</v>
      </c>
      <c r="J144" s="4">
        <v>1</v>
      </c>
      <c r="K144" s="6" t="s">
        <v>459</v>
      </c>
      <c r="L144" s="1" t="s">
        <v>115</v>
      </c>
      <c r="M144" s="1">
        <v>7477</v>
      </c>
      <c r="N144" s="1">
        <v>2885</v>
      </c>
      <c r="O144" s="1">
        <v>374770</v>
      </c>
      <c r="P144" s="1">
        <v>828850</v>
      </c>
    </row>
    <row r="145" spans="1:16" ht="21" customHeight="1" x14ac:dyDescent="0.25">
      <c r="A145" s="3" t="s">
        <v>1268</v>
      </c>
      <c r="B145" s="4" t="s">
        <v>394</v>
      </c>
      <c r="C145" s="2" t="s">
        <v>395</v>
      </c>
      <c r="D145" s="6" t="s">
        <v>401</v>
      </c>
      <c r="E145" s="4" t="s">
        <v>397</v>
      </c>
      <c r="F145" s="4" t="s">
        <v>35</v>
      </c>
      <c r="H145" s="4">
        <f t="shared" si="5"/>
        <v>2</v>
      </c>
      <c r="I145" s="4">
        <v>2</v>
      </c>
      <c r="J145" s="4">
        <v>2</v>
      </c>
      <c r="K145" s="6" t="s">
        <v>410</v>
      </c>
      <c r="L145" s="1" t="s">
        <v>398</v>
      </c>
      <c r="M145" s="1">
        <v>2057</v>
      </c>
      <c r="N145" s="1">
        <v>4029</v>
      </c>
      <c r="O145" s="1">
        <v>320570</v>
      </c>
      <c r="P145" s="1">
        <v>640290</v>
      </c>
    </row>
    <row r="146" spans="1:16" ht="21" customHeight="1" x14ac:dyDescent="0.25">
      <c r="A146" s="3" t="s">
        <v>1268</v>
      </c>
      <c r="B146" s="4" t="s">
        <v>238</v>
      </c>
      <c r="C146" s="2" t="s">
        <v>239</v>
      </c>
      <c r="D146" s="6" t="s">
        <v>26</v>
      </c>
      <c r="E146" s="4" t="s">
        <v>236</v>
      </c>
      <c r="F146" s="4" t="s">
        <v>35</v>
      </c>
      <c r="H146" s="4">
        <f t="shared" si="5"/>
        <v>1</v>
      </c>
      <c r="I146" s="4">
        <v>1</v>
      </c>
      <c r="J146" s="4">
        <v>1</v>
      </c>
      <c r="K146" s="6" t="s">
        <v>240</v>
      </c>
      <c r="L146" s="1" t="s">
        <v>133</v>
      </c>
      <c r="M146" s="1">
        <v>2601</v>
      </c>
      <c r="N146" s="1">
        <v>4420</v>
      </c>
      <c r="O146" s="1">
        <v>326010</v>
      </c>
      <c r="P146" s="1">
        <v>944200</v>
      </c>
    </row>
    <row r="147" spans="1:16" ht="21" customHeight="1" x14ac:dyDescent="0.25">
      <c r="A147" s="3" t="s">
        <v>1268</v>
      </c>
      <c r="B147" s="4" t="s">
        <v>238</v>
      </c>
      <c r="C147" s="2" t="s">
        <v>237</v>
      </c>
      <c r="D147" s="6" t="s">
        <v>26</v>
      </c>
      <c r="E147" s="4" t="s">
        <v>236</v>
      </c>
      <c r="F147" s="4" t="s">
        <v>35</v>
      </c>
      <c r="H147" s="4">
        <f t="shared" si="5"/>
        <v>1</v>
      </c>
      <c r="I147" s="4">
        <v>1</v>
      </c>
      <c r="J147" s="4">
        <v>1</v>
      </c>
      <c r="K147" s="6" t="s">
        <v>224</v>
      </c>
      <c r="L147" s="1" t="s">
        <v>133</v>
      </c>
      <c r="M147" s="1">
        <v>1240</v>
      </c>
      <c r="N147" s="1">
        <v>65325</v>
      </c>
      <c r="O147" s="1">
        <v>301240</v>
      </c>
      <c r="P147" s="1">
        <v>965325</v>
      </c>
    </row>
    <row r="148" spans="1:16" ht="21" customHeight="1" x14ac:dyDescent="0.25">
      <c r="A148" s="3" t="s">
        <v>1268</v>
      </c>
      <c r="B148" s="4" t="s">
        <v>238</v>
      </c>
      <c r="C148" s="2" t="s">
        <v>247</v>
      </c>
      <c r="D148" s="6" t="s">
        <v>41</v>
      </c>
      <c r="E148" s="4" t="s">
        <v>236</v>
      </c>
      <c r="F148" s="4" t="s">
        <v>35</v>
      </c>
      <c r="H148" s="4">
        <f t="shared" si="5"/>
        <v>1</v>
      </c>
      <c r="I148" s="4">
        <v>1</v>
      </c>
      <c r="J148" s="4">
        <v>1</v>
      </c>
      <c r="K148" s="6" t="s">
        <v>243</v>
      </c>
      <c r="L148" s="1" t="s">
        <v>133</v>
      </c>
      <c r="M148" s="1">
        <v>682</v>
      </c>
      <c r="N148" s="1">
        <v>6188</v>
      </c>
      <c r="O148" s="1">
        <v>306820</v>
      </c>
      <c r="P148" s="1">
        <v>961880</v>
      </c>
    </row>
    <row r="149" spans="1:16" ht="21" customHeight="1" x14ac:dyDescent="0.25">
      <c r="A149" s="3" t="s">
        <v>1268</v>
      </c>
      <c r="B149" s="6" t="s">
        <v>226</v>
      </c>
      <c r="C149" s="2" t="s">
        <v>235</v>
      </c>
      <c r="D149" s="6" t="s">
        <v>26</v>
      </c>
      <c r="E149" s="6" t="s">
        <v>228</v>
      </c>
      <c r="F149" s="4" t="s">
        <v>35</v>
      </c>
      <c r="H149" s="4">
        <f t="shared" si="5"/>
        <v>1</v>
      </c>
      <c r="I149" s="4">
        <v>1</v>
      </c>
      <c r="J149" s="4">
        <v>1</v>
      </c>
      <c r="K149" s="6" t="s">
        <v>224</v>
      </c>
      <c r="L149" s="1" t="s">
        <v>229</v>
      </c>
      <c r="M149" s="1">
        <v>51820</v>
      </c>
      <c r="N149" s="1">
        <v>54045</v>
      </c>
      <c r="O149" s="1">
        <v>251820</v>
      </c>
      <c r="P149" s="1">
        <v>554045</v>
      </c>
    </row>
    <row r="150" spans="1:16" ht="21" customHeight="1" x14ac:dyDescent="0.25">
      <c r="A150" s="3" t="s">
        <v>1268</v>
      </c>
      <c r="B150" s="6" t="s">
        <v>226</v>
      </c>
      <c r="C150" s="2" t="s">
        <v>963</v>
      </c>
      <c r="D150" s="6" t="s">
        <v>26</v>
      </c>
      <c r="E150" s="6" t="s">
        <v>228</v>
      </c>
      <c r="F150" s="4" t="s">
        <v>35</v>
      </c>
      <c r="H150" s="4">
        <f t="shared" si="5"/>
        <v>1</v>
      </c>
      <c r="I150" s="4">
        <v>1</v>
      </c>
      <c r="J150" s="4">
        <v>1</v>
      </c>
      <c r="K150" s="6" t="s">
        <v>224</v>
      </c>
      <c r="L150" s="1" t="s">
        <v>229</v>
      </c>
      <c r="M150" s="1">
        <v>9688</v>
      </c>
      <c r="N150" s="1">
        <v>6507</v>
      </c>
      <c r="O150" s="1">
        <v>296880</v>
      </c>
      <c r="P150" s="1">
        <v>565070</v>
      </c>
    </row>
    <row r="151" spans="1:16" ht="21" customHeight="1" x14ac:dyDescent="0.25">
      <c r="A151" s="3" t="s">
        <v>1268</v>
      </c>
      <c r="B151" s="6" t="s">
        <v>226</v>
      </c>
      <c r="C151" s="2" t="s">
        <v>227</v>
      </c>
      <c r="D151" s="6" t="s">
        <v>41</v>
      </c>
      <c r="E151" s="6" t="s">
        <v>228</v>
      </c>
      <c r="F151" s="4" t="s">
        <v>35</v>
      </c>
      <c r="H151" s="4">
        <f t="shared" si="5"/>
        <v>3</v>
      </c>
      <c r="I151" s="4">
        <v>3</v>
      </c>
      <c r="J151" s="4">
        <v>2</v>
      </c>
      <c r="K151" s="6" t="s">
        <v>241</v>
      </c>
      <c r="L151" s="1" t="s">
        <v>229</v>
      </c>
      <c r="M151" s="1">
        <v>1867</v>
      </c>
      <c r="N151" s="1">
        <v>6100</v>
      </c>
      <c r="O151" s="1">
        <v>218670</v>
      </c>
      <c r="P151" s="1">
        <v>561000</v>
      </c>
    </row>
    <row r="152" spans="1:16" ht="21" customHeight="1" x14ac:dyDescent="0.25">
      <c r="A152" s="3" t="s">
        <v>1268</v>
      </c>
      <c r="B152" s="6" t="s">
        <v>226</v>
      </c>
      <c r="C152" s="2" t="s">
        <v>248</v>
      </c>
      <c r="D152" s="6" t="s">
        <v>41</v>
      </c>
      <c r="E152" s="6" t="s">
        <v>228</v>
      </c>
      <c r="F152" s="4" t="s">
        <v>35</v>
      </c>
      <c r="H152" s="4">
        <f t="shared" si="5"/>
        <v>1</v>
      </c>
      <c r="I152" s="4">
        <v>1</v>
      </c>
      <c r="J152" s="4">
        <v>1</v>
      </c>
      <c r="K152" s="6" t="s">
        <v>243</v>
      </c>
      <c r="L152" s="1" t="s">
        <v>229</v>
      </c>
      <c r="M152" s="1">
        <v>1877</v>
      </c>
      <c r="N152" s="1">
        <v>6093</v>
      </c>
      <c r="O152" s="1">
        <v>218770</v>
      </c>
      <c r="P152" s="1">
        <v>560930</v>
      </c>
    </row>
    <row r="153" spans="1:16" ht="21" customHeight="1" x14ac:dyDescent="0.25">
      <c r="A153" s="3" t="s">
        <v>1268</v>
      </c>
      <c r="B153" s="6" t="s">
        <v>407</v>
      </c>
      <c r="C153" s="2" t="s">
        <v>487</v>
      </c>
      <c r="D153" s="6" t="s">
        <v>90</v>
      </c>
      <c r="E153" s="6" t="s">
        <v>408</v>
      </c>
      <c r="F153" s="4" t="s">
        <v>35</v>
      </c>
      <c r="H153" s="4">
        <f t="shared" si="5"/>
        <v>2</v>
      </c>
      <c r="I153" s="4">
        <v>2</v>
      </c>
      <c r="J153" s="4">
        <v>1</v>
      </c>
      <c r="K153" s="6" t="s">
        <v>488</v>
      </c>
      <c r="L153" s="1" t="s">
        <v>398</v>
      </c>
      <c r="M153" s="1">
        <v>35024</v>
      </c>
      <c r="N153" s="1">
        <v>99759</v>
      </c>
      <c r="O153" s="1">
        <v>335024</v>
      </c>
      <c r="P153" s="1">
        <v>699759</v>
      </c>
    </row>
    <row r="154" spans="1:16" ht="21" customHeight="1" x14ac:dyDescent="0.25">
      <c r="A154" s="3" t="s">
        <v>1268</v>
      </c>
      <c r="B154" s="6" t="s">
        <v>407</v>
      </c>
      <c r="C154" s="2" t="s">
        <v>409</v>
      </c>
      <c r="D154" s="6" t="s">
        <v>18</v>
      </c>
      <c r="E154" s="6" t="s">
        <v>408</v>
      </c>
      <c r="F154" s="4" t="s">
        <v>35</v>
      </c>
      <c r="H154" s="4">
        <f t="shared" si="5"/>
        <v>2</v>
      </c>
      <c r="I154" s="4">
        <v>2</v>
      </c>
      <c r="J154" s="4">
        <v>2</v>
      </c>
      <c r="K154" s="6" t="s">
        <v>410</v>
      </c>
      <c r="L154" s="1" t="s">
        <v>130</v>
      </c>
      <c r="M154" s="1">
        <v>28198</v>
      </c>
      <c r="N154" s="1">
        <v>3123</v>
      </c>
      <c r="O154" s="1">
        <v>328198</v>
      </c>
      <c r="P154" s="1">
        <v>703123</v>
      </c>
    </row>
    <row r="155" spans="1:16" ht="21" customHeight="1" x14ac:dyDescent="0.25">
      <c r="A155" s="3" t="s">
        <v>1268</v>
      </c>
      <c r="B155" s="4" t="s">
        <v>86</v>
      </c>
      <c r="C155" s="2" t="s">
        <v>84</v>
      </c>
      <c r="D155" s="6" t="s">
        <v>100</v>
      </c>
      <c r="E155" s="4" t="s">
        <v>85</v>
      </c>
      <c r="F155" s="4" t="s">
        <v>35</v>
      </c>
      <c r="H155" s="4">
        <f t="shared" si="5"/>
        <v>1</v>
      </c>
      <c r="I155" s="4">
        <v>1</v>
      </c>
      <c r="J155" s="4">
        <v>1</v>
      </c>
      <c r="K155" s="6" t="s">
        <v>79</v>
      </c>
      <c r="L155" s="1" t="s">
        <v>115</v>
      </c>
      <c r="M155" s="1">
        <v>3594</v>
      </c>
      <c r="N155" s="1">
        <v>5922</v>
      </c>
      <c r="O155" s="1">
        <v>335940</v>
      </c>
      <c r="P155" s="1">
        <v>859220</v>
      </c>
    </row>
    <row r="156" spans="1:16" ht="21" customHeight="1" x14ac:dyDescent="0.25">
      <c r="A156" s="3" t="s">
        <v>1268</v>
      </c>
      <c r="B156" s="4" t="s">
        <v>249</v>
      </c>
      <c r="C156" s="2" t="s">
        <v>458</v>
      </c>
      <c r="D156" s="6" t="s">
        <v>8</v>
      </c>
      <c r="E156" s="4" t="s">
        <v>236</v>
      </c>
      <c r="F156" s="4" t="s">
        <v>35</v>
      </c>
      <c r="H156" s="4">
        <f t="shared" si="5"/>
        <v>1</v>
      </c>
      <c r="I156" s="4">
        <v>1</v>
      </c>
      <c r="J156" s="4">
        <v>1</v>
      </c>
      <c r="K156" s="6" t="s">
        <v>459</v>
      </c>
      <c r="L156" s="1" t="s">
        <v>460</v>
      </c>
      <c r="M156" s="1">
        <v>7576</v>
      </c>
      <c r="N156" s="1">
        <v>4447</v>
      </c>
      <c r="O156" s="1">
        <v>275760</v>
      </c>
      <c r="P156" s="1">
        <v>844470</v>
      </c>
    </row>
    <row r="157" spans="1:16" ht="21" customHeight="1" x14ac:dyDescent="0.25">
      <c r="A157" s="3" t="s">
        <v>1268</v>
      </c>
      <c r="B157" s="4" t="s">
        <v>249</v>
      </c>
      <c r="C157" s="2" t="s">
        <v>250</v>
      </c>
      <c r="D157" s="6" t="s">
        <v>41</v>
      </c>
      <c r="E157" s="4" t="s">
        <v>236</v>
      </c>
      <c r="F157" s="4" t="s">
        <v>35</v>
      </c>
      <c r="H157" s="4">
        <f t="shared" si="5"/>
        <v>1</v>
      </c>
      <c r="I157" s="4">
        <v>1</v>
      </c>
      <c r="J157" s="4">
        <v>1</v>
      </c>
      <c r="K157" s="6" t="s">
        <v>243</v>
      </c>
      <c r="L157" s="1" t="s">
        <v>120</v>
      </c>
      <c r="M157" s="1">
        <v>84524</v>
      </c>
      <c r="N157" s="1">
        <v>16627</v>
      </c>
      <c r="O157" s="1">
        <v>184524</v>
      </c>
      <c r="P157" s="1">
        <v>816627</v>
      </c>
    </row>
    <row r="158" spans="1:16" ht="21" customHeight="1" x14ac:dyDescent="0.25">
      <c r="A158" s="3" t="s">
        <v>1268</v>
      </c>
      <c r="B158" s="4" t="s">
        <v>249</v>
      </c>
      <c r="C158" s="2" t="s">
        <v>467</v>
      </c>
      <c r="D158" s="6" t="s">
        <v>41</v>
      </c>
      <c r="E158" s="4" t="s">
        <v>236</v>
      </c>
      <c r="F158" s="4" t="s">
        <v>35</v>
      </c>
      <c r="H158" s="4">
        <f t="shared" si="5"/>
        <v>1</v>
      </c>
      <c r="I158" s="4">
        <v>1</v>
      </c>
      <c r="J158" s="4">
        <v>1</v>
      </c>
      <c r="K158" s="6" t="s">
        <v>466</v>
      </c>
      <c r="L158" s="1" t="s">
        <v>460</v>
      </c>
      <c r="M158" s="1">
        <v>3830</v>
      </c>
      <c r="N158" s="1">
        <v>3030</v>
      </c>
      <c r="O158" s="1">
        <v>238300</v>
      </c>
      <c r="P158" s="1">
        <v>830300</v>
      </c>
    </row>
    <row r="159" spans="1:16" ht="21" customHeight="1" x14ac:dyDescent="0.25">
      <c r="A159" s="3" t="s">
        <v>1268</v>
      </c>
      <c r="B159" s="4" t="s">
        <v>426</v>
      </c>
      <c r="C159" s="2" t="s">
        <v>427</v>
      </c>
      <c r="D159" s="6" t="s">
        <v>41</v>
      </c>
      <c r="E159" s="4" t="s">
        <v>428</v>
      </c>
      <c r="F159" s="4" t="s">
        <v>35</v>
      </c>
      <c r="H159" s="4">
        <f t="shared" si="5"/>
        <v>1</v>
      </c>
      <c r="I159" s="4">
        <v>1</v>
      </c>
      <c r="J159" s="4">
        <v>1</v>
      </c>
      <c r="K159" s="6" t="s">
        <v>414</v>
      </c>
      <c r="L159" s="1" t="s">
        <v>429</v>
      </c>
      <c r="M159" s="1">
        <v>1752</v>
      </c>
      <c r="N159" s="1">
        <v>28890</v>
      </c>
      <c r="O159" s="1">
        <v>201752</v>
      </c>
      <c r="P159" s="1">
        <v>628890</v>
      </c>
    </row>
    <row r="160" spans="1:16" ht="21" customHeight="1" x14ac:dyDescent="0.25">
      <c r="A160" s="3" t="s">
        <v>1268</v>
      </c>
      <c r="B160" s="4" t="s">
        <v>34</v>
      </c>
      <c r="C160" s="2" t="s">
        <v>33</v>
      </c>
      <c r="F160" s="4" t="s">
        <v>35</v>
      </c>
      <c r="G160" s="4">
        <v>3</v>
      </c>
      <c r="H160" s="4">
        <f t="shared" si="5"/>
        <v>3</v>
      </c>
      <c r="J160" s="4">
        <v>3</v>
      </c>
      <c r="K160" s="6" t="s">
        <v>517</v>
      </c>
      <c r="L160" s="1" t="s">
        <v>114</v>
      </c>
      <c r="M160" s="1">
        <v>57283</v>
      </c>
      <c r="N160" s="1">
        <v>5722</v>
      </c>
      <c r="O160" s="1">
        <v>357283</v>
      </c>
      <c r="P160" s="1">
        <v>1005722</v>
      </c>
    </row>
    <row r="161" spans="1:16" ht="21" customHeight="1" x14ac:dyDescent="0.25">
      <c r="A161" s="3" t="s">
        <v>1268</v>
      </c>
      <c r="B161" s="4" t="s">
        <v>34</v>
      </c>
      <c r="C161" s="2" t="s">
        <v>619</v>
      </c>
      <c r="D161" s="6" t="s">
        <v>39</v>
      </c>
      <c r="E161" s="4" t="s">
        <v>620</v>
      </c>
      <c r="F161" s="4" t="s">
        <v>35</v>
      </c>
      <c r="G161" s="4">
        <v>1</v>
      </c>
      <c r="H161" s="4">
        <f t="shared" si="5"/>
        <v>1</v>
      </c>
      <c r="I161" s="4">
        <v>0</v>
      </c>
      <c r="J161" s="4">
        <v>1</v>
      </c>
      <c r="K161" s="6" t="s">
        <v>590</v>
      </c>
      <c r="L161" s="1" t="s">
        <v>114</v>
      </c>
      <c r="M161" s="1">
        <v>428</v>
      </c>
      <c r="N161" s="1">
        <v>493</v>
      </c>
      <c r="O161" s="1">
        <v>342800</v>
      </c>
      <c r="P161" s="1">
        <v>1049300</v>
      </c>
    </row>
    <row r="162" spans="1:16" ht="21" customHeight="1" x14ac:dyDescent="0.25">
      <c r="A162" s="3" t="s">
        <v>1268</v>
      </c>
      <c r="B162" s="4" t="s">
        <v>34</v>
      </c>
      <c r="C162" s="2" t="s">
        <v>40</v>
      </c>
      <c r="D162" s="6" t="s">
        <v>41</v>
      </c>
      <c r="E162" s="4" t="s">
        <v>33</v>
      </c>
      <c r="F162" s="4" t="s">
        <v>35</v>
      </c>
      <c r="H162" s="4">
        <f t="shared" si="5"/>
        <v>2</v>
      </c>
      <c r="I162" s="4">
        <v>2</v>
      </c>
      <c r="J162" s="4">
        <v>2</v>
      </c>
      <c r="K162" s="6" t="s">
        <v>462</v>
      </c>
      <c r="L162" s="1" t="s">
        <v>114</v>
      </c>
      <c r="M162" s="1">
        <v>3182</v>
      </c>
      <c r="N162" s="1">
        <v>1277</v>
      </c>
      <c r="O162" s="1">
        <v>331820</v>
      </c>
      <c r="P162" s="1">
        <v>1012770</v>
      </c>
    </row>
    <row r="163" spans="1:16" ht="21" customHeight="1" x14ac:dyDescent="0.25">
      <c r="A163" s="3" t="s">
        <v>1268</v>
      </c>
      <c r="B163" s="4" t="s">
        <v>34</v>
      </c>
      <c r="C163" s="2" t="s">
        <v>457</v>
      </c>
      <c r="D163" s="6" t="s">
        <v>41</v>
      </c>
      <c r="E163" s="4" t="s">
        <v>33</v>
      </c>
      <c r="F163" s="4" t="s">
        <v>35</v>
      </c>
      <c r="H163" s="4">
        <f t="shared" si="5"/>
        <v>3</v>
      </c>
      <c r="I163" s="4">
        <v>3</v>
      </c>
      <c r="J163" s="4">
        <v>2</v>
      </c>
      <c r="K163" s="6" t="s">
        <v>462</v>
      </c>
      <c r="L163" s="1" t="s">
        <v>114</v>
      </c>
      <c r="M163" s="1">
        <v>4177</v>
      </c>
      <c r="N163" s="1">
        <v>1292</v>
      </c>
      <c r="O163" s="1">
        <v>341770</v>
      </c>
      <c r="P163" s="1">
        <v>1012920</v>
      </c>
    </row>
    <row r="164" spans="1:16" ht="21" customHeight="1" x14ac:dyDescent="0.25">
      <c r="A164" s="3" t="s">
        <v>1268</v>
      </c>
      <c r="B164" s="4" t="s">
        <v>34</v>
      </c>
      <c r="C164" s="2" t="s">
        <v>37</v>
      </c>
      <c r="D164" s="6" t="s">
        <v>8</v>
      </c>
      <c r="E164" s="4" t="s">
        <v>33</v>
      </c>
      <c r="F164" s="4" t="s">
        <v>35</v>
      </c>
      <c r="H164" s="4">
        <f>SUM(G164,I164)</f>
        <v>3</v>
      </c>
      <c r="I164" s="4">
        <v>3</v>
      </c>
      <c r="J164" s="4">
        <v>3</v>
      </c>
      <c r="K164" s="6" t="s">
        <v>529</v>
      </c>
      <c r="L164" s="1" t="s">
        <v>114</v>
      </c>
      <c r="M164" s="1">
        <v>2945</v>
      </c>
      <c r="N164" s="1">
        <v>1335</v>
      </c>
      <c r="O164" s="1">
        <v>329450</v>
      </c>
      <c r="P164" s="1">
        <v>1013350</v>
      </c>
    </row>
    <row r="165" spans="1:16" ht="21" customHeight="1" x14ac:dyDescent="0.25">
      <c r="A165" s="3" t="s">
        <v>1268</v>
      </c>
      <c r="B165" s="4" t="s">
        <v>34</v>
      </c>
      <c r="C165" s="2" t="s">
        <v>468</v>
      </c>
      <c r="D165" s="6" t="s">
        <v>39</v>
      </c>
      <c r="E165" s="4" t="s">
        <v>469</v>
      </c>
      <c r="F165" s="4" t="s">
        <v>35</v>
      </c>
      <c r="G165" s="4">
        <v>1</v>
      </c>
      <c r="H165" s="4">
        <f t="shared" si="5"/>
        <v>2</v>
      </c>
      <c r="I165" s="4">
        <v>1</v>
      </c>
      <c r="J165" s="4">
        <v>2</v>
      </c>
      <c r="K165" s="6" t="s">
        <v>618</v>
      </c>
      <c r="L165" s="1" t="s">
        <v>114</v>
      </c>
      <c r="M165" s="1">
        <v>4398</v>
      </c>
      <c r="N165" s="1">
        <v>3224</v>
      </c>
      <c r="O165" s="1">
        <v>343980</v>
      </c>
      <c r="P165" s="1">
        <v>1032240</v>
      </c>
    </row>
    <row r="166" spans="1:16" ht="21" customHeight="1" x14ac:dyDescent="0.25">
      <c r="A166" s="3" t="s">
        <v>1268</v>
      </c>
      <c r="B166" s="4" t="s">
        <v>34</v>
      </c>
      <c r="C166" s="2" t="s">
        <v>38</v>
      </c>
      <c r="D166" s="6" t="s">
        <v>39</v>
      </c>
      <c r="E166" s="4" t="s">
        <v>33</v>
      </c>
      <c r="F166" s="4" t="s">
        <v>35</v>
      </c>
      <c r="H166" s="4">
        <f>SUM(G166,I166)</f>
        <v>3</v>
      </c>
      <c r="I166" s="4">
        <v>3</v>
      </c>
      <c r="J166" s="4">
        <v>3</v>
      </c>
      <c r="K166" s="6" t="s">
        <v>642</v>
      </c>
      <c r="L166" s="1" t="s">
        <v>114</v>
      </c>
      <c r="M166" s="1">
        <v>2312</v>
      </c>
      <c r="N166" s="1">
        <v>1874</v>
      </c>
      <c r="O166" s="1">
        <v>323120</v>
      </c>
      <c r="P166" s="1">
        <v>1018740</v>
      </c>
    </row>
    <row r="167" spans="1:16" ht="21" customHeight="1" x14ac:dyDescent="0.25">
      <c r="A167" s="3" t="s">
        <v>1268</v>
      </c>
      <c r="B167" s="4" t="s">
        <v>34</v>
      </c>
      <c r="C167" s="2" t="s">
        <v>36</v>
      </c>
      <c r="D167" s="6" t="s">
        <v>8</v>
      </c>
      <c r="E167" s="4" t="s">
        <v>33</v>
      </c>
      <c r="F167" s="4" t="s">
        <v>35</v>
      </c>
      <c r="H167" s="4">
        <f>SUM(G167,I167)</f>
        <v>3</v>
      </c>
      <c r="I167" s="4">
        <v>3</v>
      </c>
      <c r="J167" s="4">
        <v>3</v>
      </c>
      <c r="K167" s="6" t="s">
        <v>470</v>
      </c>
      <c r="L167" s="1" t="s">
        <v>114</v>
      </c>
      <c r="M167" s="1">
        <v>3067</v>
      </c>
      <c r="N167" s="1">
        <v>1252</v>
      </c>
      <c r="O167" s="1">
        <v>330670</v>
      </c>
      <c r="P167" s="1">
        <v>1012520</v>
      </c>
    </row>
    <row r="168" spans="1:16" ht="21" customHeight="1" x14ac:dyDescent="0.25">
      <c r="A168" s="3" t="s">
        <v>1268</v>
      </c>
      <c r="B168" s="4" t="s">
        <v>34</v>
      </c>
      <c r="C168" s="2" t="s">
        <v>131</v>
      </c>
      <c r="D168" s="6" t="s">
        <v>41</v>
      </c>
      <c r="E168" s="6" t="s">
        <v>132</v>
      </c>
      <c r="F168" s="4" t="s">
        <v>35</v>
      </c>
      <c r="H168" s="4">
        <f t="shared" si="5"/>
        <v>3</v>
      </c>
      <c r="I168" s="4">
        <v>3</v>
      </c>
      <c r="J168" s="4">
        <v>3</v>
      </c>
      <c r="K168" s="6" t="s">
        <v>463</v>
      </c>
      <c r="L168" s="1" t="s">
        <v>133</v>
      </c>
      <c r="M168" s="1">
        <v>4704</v>
      </c>
      <c r="N168" s="1">
        <v>8449</v>
      </c>
      <c r="O168" s="1">
        <v>347040</v>
      </c>
      <c r="P168" s="1">
        <v>984490</v>
      </c>
    </row>
    <row r="169" spans="1:16" ht="21" customHeight="1" x14ac:dyDescent="0.25">
      <c r="A169" s="3" t="s">
        <v>1268</v>
      </c>
      <c r="B169" s="4" t="s">
        <v>34</v>
      </c>
      <c r="C169" s="2" t="s">
        <v>155</v>
      </c>
      <c r="D169" s="6" t="s">
        <v>39</v>
      </c>
      <c r="E169" s="6" t="s">
        <v>156</v>
      </c>
      <c r="F169" s="4" t="s">
        <v>35</v>
      </c>
      <c r="H169" s="4">
        <f t="shared" si="5"/>
        <v>2</v>
      </c>
      <c r="I169" s="4">
        <v>2</v>
      </c>
      <c r="J169" s="4">
        <v>2</v>
      </c>
      <c r="K169" s="6" t="s">
        <v>185</v>
      </c>
      <c r="L169" s="1" t="s">
        <v>114</v>
      </c>
      <c r="M169" s="1">
        <v>4830</v>
      </c>
      <c r="N169" s="1">
        <v>5180</v>
      </c>
      <c r="O169" s="1">
        <v>348300</v>
      </c>
      <c r="P169" s="1">
        <v>1051800</v>
      </c>
    </row>
    <row r="170" spans="1:16" ht="21" customHeight="1" x14ac:dyDescent="0.25">
      <c r="A170" s="3" t="s">
        <v>1268</v>
      </c>
      <c r="B170" s="4" t="s">
        <v>99</v>
      </c>
      <c r="C170" s="2" t="s">
        <v>97</v>
      </c>
      <c r="D170" s="6" t="s">
        <v>39</v>
      </c>
      <c r="E170" s="4" t="s">
        <v>98</v>
      </c>
      <c r="F170" s="4" t="s">
        <v>35</v>
      </c>
      <c r="G170" s="4">
        <v>1</v>
      </c>
      <c r="H170" s="4">
        <f>SUM(G170,I170)</f>
        <v>3</v>
      </c>
      <c r="I170" s="4">
        <v>2</v>
      </c>
      <c r="J170" s="4">
        <v>2</v>
      </c>
      <c r="K170" s="6" t="s">
        <v>625</v>
      </c>
      <c r="L170" s="1" t="s">
        <v>116</v>
      </c>
      <c r="M170" s="1">
        <v>9753</v>
      </c>
      <c r="N170" s="1">
        <v>9123</v>
      </c>
      <c r="O170" s="1">
        <v>97530</v>
      </c>
      <c r="P170" s="1">
        <v>891230</v>
      </c>
    </row>
    <row r="171" spans="1:16" ht="21" customHeight="1" x14ac:dyDescent="0.25">
      <c r="A171" s="3" t="s">
        <v>1268</v>
      </c>
      <c r="B171" s="4" t="s">
        <v>170</v>
      </c>
      <c r="C171" s="2" t="s">
        <v>168</v>
      </c>
      <c r="D171" s="6" t="s">
        <v>151</v>
      </c>
      <c r="E171" s="4" t="s">
        <v>167</v>
      </c>
      <c r="F171" s="4" t="s">
        <v>35</v>
      </c>
      <c r="H171" s="4">
        <f>SUM(G171,I171)</f>
        <v>1</v>
      </c>
      <c r="I171" s="4">
        <v>1</v>
      </c>
      <c r="J171" s="4">
        <v>1</v>
      </c>
      <c r="K171" s="6" t="s">
        <v>154</v>
      </c>
      <c r="L171" s="1" t="s">
        <v>169</v>
      </c>
      <c r="M171" s="1">
        <v>562</v>
      </c>
      <c r="N171" s="1">
        <v>377</v>
      </c>
      <c r="O171" s="1">
        <v>256200</v>
      </c>
      <c r="P171" s="1">
        <v>737700</v>
      </c>
    </row>
    <row r="172" spans="1:16" ht="21" customHeight="1" x14ac:dyDescent="0.25">
      <c r="A172" s="3" t="s">
        <v>1268</v>
      </c>
      <c r="B172" s="4" t="s">
        <v>170</v>
      </c>
      <c r="C172" s="2" t="s">
        <v>275</v>
      </c>
      <c r="D172" s="6" t="s">
        <v>278</v>
      </c>
      <c r="E172" s="4" t="s">
        <v>167</v>
      </c>
      <c r="F172" s="4" t="s">
        <v>35</v>
      </c>
      <c r="H172" s="4">
        <f t="shared" ref="H172:H207" si="6">SUM(G172,I172)</f>
        <v>1</v>
      </c>
      <c r="I172" s="4">
        <v>1</v>
      </c>
      <c r="J172" s="4">
        <v>1</v>
      </c>
      <c r="K172" s="6" t="s">
        <v>276</v>
      </c>
      <c r="L172" s="1" t="s">
        <v>169</v>
      </c>
      <c r="M172" s="1">
        <v>9287</v>
      </c>
      <c r="N172" s="1">
        <v>5337</v>
      </c>
      <c r="O172" s="1">
        <v>292870</v>
      </c>
      <c r="P172" s="1">
        <v>753370</v>
      </c>
    </row>
    <row r="173" spans="1:16" ht="21" customHeight="1" x14ac:dyDescent="0.25">
      <c r="A173" s="3" t="s">
        <v>1268</v>
      </c>
      <c r="B173" s="4" t="s">
        <v>315</v>
      </c>
      <c r="D173" s="6" t="s">
        <v>39</v>
      </c>
      <c r="F173" s="4" t="s">
        <v>35</v>
      </c>
      <c r="G173" s="4">
        <v>1</v>
      </c>
      <c r="H173" s="4">
        <f t="shared" si="6"/>
        <v>1</v>
      </c>
      <c r="J173" s="4">
        <v>1</v>
      </c>
      <c r="K173" s="6" t="s">
        <v>590</v>
      </c>
      <c r="L173" s="1" t="s">
        <v>318</v>
      </c>
      <c r="M173" s="1">
        <v>42287</v>
      </c>
      <c r="N173" s="1">
        <v>62792</v>
      </c>
      <c r="O173" s="1">
        <v>442287</v>
      </c>
      <c r="P173" s="1">
        <v>1162792</v>
      </c>
    </row>
    <row r="174" spans="1:16" ht="21" customHeight="1" x14ac:dyDescent="0.25">
      <c r="A174" s="3" t="s">
        <v>1268</v>
      </c>
      <c r="B174" s="4" t="s">
        <v>315</v>
      </c>
      <c r="C174" s="2" t="s">
        <v>316</v>
      </c>
      <c r="D174" s="6" t="s">
        <v>317</v>
      </c>
      <c r="E174" s="4" t="s">
        <v>319</v>
      </c>
      <c r="F174" s="4" t="s">
        <v>35</v>
      </c>
      <c r="H174" s="4">
        <f t="shared" si="6"/>
        <v>1</v>
      </c>
      <c r="I174" s="4">
        <v>1</v>
      </c>
      <c r="J174" s="4">
        <v>1</v>
      </c>
      <c r="K174" s="6" t="s">
        <v>309</v>
      </c>
      <c r="L174" s="1" t="s">
        <v>318</v>
      </c>
      <c r="M174" s="1">
        <v>3898</v>
      </c>
      <c r="N174" s="1">
        <v>1065</v>
      </c>
      <c r="O174" s="1">
        <v>438980</v>
      </c>
      <c r="P174" s="1">
        <v>1110650</v>
      </c>
    </row>
    <row r="175" spans="1:16" ht="21" customHeight="1" x14ac:dyDescent="0.25">
      <c r="A175" s="3" t="s">
        <v>1268</v>
      </c>
      <c r="B175" s="4" t="s">
        <v>167</v>
      </c>
      <c r="C175" s="2" t="s">
        <v>399</v>
      </c>
      <c r="D175" s="6" t="s">
        <v>401</v>
      </c>
      <c r="E175" s="4" t="s">
        <v>400</v>
      </c>
      <c r="F175" s="4" t="s">
        <v>35</v>
      </c>
      <c r="H175" s="4">
        <f t="shared" si="6"/>
        <v>2</v>
      </c>
      <c r="I175" s="4">
        <v>2</v>
      </c>
      <c r="J175" s="4">
        <v>2</v>
      </c>
      <c r="K175" s="6" t="s">
        <v>410</v>
      </c>
      <c r="L175" s="1" t="s">
        <v>130</v>
      </c>
      <c r="M175" s="1">
        <v>5210</v>
      </c>
      <c r="N175" s="1">
        <v>17234</v>
      </c>
      <c r="O175" s="1">
        <v>305210</v>
      </c>
      <c r="P175" s="1">
        <v>717234</v>
      </c>
    </row>
    <row r="176" spans="1:16" ht="21" customHeight="1" x14ac:dyDescent="0.25">
      <c r="A176" s="3" t="s">
        <v>1268</v>
      </c>
      <c r="B176" s="4" t="s">
        <v>167</v>
      </c>
      <c r="C176" s="2" t="s">
        <v>491</v>
      </c>
      <c r="D176" s="6" t="s">
        <v>90</v>
      </c>
      <c r="E176" s="4" t="s">
        <v>86</v>
      </c>
      <c r="F176" s="4" t="s">
        <v>35</v>
      </c>
      <c r="H176" s="4">
        <f t="shared" si="6"/>
        <v>1</v>
      </c>
      <c r="I176" s="4">
        <v>1</v>
      </c>
      <c r="J176" s="4">
        <v>1</v>
      </c>
      <c r="K176" s="6" t="s">
        <v>488</v>
      </c>
      <c r="L176" s="1" t="s">
        <v>115</v>
      </c>
      <c r="M176" s="1">
        <v>89</v>
      </c>
      <c r="N176" s="1">
        <v>607</v>
      </c>
      <c r="O176" s="1">
        <v>308900</v>
      </c>
      <c r="P176" s="1">
        <v>860700</v>
      </c>
    </row>
    <row r="177" spans="1:16" ht="21" customHeight="1" x14ac:dyDescent="0.25">
      <c r="A177" s="3" t="s">
        <v>1268</v>
      </c>
      <c r="B177" s="4" t="s">
        <v>522</v>
      </c>
      <c r="C177" s="2" t="s">
        <v>523</v>
      </c>
      <c r="D177" s="6" t="s">
        <v>524</v>
      </c>
      <c r="E177" s="6" t="s">
        <v>525</v>
      </c>
      <c r="F177" s="4" t="s">
        <v>35</v>
      </c>
      <c r="H177" s="4">
        <f t="shared" si="6"/>
        <v>2</v>
      </c>
      <c r="I177" s="4">
        <v>2</v>
      </c>
      <c r="J177" s="4">
        <v>2</v>
      </c>
      <c r="K177" s="6" t="s">
        <v>521</v>
      </c>
      <c r="L177" s="1" t="s">
        <v>526</v>
      </c>
      <c r="M177" s="1">
        <v>21300</v>
      </c>
      <c r="N177" s="1">
        <v>33017</v>
      </c>
      <c r="O177" s="1">
        <v>121300</v>
      </c>
      <c r="P177" s="1">
        <v>933017</v>
      </c>
    </row>
    <row r="178" spans="1:16" ht="21" customHeight="1" x14ac:dyDescent="0.25">
      <c r="A178" s="3" t="s">
        <v>1268</v>
      </c>
      <c r="B178" s="4" t="s">
        <v>186</v>
      </c>
      <c r="C178" s="2" t="s">
        <v>478</v>
      </c>
      <c r="D178" s="6" t="s">
        <v>39</v>
      </c>
      <c r="E178" s="4" t="s">
        <v>190</v>
      </c>
      <c r="F178" s="4" t="s">
        <v>56</v>
      </c>
      <c r="H178" s="4">
        <f t="shared" si="6"/>
        <v>1</v>
      </c>
      <c r="I178" s="4">
        <v>1</v>
      </c>
      <c r="J178" s="4">
        <v>1</v>
      </c>
      <c r="K178" s="6" t="s">
        <v>476</v>
      </c>
      <c r="L178" s="1" t="s">
        <v>189</v>
      </c>
      <c r="M178" s="1">
        <v>139</v>
      </c>
      <c r="N178" s="1">
        <v>668</v>
      </c>
      <c r="O178" s="1">
        <v>314500</v>
      </c>
      <c r="P178" s="1">
        <v>366100</v>
      </c>
    </row>
    <row r="179" spans="1:16" ht="21" customHeight="1" x14ac:dyDescent="0.25">
      <c r="A179" s="3" t="s">
        <v>1268</v>
      </c>
      <c r="B179" s="4" t="s">
        <v>186</v>
      </c>
      <c r="C179" s="2" t="s">
        <v>187</v>
      </c>
      <c r="D179" s="6" t="s">
        <v>188</v>
      </c>
      <c r="E179" s="4" t="s">
        <v>190</v>
      </c>
      <c r="F179" s="4" t="s">
        <v>56</v>
      </c>
      <c r="H179" s="4">
        <f t="shared" si="6"/>
        <v>1</v>
      </c>
      <c r="I179" s="4">
        <v>1</v>
      </c>
      <c r="J179" s="4">
        <v>1</v>
      </c>
      <c r="K179" s="6" t="s">
        <v>180</v>
      </c>
      <c r="L179" s="1" t="s">
        <v>189</v>
      </c>
      <c r="M179" s="1">
        <v>95</v>
      </c>
      <c r="N179" s="1">
        <v>708</v>
      </c>
      <c r="O179" s="1">
        <v>309500</v>
      </c>
      <c r="P179" s="1">
        <v>370800</v>
      </c>
    </row>
    <row r="180" spans="1:16" ht="21" customHeight="1" x14ac:dyDescent="0.25">
      <c r="A180" s="3" t="s">
        <v>1268</v>
      </c>
      <c r="B180" s="4" t="s">
        <v>186</v>
      </c>
      <c r="C180" s="2" t="s">
        <v>553</v>
      </c>
      <c r="D180" s="6" t="s">
        <v>90</v>
      </c>
      <c r="E180" s="4" t="s">
        <v>554</v>
      </c>
      <c r="F180" s="4" t="s">
        <v>56</v>
      </c>
      <c r="G180" s="4">
        <v>1</v>
      </c>
      <c r="H180" s="4">
        <f t="shared" si="6"/>
        <v>2</v>
      </c>
      <c r="I180" s="4">
        <v>1</v>
      </c>
      <c r="J180" s="4">
        <v>2</v>
      </c>
      <c r="K180" s="6" t="s">
        <v>580</v>
      </c>
      <c r="L180" s="1" t="s">
        <v>189</v>
      </c>
      <c r="M180" s="1">
        <v>2434</v>
      </c>
      <c r="N180" s="1">
        <v>6393</v>
      </c>
      <c r="O180" s="1">
        <v>324340</v>
      </c>
      <c r="P180" s="1">
        <v>363930</v>
      </c>
    </row>
    <row r="181" spans="1:16" ht="21" customHeight="1" x14ac:dyDescent="0.25">
      <c r="A181" s="3" t="s">
        <v>1268</v>
      </c>
      <c r="B181" s="4" t="s">
        <v>55</v>
      </c>
      <c r="C181" s="2" t="s">
        <v>219</v>
      </c>
      <c r="D181" s="6" t="s">
        <v>220</v>
      </c>
      <c r="E181" s="4" t="s">
        <v>221</v>
      </c>
      <c r="F181" s="4" t="s">
        <v>56</v>
      </c>
      <c r="H181" s="4">
        <f t="shared" si="6"/>
        <v>1</v>
      </c>
      <c r="I181" s="4">
        <v>1</v>
      </c>
      <c r="J181" s="4">
        <v>1</v>
      </c>
      <c r="K181" s="6" t="s">
        <v>217</v>
      </c>
      <c r="L181" s="1" t="s">
        <v>153</v>
      </c>
      <c r="M181" s="1">
        <v>63</v>
      </c>
      <c r="N181" s="1">
        <v>391</v>
      </c>
      <c r="O181" s="1">
        <v>206300</v>
      </c>
      <c r="P181" s="1">
        <v>239100</v>
      </c>
    </row>
    <row r="182" spans="1:16" ht="21" customHeight="1" x14ac:dyDescent="0.25">
      <c r="A182" s="3" t="s">
        <v>1268</v>
      </c>
      <c r="B182" s="4" t="s">
        <v>55</v>
      </c>
      <c r="C182" s="2" t="s">
        <v>182</v>
      </c>
      <c r="D182" s="6" t="s">
        <v>39</v>
      </c>
      <c r="E182" s="4" t="s">
        <v>183</v>
      </c>
      <c r="F182" s="4" t="s">
        <v>56</v>
      </c>
      <c r="H182" s="4">
        <f t="shared" si="6"/>
        <v>1</v>
      </c>
      <c r="I182" s="4">
        <v>1</v>
      </c>
      <c r="J182" s="4">
        <v>1</v>
      </c>
      <c r="K182" s="6" t="s">
        <v>180</v>
      </c>
      <c r="L182" s="1" t="s">
        <v>184</v>
      </c>
      <c r="M182" s="1">
        <v>7373</v>
      </c>
      <c r="N182" s="1">
        <v>2509</v>
      </c>
      <c r="O182" s="1">
        <v>173730</v>
      </c>
      <c r="P182" s="1">
        <v>225090</v>
      </c>
    </row>
    <row r="183" spans="1:16" ht="21" customHeight="1" x14ac:dyDescent="0.25">
      <c r="A183" s="3" t="s">
        <v>1268</v>
      </c>
      <c r="B183" s="4" t="s">
        <v>55</v>
      </c>
      <c r="C183" s="2" t="s">
        <v>150</v>
      </c>
      <c r="D183" s="6" t="s">
        <v>39</v>
      </c>
      <c r="E183" s="4" t="s">
        <v>152</v>
      </c>
      <c r="F183" s="4" t="s">
        <v>56</v>
      </c>
      <c r="H183" s="4">
        <f>SUM(G183,I183)</f>
        <v>1</v>
      </c>
      <c r="I183" s="4">
        <v>1</v>
      </c>
      <c r="J183" s="4">
        <v>1</v>
      </c>
      <c r="K183" s="6" t="s">
        <v>154</v>
      </c>
      <c r="L183" s="1" t="s">
        <v>153</v>
      </c>
      <c r="M183" s="1">
        <v>2842</v>
      </c>
      <c r="N183" s="1">
        <v>914</v>
      </c>
      <c r="O183" s="1">
        <v>228420</v>
      </c>
      <c r="P183" s="1">
        <v>209140</v>
      </c>
    </row>
    <row r="184" spans="1:16" ht="21" customHeight="1" x14ac:dyDescent="0.25">
      <c r="A184" s="3" t="s">
        <v>1268</v>
      </c>
      <c r="B184" s="4" t="s">
        <v>55</v>
      </c>
      <c r="C184" s="2" t="s">
        <v>58</v>
      </c>
      <c r="D184" s="6" t="s">
        <v>151</v>
      </c>
      <c r="E184" s="4" t="s">
        <v>57</v>
      </c>
      <c r="F184" s="4" t="s">
        <v>56</v>
      </c>
      <c r="G184" s="4">
        <v>2</v>
      </c>
      <c r="H184" s="4">
        <f t="shared" si="6"/>
        <v>2</v>
      </c>
      <c r="J184" s="4">
        <v>2</v>
      </c>
      <c r="K184" s="6" t="s">
        <v>537</v>
      </c>
      <c r="L184" s="1" t="s">
        <v>153</v>
      </c>
      <c r="M184" s="1">
        <v>111</v>
      </c>
      <c r="N184" s="1">
        <v>326</v>
      </c>
      <c r="O184" s="1">
        <v>211100</v>
      </c>
      <c r="P184" s="1">
        <v>232600</v>
      </c>
    </row>
    <row r="185" spans="1:16" ht="35.25" customHeight="1" x14ac:dyDescent="0.25">
      <c r="A185" s="3" t="s">
        <v>1268</v>
      </c>
      <c r="B185" s="4" t="s">
        <v>55</v>
      </c>
      <c r="C185" s="2" t="s">
        <v>636</v>
      </c>
      <c r="D185" s="6" t="s">
        <v>638</v>
      </c>
      <c r="E185" s="4" t="s">
        <v>57</v>
      </c>
      <c r="F185" s="4" t="s">
        <v>56</v>
      </c>
      <c r="H185" s="4">
        <f t="shared" si="6"/>
        <v>1</v>
      </c>
      <c r="I185" s="4">
        <v>1</v>
      </c>
      <c r="J185" s="4">
        <v>1</v>
      </c>
      <c r="K185" s="6" t="s">
        <v>637</v>
      </c>
      <c r="L185" s="1" t="s">
        <v>184</v>
      </c>
      <c r="M185" s="1">
        <v>9132</v>
      </c>
      <c r="N185" s="1">
        <v>3545</v>
      </c>
      <c r="O185" s="1">
        <v>191320</v>
      </c>
      <c r="P185" s="1">
        <v>235450</v>
      </c>
    </row>
    <row r="186" spans="1:16" ht="21" customHeight="1" x14ac:dyDescent="0.25">
      <c r="A186" s="3" t="s">
        <v>1268</v>
      </c>
      <c r="B186" s="4" t="s">
        <v>593</v>
      </c>
      <c r="C186" s="2" t="s">
        <v>622</v>
      </c>
      <c r="D186" s="6" t="s">
        <v>39</v>
      </c>
      <c r="E186" s="4" t="s">
        <v>623</v>
      </c>
      <c r="F186" s="4" t="s">
        <v>56</v>
      </c>
      <c r="G186" s="4">
        <v>1</v>
      </c>
      <c r="H186" s="4">
        <f t="shared" si="6"/>
        <v>1</v>
      </c>
      <c r="J186" s="4">
        <v>1</v>
      </c>
      <c r="K186" s="6" t="s">
        <v>590</v>
      </c>
      <c r="L186" s="1" t="s">
        <v>596</v>
      </c>
      <c r="M186" s="1">
        <v>868</v>
      </c>
      <c r="N186" s="1">
        <v>773</v>
      </c>
      <c r="O186" s="1">
        <v>286800</v>
      </c>
      <c r="P186" s="1">
        <v>177300</v>
      </c>
    </row>
    <row r="187" spans="1:16" ht="21" customHeight="1" x14ac:dyDescent="0.25">
      <c r="A187" s="3" t="s">
        <v>1268</v>
      </c>
      <c r="B187" s="4" t="s">
        <v>593</v>
      </c>
      <c r="C187" s="2" t="s">
        <v>617</v>
      </c>
      <c r="D187" s="6" t="s">
        <v>616</v>
      </c>
      <c r="E187" s="4" t="s">
        <v>624</v>
      </c>
      <c r="F187" s="4" t="s">
        <v>56</v>
      </c>
      <c r="G187" s="4">
        <v>1</v>
      </c>
      <c r="H187" s="4">
        <f t="shared" si="6"/>
        <v>1</v>
      </c>
      <c r="J187" s="4">
        <v>1</v>
      </c>
      <c r="K187" s="6" t="s">
        <v>614</v>
      </c>
      <c r="L187" s="1" t="s">
        <v>596</v>
      </c>
      <c r="M187" s="1">
        <v>605</v>
      </c>
      <c r="N187" s="1">
        <v>887</v>
      </c>
      <c r="O187" s="1">
        <v>260500</v>
      </c>
      <c r="P187" s="1">
        <v>188700</v>
      </c>
    </row>
    <row r="188" spans="1:16" ht="21" customHeight="1" x14ac:dyDescent="0.25">
      <c r="A188" s="3" t="s">
        <v>1268</v>
      </c>
      <c r="B188" s="6" t="s">
        <v>593</v>
      </c>
      <c r="C188" s="2" t="s">
        <v>594</v>
      </c>
      <c r="D188" s="6" t="s">
        <v>90</v>
      </c>
      <c r="E188" s="6" t="s">
        <v>595</v>
      </c>
      <c r="F188" s="4" t="s">
        <v>56</v>
      </c>
      <c r="G188" s="4">
        <v>1</v>
      </c>
      <c r="H188" s="4">
        <f t="shared" si="6"/>
        <v>1</v>
      </c>
      <c r="J188" s="4">
        <v>1</v>
      </c>
      <c r="K188" s="6" t="s">
        <v>590</v>
      </c>
      <c r="L188" s="1" t="s">
        <v>596</v>
      </c>
      <c r="M188" s="1">
        <v>9237</v>
      </c>
      <c r="N188" s="1">
        <v>8088</v>
      </c>
      <c r="O188" s="1">
        <v>292370</v>
      </c>
      <c r="P188" s="1">
        <v>180880</v>
      </c>
    </row>
    <row r="189" spans="1:16" ht="21" customHeight="1" x14ac:dyDescent="0.25">
      <c r="A189" s="3" t="s">
        <v>1268</v>
      </c>
      <c r="B189" s="4" t="s">
        <v>161</v>
      </c>
      <c r="C189" s="2" t="s">
        <v>422</v>
      </c>
      <c r="D189" s="6" t="s">
        <v>41</v>
      </c>
      <c r="E189" s="4" t="s">
        <v>301</v>
      </c>
      <c r="F189" s="4" t="s">
        <v>56</v>
      </c>
      <c r="H189" s="4">
        <f t="shared" si="6"/>
        <v>2</v>
      </c>
      <c r="I189" s="4">
        <v>2</v>
      </c>
      <c r="J189" s="4">
        <v>2</v>
      </c>
      <c r="K189" s="6" t="s">
        <v>482</v>
      </c>
      <c r="L189" s="1" t="s">
        <v>164</v>
      </c>
      <c r="M189" s="1">
        <v>32895</v>
      </c>
      <c r="N189" s="1">
        <v>70723</v>
      </c>
      <c r="O189" s="1">
        <v>232895</v>
      </c>
      <c r="P189" s="1">
        <v>370723</v>
      </c>
    </row>
    <row r="190" spans="1:16" ht="21" customHeight="1" x14ac:dyDescent="0.25">
      <c r="A190" s="3" t="s">
        <v>1268</v>
      </c>
      <c r="B190" s="4" t="s">
        <v>161</v>
      </c>
      <c r="C190" s="2" t="s">
        <v>574</v>
      </c>
      <c r="D190" s="6" t="s">
        <v>1278</v>
      </c>
      <c r="E190" s="4" t="s">
        <v>1343</v>
      </c>
      <c r="F190" s="4" t="s">
        <v>56</v>
      </c>
      <c r="G190" s="4">
        <v>1</v>
      </c>
      <c r="H190" s="4">
        <f t="shared" si="6"/>
        <v>1</v>
      </c>
      <c r="J190" s="4">
        <v>1</v>
      </c>
      <c r="K190" s="6" t="s">
        <v>575</v>
      </c>
      <c r="L190" s="1" t="s">
        <v>164</v>
      </c>
      <c r="M190" s="1">
        <v>795</v>
      </c>
      <c r="N190" s="1">
        <v>565</v>
      </c>
      <c r="O190" s="1">
        <v>279500</v>
      </c>
      <c r="P190" s="1">
        <v>376500</v>
      </c>
    </row>
    <row r="191" spans="1:16" ht="21" customHeight="1" x14ac:dyDescent="0.25">
      <c r="A191" s="3" t="s">
        <v>1268</v>
      </c>
      <c r="B191" s="4" t="s">
        <v>161</v>
      </c>
      <c r="C191" s="2" t="s">
        <v>423</v>
      </c>
      <c r="D191" s="6" t="s">
        <v>41</v>
      </c>
      <c r="E191" s="4" t="s">
        <v>301</v>
      </c>
      <c r="F191" s="4" t="s">
        <v>56</v>
      </c>
      <c r="H191" s="4">
        <f t="shared" si="6"/>
        <v>2</v>
      </c>
      <c r="I191" s="4">
        <v>2</v>
      </c>
      <c r="J191" s="4">
        <v>2</v>
      </c>
      <c r="K191" s="6" t="s">
        <v>482</v>
      </c>
      <c r="L191" s="1" t="s">
        <v>164</v>
      </c>
      <c r="M191" s="1">
        <v>50761</v>
      </c>
      <c r="N191" s="1">
        <v>70185</v>
      </c>
      <c r="O191" s="1">
        <v>250761</v>
      </c>
      <c r="P191" s="1">
        <v>370185</v>
      </c>
    </row>
    <row r="192" spans="1:16" ht="21" customHeight="1" x14ac:dyDescent="0.25">
      <c r="A192" s="3" t="s">
        <v>1268</v>
      </c>
      <c r="B192" s="4" t="s">
        <v>161</v>
      </c>
      <c r="C192" s="2" t="s">
        <v>421</v>
      </c>
      <c r="D192" s="6" t="s">
        <v>41</v>
      </c>
      <c r="E192" s="4" t="s">
        <v>163</v>
      </c>
      <c r="F192" s="4" t="s">
        <v>56</v>
      </c>
      <c r="H192" s="4">
        <f t="shared" si="6"/>
        <v>1</v>
      </c>
      <c r="I192" s="4">
        <v>1</v>
      </c>
      <c r="J192" s="4">
        <v>1</v>
      </c>
      <c r="K192" s="6" t="s">
        <v>414</v>
      </c>
      <c r="L192" s="1" t="s">
        <v>164</v>
      </c>
      <c r="M192" s="1">
        <v>8180</v>
      </c>
      <c r="N192" s="1">
        <v>5432</v>
      </c>
      <c r="O192" s="1">
        <v>281800</v>
      </c>
      <c r="P192" s="1">
        <v>354320</v>
      </c>
    </row>
    <row r="193" spans="1:16" ht="21" customHeight="1" x14ac:dyDescent="0.25">
      <c r="A193" s="3" t="s">
        <v>1268</v>
      </c>
      <c r="B193" s="4" t="s">
        <v>161</v>
      </c>
      <c r="C193" s="2" t="s">
        <v>631</v>
      </c>
      <c r="D193" s="6" t="s">
        <v>616</v>
      </c>
      <c r="E193" s="4" t="s">
        <v>225</v>
      </c>
      <c r="F193" s="4" t="s">
        <v>56</v>
      </c>
      <c r="G193" s="4">
        <v>1</v>
      </c>
      <c r="H193" s="4">
        <f t="shared" si="6"/>
        <v>1</v>
      </c>
      <c r="J193" s="4">
        <v>1</v>
      </c>
      <c r="K193" s="6" t="s">
        <v>590</v>
      </c>
      <c r="L193" s="1" t="s">
        <v>164</v>
      </c>
      <c r="M193" s="1">
        <v>99275</v>
      </c>
      <c r="N193" s="1">
        <v>40994</v>
      </c>
      <c r="O193" s="1">
        <v>299275</v>
      </c>
      <c r="P193" s="1">
        <v>340994</v>
      </c>
    </row>
    <row r="194" spans="1:16" ht="21" customHeight="1" x14ac:dyDescent="0.25">
      <c r="A194" s="3" t="s">
        <v>1268</v>
      </c>
      <c r="B194" s="4" t="s">
        <v>161</v>
      </c>
      <c r="C194" s="2" t="s">
        <v>223</v>
      </c>
      <c r="D194" s="6" t="s">
        <v>220</v>
      </c>
      <c r="E194" s="4" t="s">
        <v>225</v>
      </c>
      <c r="F194" s="4" t="s">
        <v>56</v>
      </c>
      <c r="H194" s="4">
        <f t="shared" si="6"/>
        <v>3</v>
      </c>
      <c r="I194" s="4">
        <v>3</v>
      </c>
      <c r="J194" s="4">
        <v>2</v>
      </c>
      <c r="K194" s="6" t="s">
        <v>241</v>
      </c>
      <c r="L194" s="1" t="s">
        <v>164</v>
      </c>
      <c r="M194" s="1">
        <v>5886</v>
      </c>
      <c r="N194" s="1">
        <v>2284</v>
      </c>
      <c r="O194" s="1">
        <v>258860</v>
      </c>
      <c r="P194" s="1">
        <v>322840</v>
      </c>
    </row>
    <row r="195" spans="1:16" ht="21" customHeight="1" x14ac:dyDescent="0.25">
      <c r="A195" s="3" t="s">
        <v>1268</v>
      </c>
      <c r="B195" s="4" t="s">
        <v>161</v>
      </c>
      <c r="C195" s="2" t="s">
        <v>162</v>
      </c>
      <c r="D195" s="6" t="s">
        <v>151</v>
      </c>
      <c r="E195" s="4" t="s">
        <v>163</v>
      </c>
      <c r="F195" s="4" t="s">
        <v>56</v>
      </c>
      <c r="G195" s="4">
        <v>1</v>
      </c>
      <c r="H195" s="4">
        <f t="shared" si="6"/>
        <v>2</v>
      </c>
      <c r="I195" s="4">
        <v>1</v>
      </c>
      <c r="J195" s="4">
        <v>2</v>
      </c>
      <c r="K195" s="6" t="s">
        <v>291</v>
      </c>
      <c r="L195" s="1" t="s">
        <v>164</v>
      </c>
      <c r="M195" s="1">
        <v>717</v>
      </c>
      <c r="N195" s="1">
        <v>749</v>
      </c>
      <c r="O195" s="1">
        <v>271700</v>
      </c>
      <c r="P195" s="1">
        <v>374900</v>
      </c>
    </row>
    <row r="196" spans="1:16" ht="21" customHeight="1" x14ac:dyDescent="0.25">
      <c r="A196" s="3" t="s">
        <v>1268</v>
      </c>
      <c r="B196" s="4" t="s">
        <v>161</v>
      </c>
      <c r="C196" s="2" t="s">
        <v>181</v>
      </c>
      <c r="D196" s="6" t="s">
        <v>39</v>
      </c>
      <c r="E196" s="4" t="s">
        <v>246</v>
      </c>
      <c r="F196" s="4" t="s">
        <v>56</v>
      </c>
      <c r="H196" s="4">
        <f>SUM(G196,I196)</f>
        <v>4</v>
      </c>
      <c r="I196" s="4">
        <v>4</v>
      </c>
      <c r="J196" s="4">
        <v>4</v>
      </c>
      <c r="K196" s="6" t="s">
        <v>479</v>
      </c>
      <c r="L196" s="1" t="s">
        <v>164</v>
      </c>
      <c r="M196" s="1">
        <v>5938</v>
      </c>
      <c r="N196" s="1">
        <v>7104</v>
      </c>
      <c r="O196" s="1">
        <v>259380</v>
      </c>
      <c r="P196" s="1">
        <v>371040</v>
      </c>
    </row>
    <row r="197" spans="1:16" ht="21" customHeight="1" x14ac:dyDescent="0.25">
      <c r="A197" s="3" t="s">
        <v>1268</v>
      </c>
      <c r="B197" s="4" t="s">
        <v>161</v>
      </c>
      <c r="C197" s="2" t="s">
        <v>433</v>
      </c>
      <c r="D197" s="6" t="s">
        <v>434</v>
      </c>
      <c r="E197" s="4" t="s">
        <v>246</v>
      </c>
      <c r="F197" s="4" t="s">
        <v>56</v>
      </c>
      <c r="H197" s="4">
        <f>SUM(G197,I197)</f>
        <v>1</v>
      </c>
      <c r="I197" s="4">
        <v>1</v>
      </c>
      <c r="J197" s="4">
        <v>1</v>
      </c>
      <c r="K197" s="6" t="s">
        <v>414</v>
      </c>
      <c r="L197" s="1" t="s">
        <v>164</v>
      </c>
      <c r="M197" s="1">
        <v>623</v>
      </c>
      <c r="N197" s="1">
        <v>668</v>
      </c>
      <c r="O197" s="1">
        <v>262300</v>
      </c>
      <c r="P197" s="1">
        <v>366800</v>
      </c>
    </row>
    <row r="198" spans="1:16" ht="21" customHeight="1" x14ac:dyDescent="0.25">
      <c r="A198" s="3" t="s">
        <v>1268</v>
      </c>
      <c r="B198" s="4" t="s">
        <v>161</v>
      </c>
      <c r="C198" s="2" t="s">
        <v>621</v>
      </c>
      <c r="D198" s="6" t="s">
        <v>39</v>
      </c>
      <c r="E198" s="4" t="s">
        <v>301</v>
      </c>
      <c r="F198" s="4" t="s">
        <v>56</v>
      </c>
      <c r="G198" s="4">
        <v>1</v>
      </c>
      <c r="H198" s="4">
        <f>SUM(G198,I198)</f>
        <v>1</v>
      </c>
      <c r="J198" s="4">
        <v>1</v>
      </c>
      <c r="K198" s="6" t="s">
        <v>614</v>
      </c>
      <c r="L198" s="1" t="s">
        <v>164</v>
      </c>
      <c r="M198" s="1">
        <v>418</v>
      </c>
      <c r="N198" s="1">
        <v>641</v>
      </c>
      <c r="O198" s="1">
        <v>241800</v>
      </c>
      <c r="P198" s="1">
        <v>364100</v>
      </c>
    </row>
    <row r="199" spans="1:16" ht="21" customHeight="1" x14ac:dyDescent="0.25">
      <c r="A199" s="3" t="s">
        <v>1268</v>
      </c>
      <c r="B199" s="4" t="s">
        <v>161</v>
      </c>
      <c r="C199" s="2" t="s">
        <v>555</v>
      </c>
      <c r="D199" s="6" t="s">
        <v>90</v>
      </c>
      <c r="E199" s="4" t="s">
        <v>301</v>
      </c>
      <c r="F199" s="4" t="s">
        <v>56</v>
      </c>
      <c r="H199" s="4">
        <f>SUM(G199,I199)</f>
        <v>1</v>
      </c>
      <c r="I199" s="4">
        <v>1</v>
      </c>
      <c r="J199" s="4">
        <v>1</v>
      </c>
      <c r="K199" s="6" t="s">
        <v>546</v>
      </c>
      <c r="L199" s="1" t="s">
        <v>184</v>
      </c>
      <c r="M199" s="1">
        <v>8115</v>
      </c>
      <c r="N199" s="1">
        <v>2874</v>
      </c>
      <c r="O199" s="1">
        <v>181150</v>
      </c>
      <c r="P199" s="1">
        <v>228740</v>
      </c>
    </row>
    <row r="200" spans="1:16" ht="21" customHeight="1" x14ac:dyDescent="0.25">
      <c r="A200" s="3" t="s">
        <v>1268</v>
      </c>
      <c r="B200" s="4" t="s">
        <v>161</v>
      </c>
      <c r="C200" s="2" t="s">
        <v>420</v>
      </c>
      <c r="D200" s="6" t="s">
        <v>41</v>
      </c>
      <c r="E200" s="4" t="s">
        <v>301</v>
      </c>
      <c r="F200" s="4" t="s">
        <v>56</v>
      </c>
      <c r="H200" s="4">
        <f t="shared" si="6"/>
        <v>1</v>
      </c>
      <c r="I200" s="4">
        <v>1</v>
      </c>
      <c r="J200" s="4">
        <v>1</v>
      </c>
      <c r="K200" s="6" t="s">
        <v>414</v>
      </c>
      <c r="L200" s="1" t="s">
        <v>164</v>
      </c>
      <c r="M200" s="1">
        <v>25858</v>
      </c>
      <c r="N200" s="1">
        <v>80546</v>
      </c>
      <c r="O200" s="1">
        <v>225858</v>
      </c>
      <c r="P200" s="1">
        <v>380546</v>
      </c>
    </row>
    <row r="201" spans="1:16" ht="21" customHeight="1" x14ac:dyDescent="0.25">
      <c r="A201" s="3" t="s">
        <v>1268</v>
      </c>
      <c r="B201" s="4" t="s">
        <v>66</v>
      </c>
      <c r="C201" s="2" t="s">
        <v>292</v>
      </c>
      <c r="D201" s="6" t="s">
        <v>151</v>
      </c>
      <c r="E201" s="4" t="s">
        <v>570</v>
      </c>
      <c r="F201" s="4" t="s">
        <v>56</v>
      </c>
      <c r="G201" s="4">
        <v>1</v>
      </c>
      <c r="H201" s="4">
        <f t="shared" si="6"/>
        <v>2</v>
      </c>
      <c r="I201" s="4">
        <v>1</v>
      </c>
      <c r="J201" s="4">
        <v>2</v>
      </c>
      <c r="K201" s="6" t="s">
        <v>571</v>
      </c>
      <c r="L201" s="1" t="s">
        <v>113</v>
      </c>
      <c r="M201" s="1">
        <v>305</v>
      </c>
      <c r="N201" s="1">
        <v>950</v>
      </c>
      <c r="O201" s="1">
        <v>330500</v>
      </c>
      <c r="P201" s="1">
        <v>295000</v>
      </c>
    </row>
    <row r="202" spans="1:16" ht="21" customHeight="1" x14ac:dyDescent="0.25">
      <c r="A202" s="3" t="s">
        <v>1268</v>
      </c>
      <c r="B202" s="4" t="s">
        <v>66</v>
      </c>
      <c r="C202" s="2" t="s">
        <v>356</v>
      </c>
      <c r="D202" s="6" t="s">
        <v>90</v>
      </c>
      <c r="E202" s="4" t="s">
        <v>357</v>
      </c>
      <c r="F202" s="4" t="s">
        <v>56</v>
      </c>
      <c r="H202" s="4">
        <f t="shared" si="6"/>
        <v>2</v>
      </c>
      <c r="I202" s="4">
        <v>2</v>
      </c>
      <c r="J202" s="4">
        <v>2</v>
      </c>
      <c r="K202" s="6" t="s">
        <v>373</v>
      </c>
      <c r="L202" s="1" t="s">
        <v>189</v>
      </c>
      <c r="M202" s="1">
        <v>2740</v>
      </c>
      <c r="N202" s="1">
        <v>1908</v>
      </c>
      <c r="O202" s="1">
        <v>327400</v>
      </c>
      <c r="P202" s="1">
        <v>319080</v>
      </c>
    </row>
    <row r="203" spans="1:16" ht="21" customHeight="1" x14ac:dyDescent="0.25">
      <c r="A203" s="3" t="s">
        <v>1268</v>
      </c>
      <c r="B203" s="4" t="s">
        <v>66</v>
      </c>
      <c r="C203" s="2" t="s">
        <v>65</v>
      </c>
      <c r="D203" s="6" t="s">
        <v>26</v>
      </c>
      <c r="E203" s="4" t="s">
        <v>245</v>
      </c>
      <c r="F203" s="4" t="s">
        <v>56</v>
      </c>
      <c r="H203" s="4">
        <f t="shared" si="6"/>
        <v>5</v>
      </c>
      <c r="I203" s="4">
        <v>5</v>
      </c>
      <c r="J203" s="4">
        <v>5</v>
      </c>
      <c r="K203" s="6" t="s">
        <v>336</v>
      </c>
      <c r="L203" s="1" t="s">
        <v>113</v>
      </c>
      <c r="M203" s="1">
        <v>218</v>
      </c>
      <c r="N203" s="1">
        <v>185</v>
      </c>
      <c r="O203" s="1">
        <v>321100</v>
      </c>
      <c r="P203" s="1">
        <v>219300</v>
      </c>
    </row>
    <row r="204" spans="1:16" ht="21" customHeight="1" x14ac:dyDescent="0.25">
      <c r="A204" s="3" t="s">
        <v>1268</v>
      </c>
      <c r="B204" s="4" t="s">
        <v>66</v>
      </c>
      <c r="C204" s="2" t="s">
        <v>242</v>
      </c>
      <c r="D204" s="6" t="s">
        <v>41</v>
      </c>
      <c r="E204" s="4" t="s">
        <v>244</v>
      </c>
      <c r="F204" s="4" t="s">
        <v>56</v>
      </c>
      <c r="H204" s="4">
        <f>SUM(G204,I204)</f>
        <v>1</v>
      </c>
      <c r="I204" s="4">
        <v>1</v>
      </c>
      <c r="J204" s="4">
        <v>1</v>
      </c>
      <c r="K204" s="6" t="s">
        <v>243</v>
      </c>
      <c r="L204" s="1" t="s">
        <v>113</v>
      </c>
      <c r="M204" s="1">
        <v>1505</v>
      </c>
      <c r="N204" s="1">
        <v>3156</v>
      </c>
      <c r="O204" s="1">
        <v>315050</v>
      </c>
      <c r="P204" s="1">
        <v>231560</v>
      </c>
    </row>
    <row r="205" spans="1:16" ht="21" customHeight="1" x14ac:dyDescent="0.25">
      <c r="A205" s="3" t="s">
        <v>1268</v>
      </c>
      <c r="B205" s="4" t="s">
        <v>66</v>
      </c>
      <c r="C205" s="2" t="s">
        <v>632</v>
      </c>
      <c r="D205" s="6" t="s">
        <v>616</v>
      </c>
      <c r="E205" s="4" t="s">
        <v>570</v>
      </c>
      <c r="F205" s="4" t="s">
        <v>56</v>
      </c>
      <c r="G205" s="4">
        <v>1</v>
      </c>
      <c r="H205" s="4">
        <f>SUM(G205,I205)</f>
        <v>2</v>
      </c>
      <c r="I205" s="4">
        <v>1</v>
      </c>
      <c r="J205" s="4">
        <v>2</v>
      </c>
      <c r="K205" s="6" t="s">
        <v>641</v>
      </c>
      <c r="L205" s="1" t="s">
        <v>189</v>
      </c>
      <c r="M205" s="1">
        <v>260</v>
      </c>
      <c r="N205" s="1">
        <v>49</v>
      </c>
      <c r="O205" s="1">
        <v>326000</v>
      </c>
      <c r="P205" s="1">
        <v>304900</v>
      </c>
    </row>
    <row r="206" spans="1:16" ht="21" customHeight="1" x14ac:dyDescent="0.25">
      <c r="A206" s="3" t="s">
        <v>1268</v>
      </c>
      <c r="B206" s="4" t="s">
        <v>66</v>
      </c>
      <c r="C206" s="2" t="s">
        <v>273</v>
      </c>
      <c r="D206" s="6" t="s">
        <v>41</v>
      </c>
      <c r="E206" s="4" t="s">
        <v>274</v>
      </c>
      <c r="F206" s="4" t="s">
        <v>56</v>
      </c>
      <c r="H206" s="4">
        <f t="shared" si="6"/>
        <v>2</v>
      </c>
      <c r="I206" s="4">
        <v>2</v>
      </c>
      <c r="J206" s="4">
        <v>2</v>
      </c>
      <c r="K206" s="6" t="s">
        <v>340</v>
      </c>
      <c r="L206" s="1" t="s">
        <v>113</v>
      </c>
      <c r="M206" s="1">
        <v>1819</v>
      </c>
      <c r="N206" s="1">
        <v>2905</v>
      </c>
      <c r="O206" s="1">
        <v>318190</v>
      </c>
      <c r="P206" s="1">
        <v>229050</v>
      </c>
    </row>
    <row r="207" spans="1:16" ht="21" customHeight="1" x14ac:dyDescent="0.25">
      <c r="A207" s="3" t="s">
        <v>1268</v>
      </c>
      <c r="B207" s="4" t="s">
        <v>778</v>
      </c>
      <c r="C207" s="2" t="s">
        <v>943</v>
      </c>
      <c r="D207" s="6" t="s">
        <v>151</v>
      </c>
      <c r="E207" s="4" t="s">
        <v>778</v>
      </c>
      <c r="F207" s="4" t="s">
        <v>933</v>
      </c>
      <c r="G207" s="4">
        <v>1</v>
      </c>
      <c r="H207" s="4">
        <f t="shared" si="6"/>
        <v>1</v>
      </c>
      <c r="J207" s="4">
        <v>1</v>
      </c>
      <c r="K207" s="6">
        <v>88</v>
      </c>
      <c r="L207" s="1" t="s">
        <v>781</v>
      </c>
      <c r="M207" s="1">
        <v>193</v>
      </c>
      <c r="N207" s="1">
        <v>268</v>
      </c>
      <c r="O207" s="1">
        <v>319300</v>
      </c>
      <c r="P207" s="1">
        <v>426800</v>
      </c>
    </row>
    <row r="208" spans="1:16" ht="21" customHeight="1" x14ac:dyDescent="0.25">
      <c r="A208" s="3" t="s">
        <v>1268</v>
      </c>
      <c r="B208" s="4" t="s">
        <v>269</v>
      </c>
      <c r="E208" s="4" t="s">
        <v>630</v>
      </c>
      <c r="F208" s="4" t="s">
        <v>11</v>
      </c>
      <c r="G208" s="4">
        <v>1</v>
      </c>
      <c r="H208" s="4">
        <f t="shared" ref="H208:H240" si="7">SUM(G208,I208)</f>
        <v>1</v>
      </c>
      <c r="J208" s="4">
        <v>1</v>
      </c>
      <c r="K208" s="6" t="s">
        <v>614</v>
      </c>
    </row>
    <row r="209" spans="1:11" ht="21" customHeight="1" x14ac:dyDescent="0.25">
      <c r="A209" s="3" t="s">
        <v>1268</v>
      </c>
      <c r="B209" s="8" t="s">
        <v>139</v>
      </c>
      <c r="C209" s="9"/>
      <c r="E209" s="4" t="s">
        <v>134</v>
      </c>
      <c r="F209" s="4" t="s">
        <v>11</v>
      </c>
      <c r="G209" s="4">
        <v>1</v>
      </c>
      <c r="H209" s="4">
        <f t="shared" si="7"/>
        <v>1</v>
      </c>
      <c r="J209" s="4">
        <v>2</v>
      </c>
      <c r="K209" s="6" t="s">
        <v>329</v>
      </c>
    </row>
    <row r="210" spans="1:11" ht="21" customHeight="1" x14ac:dyDescent="0.25">
      <c r="A210" s="3" t="s">
        <v>1268</v>
      </c>
      <c r="B210" s="8"/>
      <c r="C210" s="9" t="s">
        <v>416</v>
      </c>
      <c r="F210" s="4" t="s">
        <v>11</v>
      </c>
      <c r="G210" s="4">
        <v>2</v>
      </c>
      <c r="H210" s="4">
        <f t="shared" si="7"/>
        <v>2</v>
      </c>
      <c r="J210" s="4">
        <v>1</v>
      </c>
      <c r="K210" s="6" t="s">
        <v>414</v>
      </c>
    </row>
    <row r="211" spans="1:11" ht="21" customHeight="1" x14ac:dyDescent="0.25">
      <c r="A211" s="3" t="s">
        <v>1268</v>
      </c>
      <c r="B211" s="8" t="s">
        <v>269</v>
      </c>
      <c r="C211" s="9"/>
      <c r="F211" s="4" t="s">
        <v>11</v>
      </c>
      <c r="G211" s="4">
        <v>3</v>
      </c>
      <c r="H211" s="4">
        <f t="shared" si="7"/>
        <v>3</v>
      </c>
      <c r="J211" s="4">
        <v>3</v>
      </c>
      <c r="K211" s="6" t="s">
        <v>586</v>
      </c>
    </row>
    <row r="212" spans="1:11" ht="21" customHeight="1" x14ac:dyDescent="0.25">
      <c r="A212" s="3" t="s">
        <v>1268</v>
      </c>
      <c r="B212" s="4" t="s">
        <v>269</v>
      </c>
      <c r="C212" s="2" t="s">
        <v>514</v>
      </c>
      <c r="D212" s="6" t="s">
        <v>18</v>
      </c>
      <c r="E212" s="4" t="s">
        <v>515</v>
      </c>
      <c r="F212" s="4" t="s">
        <v>11</v>
      </c>
      <c r="G212" s="4">
        <v>1</v>
      </c>
      <c r="H212" s="4">
        <f t="shared" si="7"/>
        <v>1</v>
      </c>
      <c r="J212" s="4">
        <v>1</v>
      </c>
      <c r="K212" s="6" t="s">
        <v>516</v>
      </c>
    </row>
    <row r="213" spans="1:11" ht="21" customHeight="1" x14ac:dyDescent="0.25">
      <c r="A213" s="3" t="s">
        <v>1268</v>
      </c>
      <c r="B213" s="4" t="s">
        <v>42</v>
      </c>
      <c r="C213" s="2" t="s">
        <v>42</v>
      </c>
      <c r="F213" s="4" t="s">
        <v>11</v>
      </c>
      <c r="G213" s="4">
        <v>4</v>
      </c>
      <c r="H213" s="4">
        <f t="shared" si="7"/>
        <v>4</v>
      </c>
      <c r="J213" s="4">
        <v>4</v>
      </c>
      <c r="K213" s="6" t="s">
        <v>560</v>
      </c>
    </row>
    <row r="214" spans="1:11" ht="21" customHeight="1" x14ac:dyDescent="0.25">
      <c r="A214" s="3" t="s">
        <v>1268</v>
      </c>
      <c r="B214" s="4" t="s">
        <v>10</v>
      </c>
      <c r="E214" s="4" t="s">
        <v>326</v>
      </c>
      <c r="F214" s="4" t="s">
        <v>11</v>
      </c>
      <c r="G214" s="4">
        <v>5</v>
      </c>
      <c r="H214" s="4">
        <f t="shared" si="7"/>
        <v>5</v>
      </c>
      <c r="J214" s="4">
        <v>5</v>
      </c>
      <c r="K214" s="6" t="s">
        <v>644</v>
      </c>
    </row>
    <row r="215" spans="1:11" ht="21" customHeight="1" x14ac:dyDescent="0.25">
      <c r="A215" s="3" t="s">
        <v>1268</v>
      </c>
      <c r="B215" s="4" t="s">
        <v>68</v>
      </c>
      <c r="C215" s="2" t="s">
        <v>68</v>
      </c>
      <c r="E215" s="4" t="s">
        <v>70</v>
      </c>
      <c r="F215" s="4" t="s">
        <v>11</v>
      </c>
      <c r="G215" s="4">
        <v>3</v>
      </c>
      <c r="H215" s="4">
        <f t="shared" si="7"/>
        <v>3</v>
      </c>
      <c r="J215" s="4">
        <v>3</v>
      </c>
      <c r="K215" s="6" t="s">
        <v>369</v>
      </c>
    </row>
    <row r="216" spans="1:11" ht="21" customHeight="1" x14ac:dyDescent="0.25">
      <c r="A216" s="3" t="s">
        <v>1268</v>
      </c>
      <c r="B216" s="4" t="s">
        <v>209</v>
      </c>
      <c r="F216" s="4" t="s">
        <v>11</v>
      </c>
      <c r="G216" s="4">
        <v>1</v>
      </c>
      <c r="H216" s="4">
        <f t="shared" si="7"/>
        <v>1</v>
      </c>
      <c r="J216" s="4">
        <v>1</v>
      </c>
      <c r="K216" s="6" t="s">
        <v>322</v>
      </c>
    </row>
    <row r="217" spans="1:11" ht="21" customHeight="1" x14ac:dyDescent="0.25">
      <c r="A217" s="3" t="s">
        <v>1268</v>
      </c>
      <c r="B217" s="4" t="s">
        <v>328</v>
      </c>
      <c r="F217" s="4" t="s">
        <v>11</v>
      </c>
      <c r="G217" s="4">
        <v>2</v>
      </c>
      <c r="H217" s="4">
        <f t="shared" si="7"/>
        <v>2</v>
      </c>
      <c r="J217" s="4">
        <v>2</v>
      </c>
      <c r="K217" s="6" t="s">
        <v>417</v>
      </c>
    </row>
    <row r="218" spans="1:11" ht="21" customHeight="1" x14ac:dyDescent="0.25">
      <c r="A218" s="3" t="s">
        <v>1268</v>
      </c>
      <c r="B218" s="4" t="s">
        <v>62</v>
      </c>
      <c r="F218" s="4" t="s">
        <v>11</v>
      </c>
      <c r="G218" s="4">
        <v>1</v>
      </c>
      <c r="H218" s="4">
        <f t="shared" si="7"/>
        <v>1</v>
      </c>
      <c r="J218" s="4">
        <v>1</v>
      </c>
      <c r="K218" s="6" t="s">
        <v>284</v>
      </c>
    </row>
    <row r="219" spans="1:11" ht="21" customHeight="1" x14ac:dyDescent="0.25">
      <c r="A219" s="3" t="s">
        <v>1268</v>
      </c>
      <c r="B219" s="4" t="s">
        <v>22</v>
      </c>
      <c r="C219" s="2" t="s">
        <v>22</v>
      </c>
      <c r="E219" s="4" t="s">
        <v>22</v>
      </c>
      <c r="F219" s="4" t="s">
        <v>11</v>
      </c>
      <c r="G219" s="4">
        <v>1</v>
      </c>
      <c r="H219" s="4">
        <f t="shared" si="7"/>
        <v>1</v>
      </c>
      <c r="J219" s="4">
        <v>1</v>
      </c>
      <c r="K219" s="6" t="s">
        <v>173</v>
      </c>
    </row>
    <row r="220" spans="1:11" ht="18.75" customHeight="1" x14ac:dyDescent="0.25">
      <c r="A220" s="3" t="s">
        <v>1268</v>
      </c>
      <c r="B220" s="4" t="s">
        <v>93</v>
      </c>
      <c r="F220" s="4" t="s">
        <v>11</v>
      </c>
      <c r="G220" s="4">
        <v>2</v>
      </c>
      <c r="H220" s="4">
        <f t="shared" si="7"/>
        <v>2</v>
      </c>
      <c r="J220" s="4">
        <v>2</v>
      </c>
      <c r="K220" s="6" t="s">
        <v>564</v>
      </c>
    </row>
    <row r="221" spans="1:11" ht="18.75" customHeight="1" x14ac:dyDescent="0.25">
      <c r="A221" s="3" t="s">
        <v>1268</v>
      </c>
      <c r="B221" s="4" t="s">
        <v>93</v>
      </c>
      <c r="C221" s="2" t="s">
        <v>160</v>
      </c>
      <c r="E221" s="4" t="s">
        <v>160</v>
      </c>
      <c r="F221" s="4" t="s">
        <v>11</v>
      </c>
      <c r="G221" s="4">
        <v>4</v>
      </c>
      <c r="H221" s="4">
        <f>SUM(G221,I221)</f>
        <v>4</v>
      </c>
      <c r="J221" s="4">
        <v>4</v>
      </c>
      <c r="K221" s="6" t="s">
        <v>350</v>
      </c>
    </row>
    <row r="222" spans="1:11" ht="21" customHeight="1" x14ac:dyDescent="0.25">
      <c r="A222" s="3" t="s">
        <v>1268</v>
      </c>
      <c r="B222" s="4" t="s">
        <v>24</v>
      </c>
      <c r="C222" s="2" t="s">
        <v>24</v>
      </c>
      <c r="F222" s="4" t="s">
        <v>11</v>
      </c>
      <c r="G222" s="4">
        <v>9</v>
      </c>
      <c r="H222" s="4">
        <f t="shared" si="7"/>
        <v>9</v>
      </c>
      <c r="J222" s="4">
        <v>9</v>
      </c>
      <c r="K222" s="6" t="s">
        <v>536</v>
      </c>
    </row>
    <row r="223" spans="1:11" ht="21" customHeight="1" x14ac:dyDescent="0.25">
      <c r="A223" s="3" t="s">
        <v>1268</v>
      </c>
      <c r="C223" s="9" t="s">
        <v>48</v>
      </c>
      <c r="F223" s="4" t="s">
        <v>11</v>
      </c>
      <c r="G223" s="4">
        <v>6</v>
      </c>
      <c r="H223" s="4">
        <f t="shared" si="7"/>
        <v>6</v>
      </c>
      <c r="J223" s="4">
        <v>6</v>
      </c>
      <c r="K223" s="6" t="s">
        <v>654</v>
      </c>
    </row>
    <row r="224" spans="1:11" ht="21" customHeight="1" x14ac:dyDescent="0.25">
      <c r="A224" s="3" t="s">
        <v>1268</v>
      </c>
      <c r="B224" s="4" t="s">
        <v>50</v>
      </c>
      <c r="C224" s="9" t="s">
        <v>49</v>
      </c>
      <c r="F224" s="4" t="s">
        <v>11</v>
      </c>
      <c r="G224" s="4">
        <v>2</v>
      </c>
      <c r="H224" s="4">
        <f t="shared" si="7"/>
        <v>2</v>
      </c>
      <c r="J224" s="4">
        <v>2</v>
      </c>
      <c r="K224" s="6" t="s">
        <v>655</v>
      </c>
    </row>
    <row r="225" spans="1:11" ht="21" customHeight="1" x14ac:dyDescent="0.25">
      <c r="A225" s="3" t="s">
        <v>1268</v>
      </c>
      <c r="B225" s="4" t="s">
        <v>53</v>
      </c>
      <c r="C225" s="9" t="s">
        <v>51</v>
      </c>
      <c r="F225" s="4" t="s">
        <v>11</v>
      </c>
      <c r="G225" s="4">
        <v>1</v>
      </c>
      <c r="H225" s="4">
        <f t="shared" si="7"/>
        <v>1</v>
      </c>
      <c r="J225" s="4">
        <v>1</v>
      </c>
      <c r="K225" s="6" t="s">
        <v>44</v>
      </c>
    </row>
    <row r="226" spans="1:11" ht="21" customHeight="1" x14ac:dyDescent="0.25">
      <c r="A226" s="3" t="s">
        <v>1268</v>
      </c>
      <c r="B226" s="4" t="s">
        <v>54</v>
      </c>
      <c r="C226" s="9" t="s">
        <v>52</v>
      </c>
      <c r="F226" s="4" t="s">
        <v>11</v>
      </c>
      <c r="G226" s="4">
        <v>2</v>
      </c>
      <c r="H226" s="4">
        <f t="shared" si="7"/>
        <v>2</v>
      </c>
      <c r="J226" s="4">
        <v>2</v>
      </c>
      <c r="K226" s="6" t="s">
        <v>587</v>
      </c>
    </row>
    <row r="227" spans="1:11" ht="21" customHeight="1" x14ac:dyDescent="0.25">
      <c r="A227" s="3" t="s">
        <v>1268</v>
      </c>
      <c r="C227" s="9" t="s">
        <v>11</v>
      </c>
      <c r="F227" s="4" t="s">
        <v>11</v>
      </c>
      <c r="G227" s="4">
        <v>3</v>
      </c>
      <c r="H227" s="4">
        <f t="shared" si="7"/>
        <v>3</v>
      </c>
      <c r="J227" s="4">
        <v>3</v>
      </c>
      <c r="K227" s="6" t="s">
        <v>651</v>
      </c>
    </row>
    <row r="228" spans="1:11" ht="21" customHeight="1" x14ac:dyDescent="0.25">
      <c r="A228" s="3" t="s">
        <v>1268</v>
      </c>
      <c r="B228" s="4" t="s">
        <v>186</v>
      </c>
      <c r="F228" s="4" t="s">
        <v>56</v>
      </c>
      <c r="G228" s="4">
        <v>1</v>
      </c>
      <c r="H228" s="4">
        <f t="shared" si="7"/>
        <v>1</v>
      </c>
      <c r="J228" s="4">
        <v>1</v>
      </c>
      <c r="K228" s="6" t="s">
        <v>31</v>
      </c>
    </row>
    <row r="229" spans="1:11" ht="21" customHeight="1" x14ac:dyDescent="0.25">
      <c r="A229" s="3" t="s">
        <v>1268</v>
      </c>
      <c r="B229" s="4" t="s">
        <v>161</v>
      </c>
      <c r="C229" s="2" t="s">
        <v>301</v>
      </c>
      <c r="E229" s="4" t="s">
        <v>254</v>
      </c>
      <c r="F229" s="4" t="s">
        <v>56</v>
      </c>
      <c r="G229" s="4">
        <v>1</v>
      </c>
      <c r="H229" s="4">
        <f t="shared" si="7"/>
        <v>1</v>
      </c>
      <c r="J229" s="4">
        <v>1</v>
      </c>
      <c r="K229" s="6" t="s">
        <v>136</v>
      </c>
    </row>
    <row r="230" spans="1:11" ht="21" customHeight="1" x14ac:dyDescent="0.25">
      <c r="A230" s="3" t="s">
        <v>1268</v>
      </c>
      <c r="C230" s="9" t="s">
        <v>56</v>
      </c>
      <c r="F230" s="4" t="s">
        <v>56</v>
      </c>
      <c r="G230" s="4">
        <v>13</v>
      </c>
      <c r="H230" s="4">
        <f t="shared" si="7"/>
        <v>13</v>
      </c>
      <c r="J230" s="4">
        <v>10</v>
      </c>
      <c r="K230" s="6" t="s">
        <v>652</v>
      </c>
    </row>
    <row r="231" spans="1:11" ht="21" customHeight="1" x14ac:dyDescent="0.25">
      <c r="A231" s="3" t="s">
        <v>1268</v>
      </c>
      <c r="C231" s="9" t="s">
        <v>629</v>
      </c>
      <c r="F231" s="4" t="s">
        <v>56</v>
      </c>
      <c r="G231" s="4">
        <v>1</v>
      </c>
      <c r="H231" s="4">
        <f t="shared" si="7"/>
        <v>1</v>
      </c>
      <c r="J231" s="4">
        <v>1</v>
      </c>
      <c r="K231" s="6" t="s">
        <v>614</v>
      </c>
    </row>
    <row r="232" spans="1:11" ht="21" customHeight="1" x14ac:dyDescent="0.25">
      <c r="A232" s="3" t="s">
        <v>1268</v>
      </c>
      <c r="C232" s="9" t="s">
        <v>371</v>
      </c>
      <c r="F232" s="4" t="s">
        <v>56</v>
      </c>
      <c r="G232" s="4">
        <v>2</v>
      </c>
      <c r="H232" s="4">
        <f t="shared" si="7"/>
        <v>2</v>
      </c>
      <c r="J232" s="4">
        <v>2</v>
      </c>
      <c r="K232" s="6" t="s">
        <v>576</v>
      </c>
    </row>
    <row r="233" spans="1:11" ht="21" customHeight="1" x14ac:dyDescent="0.25">
      <c r="A233" s="3" t="s">
        <v>1268</v>
      </c>
      <c r="C233" s="9" t="s">
        <v>334</v>
      </c>
      <c r="F233" s="4" t="s">
        <v>56</v>
      </c>
      <c r="G233" s="4">
        <v>1</v>
      </c>
      <c r="H233" s="4">
        <f t="shared" si="7"/>
        <v>1</v>
      </c>
      <c r="J233" s="4">
        <v>1</v>
      </c>
      <c r="K233" s="6" t="s">
        <v>335</v>
      </c>
    </row>
    <row r="234" spans="1:11" ht="21" customHeight="1" x14ac:dyDescent="0.25">
      <c r="A234" s="3" t="s">
        <v>1268</v>
      </c>
      <c r="C234" s="9" t="s">
        <v>253</v>
      </c>
      <c r="F234" s="4" t="s">
        <v>56</v>
      </c>
      <c r="G234" s="4">
        <v>1</v>
      </c>
      <c r="H234" s="4">
        <f t="shared" si="7"/>
        <v>1</v>
      </c>
      <c r="J234" s="4">
        <v>1</v>
      </c>
      <c r="K234" s="6" t="s">
        <v>252</v>
      </c>
    </row>
    <row r="235" spans="1:11" ht="21" customHeight="1" x14ac:dyDescent="0.25">
      <c r="A235" s="3" t="s">
        <v>1268</v>
      </c>
      <c r="C235" s="9" t="s">
        <v>254</v>
      </c>
      <c r="F235" s="4" t="s">
        <v>56</v>
      </c>
      <c r="G235" s="4">
        <v>9</v>
      </c>
      <c r="H235" s="4">
        <f t="shared" si="7"/>
        <v>9</v>
      </c>
      <c r="J235" s="4">
        <v>7</v>
      </c>
      <c r="K235" s="6" t="s">
        <v>635</v>
      </c>
    </row>
    <row r="236" spans="1:11" ht="21" customHeight="1" x14ac:dyDescent="0.25">
      <c r="A236" s="3" t="s">
        <v>1268</v>
      </c>
      <c r="C236" s="9" t="s">
        <v>451</v>
      </c>
      <c r="F236" s="4" t="s">
        <v>56</v>
      </c>
      <c r="G236" s="4">
        <v>1</v>
      </c>
      <c r="H236" s="4">
        <f t="shared" si="7"/>
        <v>1</v>
      </c>
      <c r="J236" s="4">
        <v>1</v>
      </c>
      <c r="K236" s="6" t="s">
        <v>414</v>
      </c>
    </row>
    <row r="237" spans="1:11" ht="21" customHeight="1" x14ac:dyDescent="0.25">
      <c r="A237" s="3" t="s">
        <v>1268</v>
      </c>
      <c r="B237" s="4" t="s">
        <v>57</v>
      </c>
      <c r="C237" s="9" t="s">
        <v>305</v>
      </c>
      <c r="E237" s="6" t="s">
        <v>306</v>
      </c>
      <c r="F237" s="4" t="s">
        <v>56</v>
      </c>
      <c r="G237" s="4">
        <v>3</v>
      </c>
      <c r="H237" s="4">
        <f t="shared" si="7"/>
        <v>3</v>
      </c>
      <c r="J237" s="4">
        <v>3</v>
      </c>
      <c r="K237" s="6" t="s">
        <v>480</v>
      </c>
    </row>
    <row r="238" spans="1:11" ht="21" customHeight="1" x14ac:dyDescent="0.25">
      <c r="A238" s="3" t="s">
        <v>1268</v>
      </c>
      <c r="C238" s="9" t="s">
        <v>35</v>
      </c>
      <c r="F238" s="4" t="s">
        <v>35</v>
      </c>
      <c r="G238" s="4">
        <v>9</v>
      </c>
      <c r="H238" s="4">
        <f t="shared" si="7"/>
        <v>9</v>
      </c>
      <c r="J238" s="4">
        <v>7</v>
      </c>
      <c r="K238" s="6" t="s">
        <v>653</v>
      </c>
    </row>
    <row r="239" spans="1:11" ht="21" customHeight="1" x14ac:dyDescent="0.25">
      <c r="A239" s="3" t="s">
        <v>1268</v>
      </c>
      <c r="B239" s="4" t="s">
        <v>249</v>
      </c>
      <c r="D239" s="6" t="s">
        <v>465</v>
      </c>
      <c r="E239" s="4" t="s">
        <v>464</v>
      </c>
      <c r="F239" s="4" t="s">
        <v>35</v>
      </c>
      <c r="G239" s="4">
        <v>1</v>
      </c>
      <c r="H239" s="4">
        <f t="shared" si="7"/>
        <v>1</v>
      </c>
      <c r="J239" s="4">
        <v>1</v>
      </c>
      <c r="K239" s="6" t="s">
        <v>466</v>
      </c>
    </row>
    <row r="240" spans="1:11" ht="21" customHeight="1" x14ac:dyDescent="0.25">
      <c r="A240" s="3" t="s">
        <v>1268</v>
      </c>
      <c r="C240" s="9" t="s">
        <v>255</v>
      </c>
      <c r="F240" s="4" t="s">
        <v>11</v>
      </c>
      <c r="G240" s="4">
        <v>4</v>
      </c>
      <c r="H240" s="4">
        <f t="shared" si="7"/>
        <v>4</v>
      </c>
      <c r="J240" s="4">
        <v>4</v>
      </c>
      <c r="K240" s="6" t="s">
        <v>435</v>
      </c>
    </row>
    <row r="241" spans="1:11" ht="21" customHeight="1" x14ac:dyDescent="0.25">
      <c r="A241" s="3" t="s">
        <v>1268</v>
      </c>
      <c r="C241" s="9" t="s">
        <v>256</v>
      </c>
      <c r="E241" s="6" t="s">
        <v>258</v>
      </c>
      <c r="F241" s="4" t="s">
        <v>35</v>
      </c>
      <c r="G241" s="4">
        <v>8</v>
      </c>
      <c r="H241" s="4">
        <f t="shared" ref="H241:H270" si="8">SUM(G241,I241)</f>
        <v>8</v>
      </c>
      <c r="J241" s="4">
        <v>5</v>
      </c>
      <c r="K241" s="6" t="s">
        <v>424</v>
      </c>
    </row>
    <row r="242" spans="1:11" ht="21" customHeight="1" x14ac:dyDescent="0.25">
      <c r="A242" s="3" t="s">
        <v>1268</v>
      </c>
      <c r="C242" s="9" t="s">
        <v>307</v>
      </c>
      <c r="E242" s="6"/>
      <c r="F242" s="4" t="s">
        <v>35</v>
      </c>
      <c r="G242" s="4">
        <v>4</v>
      </c>
      <c r="H242" s="4">
        <f t="shared" si="8"/>
        <v>4</v>
      </c>
      <c r="J242" s="4">
        <v>2</v>
      </c>
      <c r="K242" s="6" t="s">
        <v>425</v>
      </c>
    </row>
    <row r="243" spans="1:11" ht="21" customHeight="1" x14ac:dyDescent="0.25">
      <c r="A243" s="3" t="s">
        <v>1268</v>
      </c>
      <c r="C243" s="9" t="s">
        <v>257</v>
      </c>
      <c r="F243" s="4" t="s">
        <v>35</v>
      </c>
      <c r="G243" s="4">
        <v>11</v>
      </c>
      <c r="H243" s="4">
        <f t="shared" si="8"/>
        <v>11</v>
      </c>
      <c r="J243" s="4">
        <v>10</v>
      </c>
      <c r="K243" s="6" t="s">
        <v>588</v>
      </c>
    </row>
    <row r="244" spans="1:11" ht="21" customHeight="1" x14ac:dyDescent="0.25">
      <c r="A244" s="3" t="s">
        <v>1268</v>
      </c>
      <c r="C244" s="9" t="s">
        <v>471</v>
      </c>
      <c r="E244" s="4" t="s">
        <v>86</v>
      </c>
      <c r="F244" s="4" t="s">
        <v>35</v>
      </c>
      <c r="G244" s="4">
        <v>2</v>
      </c>
      <c r="H244" s="4">
        <f t="shared" si="8"/>
        <v>2</v>
      </c>
      <c r="J244" s="4">
        <v>2</v>
      </c>
      <c r="K244" s="6" t="s">
        <v>579</v>
      </c>
    </row>
    <row r="245" spans="1:11" ht="22.5" customHeight="1" x14ac:dyDescent="0.25">
      <c r="A245" s="3" t="s">
        <v>1268</v>
      </c>
      <c r="C245" s="9" t="s">
        <v>296</v>
      </c>
      <c r="F245" s="4" t="s">
        <v>11</v>
      </c>
      <c r="G245" s="4">
        <v>5</v>
      </c>
      <c r="H245" s="4">
        <f t="shared" si="8"/>
        <v>5</v>
      </c>
      <c r="J245" s="4">
        <v>5</v>
      </c>
      <c r="K245" s="6" t="s">
        <v>603</v>
      </c>
    </row>
    <row r="246" spans="1:11" ht="21" customHeight="1" x14ac:dyDescent="0.25">
      <c r="A246" s="3" t="s">
        <v>1268</v>
      </c>
      <c r="B246" s="8" t="s">
        <v>327</v>
      </c>
      <c r="F246" s="4" t="s">
        <v>11</v>
      </c>
      <c r="G246" s="4">
        <v>5</v>
      </c>
      <c r="H246" s="4">
        <f t="shared" si="8"/>
        <v>5</v>
      </c>
      <c r="J246" s="4">
        <v>5</v>
      </c>
      <c r="K246" s="6" t="s">
        <v>563</v>
      </c>
    </row>
    <row r="247" spans="1:11" ht="21" customHeight="1" x14ac:dyDescent="0.25">
      <c r="A247" s="3" t="s">
        <v>1268</v>
      </c>
      <c r="C247" s="10" t="s">
        <v>489</v>
      </c>
      <c r="F247" s="4" t="s">
        <v>874</v>
      </c>
      <c r="G247" s="4">
        <v>2</v>
      </c>
      <c r="H247" s="4">
        <f t="shared" si="8"/>
        <v>2</v>
      </c>
      <c r="J247" s="4">
        <v>2</v>
      </c>
      <c r="K247" s="6" t="s">
        <v>504</v>
      </c>
    </row>
    <row r="248" spans="1:11" ht="21" customHeight="1" x14ac:dyDescent="0.25">
      <c r="A248" s="3" t="s">
        <v>1268</v>
      </c>
      <c r="C248" s="9" t="s">
        <v>259</v>
      </c>
      <c r="F248" s="4" t="s">
        <v>11</v>
      </c>
      <c r="G248" s="4">
        <v>7</v>
      </c>
      <c r="H248" s="4">
        <f t="shared" si="8"/>
        <v>7</v>
      </c>
      <c r="J248" s="4">
        <v>7</v>
      </c>
      <c r="K248" s="6" t="s">
        <v>473</v>
      </c>
    </row>
    <row r="249" spans="1:11" ht="21" customHeight="1" x14ac:dyDescent="0.25">
      <c r="A249" s="3" t="s">
        <v>1268</v>
      </c>
      <c r="C249" s="9" t="s">
        <v>260</v>
      </c>
      <c r="F249" s="4" t="s">
        <v>35</v>
      </c>
      <c r="G249" s="4">
        <v>5</v>
      </c>
      <c r="H249" s="4">
        <f t="shared" si="8"/>
        <v>5</v>
      </c>
      <c r="J249" s="4">
        <v>5</v>
      </c>
      <c r="K249" s="6" t="s">
        <v>490</v>
      </c>
    </row>
    <row r="250" spans="1:11" ht="21" customHeight="1" x14ac:dyDescent="0.25">
      <c r="A250" s="3" t="s">
        <v>1268</v>
      </c>
      <c r="C250" s="9" t="s">
        <v>295</v>
      </c>
      <c r="F250" s="4" t="s">
        <v>11</v>
      </c>
      <c r="G250" s="4">
        <v>9</v>
      </c>
      <c r="H250" s="4">
        <f t="shared" si="8"/>
        <v>9</v>
      </c>
      <c r="J250" s="4">
        <v>7</v>
      </c>
      <c r="K250" s="6" t="s">
        <v>604</v>
      </c>
    </row>
    <row r="251" spans="1:11" ht="21" customHeight="1" x14ac:dyDescent="0.25">
      <c r="A251" s="3" t="s">
        <v>1268</v>
      </c>
      <c r="C251" s="9" t="s">
        <v>351</v>
      </c>
      <c r="F251" s="4" t="s">
        <v>11</v>
      </c>
      <c r="G251" s="4">
        <v>10</v>
      </c>
      <c r="H251" s="4">
        <f t="shared" si="8"/>
        <v>10</v>
      </c>
      <c r="J251" s="4">
        <v>8</v>
      </c>
      <c r="K251" s="6" t="s">
        <v>352</v>
      </c>
    </row>
    <row r="252" spans="1:11" ht="21" customHeight="1" x14ac:dyDescent="0.25">
      <c r="A252" s="3" t="s">
        <v>1268</v>
      </c>
      <c r="C252" s="9" t="s">
        <v>266</v>
      </c>
      <c r="F252" s="4" t="s">
        <v>11</v>
      </c>
      <c r="G252" s="4">
        <v>34</v>
      </c>
      <c r="H252" s="4">
        <f t="shared" si="8"/>
        <v>34</v>
      </c>
      <c r="J252" s="4">
        <v>23</v>
      </c>
      <c r="K252" s="6" t="s">
        <v>562</v>
      </c>
    </row>
    <row r="253" spans="1:11" ht="21" customHeight="1" x14ac:dyDescent="0.25">
      <c r="A253" s="3" t="s">
        <v>1268</v>
      </c>
      <c r="C253" s="9" t="s">
        <v>543</v>
      </c>
      <c r="F253" s="4" t="s">
        <v>11</v>
      </c>
      <c r="G253" s="4">
        <v>2</v>
      </c>
      <c r="H253" s="4">
        <f t="shared" si="8"/>
        <v>2</v>
      </c>
      <c r="J253" s="4">
        <v>2</v>
      </c>
      <c r="K253" s="6" t="s">
        <v>561</v>
      </c>
    </row>
    <row r="254" spans="1:11" ht="21" customHeight="1" x14ac:dyDescent="0.25">
      <c r="A254" s="3" t="s">
        <v>1268</v>
      </c>
      <c r="C254" s="9" t="s">
        <v>558</v>
      </c>
      <c r="F254" s="4" t="s">
        <v>11</v>
      </c>
      <c r="G254" s="4">
        <v>2</v>
      </c>
      <c r="H254" s="4">
        <f t="shared" si="8"/>
        <v>2</v>
      </c>
      <c r="J254" s="4">
        <v>1</v>
      </c>
      <c r="K254" s="6" t="s">
        <v>559</v>
      </c>
    </row>
    <row r="255" spans="1:11" ht="21" customHeight="1" x14ac:dyDescent="0.25">
      <c r="A255" s="3" t="s">
        <v>1268</v>
      </c>
      <c r="C255" s="2" t="s">
        <v>265</v>
      </c>
      <c r="F255" s="4" t="s">
        <v>874</v>
      </c>
      <c r="G255" s="4">
        <v>17</v>
      </c>
      <c r="H255" s="4">
        <f t="shared" si="8"/>
        <v>17</v>
      </c>
      <c r="J255" s="4">
        <v>13</v>
      </c>
      <c r="K255" s="6" t="s">
        <v>633</v>
      </c>
    </row>
    <row r="256" spans="1:11" ht="21" customHeight="1" x14ac:dyDescent="0.25">
      <c r="A256" s="3" t="s">
        <v>1268</v>
      </c>
      <c r="C256" s="9" t="s">
        <v>303</v>
      </c>
      <c r="F256" s="4" t="s">
        <v>11</v>
      </c>
      <c r="G256" s="4">
        <v>4</v>
      </c>
      <c r="H256" s="4">
        <f t="shared" si="8"/>
        <v>4</v>
      </c>
      <c r="J256" s="4">
        <v>4</v>
      </c>
      <c r="K256" s="6" t="s">
        <v>333</v>
      </c>
    </row>
    <row r="257" spans="1:17" ht="21" customHeight="1" x14ac:dyDescent="0.25">
      <c r="A257" s="3" t="s">
        <v>1268</v>
      </c>
      <c r="C257" s="2" t="s">
        <v>302</v>
      </c>
      <c r="F257" s="4" t="s">
        <v>35</v>
      </c>
      <c r="G257" s="4">
        <v>10</v>
      </c>
      <c r="H257" s="4">
        <f t="shared" si="8"/>
        <v>10</v>
      </c>
      <c r="J257" s="4">
        <v>8</v>
      </c>
      <c r="K257" s="6" t="s">
        <v>634</v>
      </c>
    </row>
    <row r="258" spans="1:17" ht="21" customHeight="1" x14ac:dyDescent="0.25">
      <c r="A258" s="3" t="s">
        <v>1268</v>
      </c>
      <c r="C258" s="9" t="s">
        <v>321</v>
      </c>
      <c r="F258" s="4" t="s">
        <v>11</v>
      </c>
      <c r="G258" s="4">
        <v>3</v>
      </c>
      <c r="H258" s="4">
        <f t="shared" si="8"/>
        <v>3</v>
      </c>
      <c r="J258" s="4">
        <v>3</v>
      </c>
      <c r="K258" s="6" t="s">
        <v>660</v>
      </c>
    </row>
    <row r="259" spans="1:17" ht="21" customHeight="1" x14ac:dyDescent="0.25">
      <c r="A259" s="3" t="s">
        <v>1268</v>
      </c>
      <c r="C259" s="9" t="s">
        <v>73</v>
      </c>
      <c r="E259" s="4" t="s">
        <v>73</v>
      </c>
      <c r="F259" s="4" t="s">
        <v>11</v>
      </c>
      <c r="G259" s="4">
        <v>3</v>
      </c>
      <c r="H259" s="4">
        <f t="shared" si="8"/>
        <v>3</v>
      </c>
      <c r="J259" s="4">
        <v>3</v>
      </c>
      <c r="K259" s="6" t="s">
        <v>646</v>
      </c>
    </row>
    <row r="260" spans="1:17" ht="21" customHeight="1" x14ac:dyDescent="0.25">
      <c r="A260" s="3" t="s">
        <v>1268</v>
      </c>
      <c r="C260" s="9" t="s">
        <v>72</v>
      </c>
      <c r="E260" s="4" t="s">
        <v>73</v>
      </c>
      <c r="F260" s="4" t="s">
        <v>11</v>
      </c>
      <c r="G260" s="4">
        <v>1</v>
      </c>
      <c r="H260" s="4">
        <f t="shared" si="8"/>
        <v>1</v>
      </c>
      <c r="J260" s="4">
        <v>1</v>
      </c>
      <c r="K260" s="6" t="s">
        <v>74</v>
      </c>
    </row>
    <row r="261" spans="1:17" ht="21" customHeight="1" x14ac:dyDescent="0.25">
      <c r="A261" s="3" t="s">
        <v>1268</v>
      </c>
      <c r="B261" s="8" t="s">
        <v>76</v>
      </c>
      <c r="E261" s="4" t="s">
        <v>281</v>
      </c>
      <c r="F261" s="4" t="s">
        <v>11</v>
      </c>
      <c r="G261" s="4">
        <v>2</v>
      </c>
      <c r="H261" s="4">
        <f t="shared" si="8"/>
        <v>2</v>
      </c>
      <c r="J261" s="4">
        <v>2</v>
      </c>
      <c r="K261" s="6" t="s">
        <v>288</v>
      </c>
    </row>
    <row r="262" spans="1:17" ht="21" customHeight="1" x14ac:dyDescent="0.25">
      <c r="A262" s="3" t="s">
        <v>1268</v>
      </c>
      <c r="C262" s="9" t="s">
        <v>282</v>
      </c>
      <c r="E262" s="4" t="s">
        <v>283</v>
      </c>
      <c r="F262" s="4" t="s">
        <v>11</v>
      </c>
      <c r="G262" s="4">
        <v>1</v>
      </c>
      <c r="H262" s="4">
        <f t="shared" si="8"/>
        <v>1</v>
      </c>
      <c r="J262" s="4">
        <v>1</v>
      </c>
      <c r="K262" s="6" t="s">
        <v>32</v>
      </c>
    </row>
    <row r="263" spans="1:17" ht="21" customHeight="1" x14ac:dyDescent="0.25">
      <c r="A263" s="3" t="s">
        <v>1268</v>
      </c>
      <c r="C263" s="9" t="s">
        <v>304</v>
      </c>
      <c r="F263" s="4" t="s">
        <v>11</v>
      </c>
      <c r="G263" s="4">
        <v>1</v>
      </c>
      <c r="H263" s="4">
        <f t="shared" si="8"/>
        <v>1</v>
      </c>
      <c r="J263" s="4">
        <v>1</v>
      </c>
      <c r="K263" s="6" t="s">
        <v>217</v>
      </c>
    </row>
    <row r="264" spans="1:17" ht="21" customHeight="1" x14ac:dyDescent="0.25">
      <c r="A264" s="3" t="s">
        <v>1268</v>
      </c>
      <c r="C264" s="9" t="s">
        <v>21</v>
      </c>
      <c r="E264" s="4" t="s">
        <v>21</v>
      </c>
      <c r="F264" s="4" t="s">
        <v>11</v>
      </c>
      <c r="G264" s="4">
        <v>18</v>
      </c>
      <c r="H264" s="4">
        <f t="shared" si="8"/>
        <v>18</v>
      </c>
      <c r="J264" s="4">
        <v>11</v>
      </c>
      <c r="K264" s="6" t="s">
        <v>582</v>
      </c>
    </row>
    <row r="265" spans="1:17" ht="21" customHeight="1" x14ac:dyDescent="0.25">
      <c r="A265" s="3" t="s">
        <v>1268</v>
      </c>
      <c r="C265" s="9" t="s">
        <v>656</v>
      </c>
      <c r="F265" s="4" t="s">
        <v>11</v>
      </c>
      <c r="G265" s="4">
        <v>1</v>
      </c>
      <c r="H265" s="4">
        <f t="shared" si="8"/>
        <v>1</v>
      </c>
      <c r="J265" s="4">
        <v>1</v>
      </c>
      <c r="K265" s="6" t="s">
        <v>657</v>
      </c>
    </row>
    <row r="266" spans="1:17" ht="21" customHeight="1" x14ac:dyDescent="0.25">
      <c r="A266" s="3" t="s">
        <v>1268</v>
      </c>
      <c r="C266" s="9" t="s">
        <v>251</v>
      </c>
      <c r="F266" s="4" t="s">
        <v>874</v>
      </c>
      <c r="G266" s="4">
        <v>1</v>
      </c>
      <c r="H266" s="4">
        <f t="shared" si="8"/>
        <v>2</v>
      </c>
      <c r="I266" s="4">
        <v>1</v>
      </c>
      <c r="J266" s="4">
        <v>2</v>
      </c>
      <c r="K266" s="6" t="s">
        <v>374</v>
      </c>
    </row>
    <row r="267" spans="1:17" ht="21" customHeight="1" x14ac:dyDescent="0.25">
      <c r="A267" s="3" t="s">
        <v>1268</v>
      </c>
      <c r="C267" s="9" t="s">
        <v>47</v>
      </c>
      <c r="F267" s="4" t="s">
        <v>35</v>
      </c>
      <c r="G267" s="4">
        <v>1</v>
      </c>
      <c r="H267" s="4">
        <f t="shared" si="8"/>
        <v>1</v>
      </c>
      <c r="J267" s="4">
        <v>1</v>
      </c>
      <c r="K267" s="6" t="s">
        <v>44</v>
      </c>
    </row>
    <row r="268" spans="1:17" ht="21" customHeight="1" x14ac:dyDescent="0.25">
      <c r="A268" s="3" t="s">
        <v>1268</v>
      </c>
      <c r="B268" s="4" t="s">
        <v>771</v>
      </c>
      <c r="F268" s="4" t="s">
        <v>771</v>
      </c>
      <c r="G268" s="4">
        <v>5</v>
      </c>
      <c r="H268" s="4">
        <f t="shared" si="8"/>
        <v>9</v>
      </c>
      <c r="I268" s="4">
        <v>4</v>
      </c>
      <c r="J268" s="4">
        <v>5</v>
      </c>
      <c r="K268" s="6" t="s">
        <v>945</v>
      </c>
    </row>
    <row r="269" spans="1:17" ht="21" customHeight="1" x14ac:dyDescent="0.25">
      <c r="A269" s="3" t="s">
        <v>1268</v>
      </c>
      <c r="B269" s="4" t="s">
        <v>933</v>
      </c>
      <c r="F269" s="4" t="s">
        <v>933</v>
      </c>
      <c r="G269" s="4">
        <v>1</v>
      </c>
      <c r="H269" s="4">
        <f t="shared" si="8"/>
        <v>1</v>
      </c>
      <c r="J269" s="4">
        <v>1</v>
      </c>
      <c r="K269" s="6">
        <v>71</v>
      </c>
    </row>
    <row r="270" spans="1:17" ht="21" customHeight="1" x14ac:dyDescent="0.25">
      <c r="A270" s="3" t="s">
        <v>1268</v>
      </c>
      <c r="B270" s="4" t="s">
        <v>795</v>
      </c>
      <c r="E270" s="4" t="s">
        <v>944</v>
      </c>
      <c r="F270" s="4" t="s">
        <v>773</v>
      </c>
      <c r="G270" s="4">
        <v>1</v>
      </c>
      <c r="H270" s="4">
        <f t="shared" si="8"/>
        <v>1</v>
      </c>
      <c r="J270" s="4">
        <v>1</v>
      </c>
      <c r="K270" s="6" t="s">
        <v>486</v>
      </c>
    </row>
    <row r="271" spans="1:17" ht="21" customHeight="1" x14ac:dyDescent="0.25">
      <c r="A271" s="3"/>
      <c r="D271" s="20"/>
      <c r="K271" s="20"/>
      <c r="Q271" s="20"/>
    </row>
    <row r="272" spans="1:17" ht="21" customHeight="1" x14ac:dyDescent="0.25">
      <c r="A272" s="3"/>
      <c r="D272" s="20"/>
      <c r="K272" s="20"/>
      <c r="Q272" s="20"/>
    </row>
    <row r="273" spans="2:11" ht="21" customHeight="1" x14ac:dyDescent="0.25">
      <c r="B273" s="6" t="s">
        <v>532</v>
      </c>
      <c r="C273" s="4">
        <f>H2</f>
        <v>2</v>
      </c>
    </row>
    <row r="274" spans="2:11" ht="21" customHeight="1" x14ac:dyDescent="0.25">
      <c r="B274" s="6" t="s">
        <v>411</v>
      </c>
      <c r="C274" s="4">
        <f>H3+H4</f>
        <v>3</v>
      </c>
    </row>
    <row r="275" spans="2:11" ht="21" customHeight="1" x14ac:dyDescent="0.25">
      <c r="B275" s="6" t="s">
        <v>297</v>
      </c>
      <c r="C275" s="4">
        <f>H5+H6+H7</f>
        <v>3</v>
      </c>
    </row>
    <row r="276" spans="2:11" ht="21" customHeight="1" x14ac:dyDescent="0.25">
      <c r="B276" s="4" t="s">
        <v>76</v>
      </c>
      <c r="C276" s="4">
        <f>H8+H9+H10+H11+H12+H13+H14</f>
        <v>20</v>
      </c>
    </row>
    <row r="277" spans="2:11" ht="21" customHeight="1" x14ac:dyDescent="0.25">
      <c r="B277" s="4" t="s">
        <v>213</v>
      </c>
      <c r="C277" s="4">
        <f>H15</f>
        <v>2</v>
      </c>
      <c r="D277" s="1"/>
      <c r="E277" s="1"/>
      <c r="F277" s="1"/>
      <c r="G277" s="1"/>
      <c r="I277" s="1"/>
      <c r="J277" s="1"/>
      <c r="K277" s="7"/>
    </row>
    <row r="278" spans="2:11" ht="21" customHeight="1" x14ac:dyDescent="0.25">
      <c r="B278" s="4" t="s">
        <v>42</v>
      </c>
      <c r="C278" s="4">
        <f>SUM(H16:H27)+H213</f>
        <v>29</v>
      </c>
      <c r="D278" s="1"/>
      <c r="E278" s="1"/>
      <c r="F278" s="1"/>
      <c r="G278" s="1"/>
      <c r="I278" s="1"/>
      <c r="J278" s="1"/>
      <c r="K278" s="7"/>
    </row>
    <row r="279" spans="2:11" ht="21" customHeight="1" x14ac:dyDescent="0.25">
      <c r="B279" s="6" t="s">
        <v>10</v>
      </c>
      <c r="C279" s="4">
        <f>SUM(H28:H30)+H214</f>
        <v>9</v>
      </c>
      <c r="D279" s="1"/>
      <c r="E279" s="1"/>
      <c r="F279" s="1"/>
      <c r="G279" s="1"/>
      <c r="I279" s="1"/>
      <c r="J279" s="1"/>
      <c r="K279" s="7"/>
    </row>
    <row r="280" spans="2:11" ht="21" customHeight="1" x14ac:dyDescent="0.25">
      <c r="B280" s="6" t="s">
        <v>126</v>
      </c>
      <c r="C280" s="4">
        <f>SUM(H31:H33)</f>
        <v>4</v>
      </c>
      <c r="D280" s="1"/>
      <c r="E280" s="1"/>
      <c r="F280" s="1"/>
      <c r="G280" s="1"/>
      <c r="I280" s="1"/>
      <c r="J280" s="1"/>
      <c r="K280" s="7"/>
    </row>
    <row r="281" spans="2:11" ht="21" customHeight="1" x14ac:dyDescent="0.25">
      <c r="B281" s="6" t="s">
        <v>191</v>
      </c>
      <c r="C281" s="4">
        <f>SUM(H34:H35)</f>
        <v>3</v>
      </c>
    </row>
    <row r="282" spans="2:11" ht="21" customHeight="1" x14ac:dyDescent="0.25">
      <c r="B282" s="6" t="s">
        <v>68</v>
      </c>
      <c r="C282" s="1">
        <f>SUM(H36:H43)+H215</f>
        <v>35</v>
      </c>
    </row>
    <row r="283" spans="2:11" ht="21" customHeight="1" x14ac:dyDescent="0.25">
      <c r="B283" s="6" t="s">
        <v>209</v>
      </c>
      <c r="C283" s="1">
        <f>SUM(H44:H46)+H216</f>
        <v>6</v>
      </c>
    </row>
    <row r="284" spans="2:11" ht="21" customHeight="1" x14ac:dyDescent="0.25">
      <c r="B284" s="6" t="s">
        <v>64</v>
      </c>
      <c r="C284" s="1">
        <f>SUM(H47:H53)</f>
        <v>25</v>
      </c>
    </row>
    <row r="285" spans="2:11" ht="21" customHeight="1" x14ac:dyDescent="0.25">
      <c r="B285" s="6" t="s">
        <v>261</v>
      </c>
      <c r="C285" s="1">
        <f>SUM(H54:H57)</f>
        <v>5</v>
      </c>
    </row>
    <row r="286" spans="2:11" ht="21" customHeight="1" x14ac:dyDescent="0.25">
      <c r="B286" s="6" t="s">
        <v>283</v>
      </c>
      <c r="C286" s="1">
        <f>H58</f>
        <v>1</v>
      </c>
    </row>
    <row r="287" spans="2:11" ht="21" customHeight="1" x14ac:dyDescent="0.25">
      <c r="B287" s="6" t="s">
        <v>430</v>
      </c>
      <c r="C287" s="1">
        <f>H59</f>
        <v>1</v>
      </c>
    </row>
    <row r="288" spans="2:11" ht="21" customHeight="1" x14ac:dyDescent="0.25">
      <c r="B288" s="6" t="s">
        <v>328</v>
      </c>
      <c r="C288" s="1">
        <f>SUM(H60+H217)</f>
        <v>3</v>
      </c>
    </row>
    <row r="289" spans="2:5" ht="21" customHeight="1" x14ac:dyDescent="0.25">
      <c r="B289" s="6" t="s">
        <v>483</v>
      </c>
      <c r="C289" s="1">
        <f>H61</f>
        <v>1</v>
      </c>
    </row>
    <row r="290" spans="2:5" ht="21" customHeight="1" x14ac:dyDescent="0.25">
      <c r="B290" s="6" t="s">
        <v>78</v>
      </c>
      <c r="C290" s="1">
        <f>SUM(H62:H65)</f>
        <v>6</v>
      </c>
    </row>
    <row r="291" spans="2:5" ht="21" customHeight="1" x14ac:dyDescent="0.25">
      <c r="B291" s="6" t="s">
        <v>206</v>
      </c>
      <c r="C291" s="1">
        <f>H66</f>
        <v>2</v>
      </c>
    </row>
    <row r="292" spans="2:5" ht="21" customHeight="1" x14ac:dyDescent="0.25">
      <c r="B292" s="6" t="s">
        <v>46</v>
      </c>
      <c r="C292" s="1">
        <f>SUM(H67:H70)</f>
        <v>7</v>
      </c>
    </row>
    <row r="293" spans="2:5" ht="21" customHeight="1" x14ac:dyDescent="0.25">
      <c r="B293" s="6" t="s">
        <v>62</v>
      </c>
      <c r="C293" s="1">
        <f>SUM(H71:H81)+H218</f>
        <v>23</v>
      </c>
    </row>
    <row r="294" spans="2:5" ht="21" customHeight="1" x14ac:dyDescent="0.25">
      <c r="B294" s="6" t="s">
        <v>82</v>
      </c>
      <c r="C294" s="1">
        <f>SUM(H82:H83)</f>
        <v>2</v>
      </c>
    </row>
    <row r="295" spans="2:5" ht="21" customHeight="1" x14ac:dyDescent="0.25">
      <c r="B295" s="6" t="s">
        <v>22</v>
      </c>
      <c r="C295" s="1">
        <f>SUM(H84:H89)+H219</f>
        <v>14</v>
      </c>
    </row>
    <row r="296" spans="2:5" ht="21" customHeight="1" x14ac:dyDescent="0.25">
      <c r="B296" s="6" t="s">
        <v>446</v>
      </c>
      <c r="C296" s="1">
        <f>SUM(H90:H91)</f>
        <v>2</v>
      </c>
    </row>
    <row r="297" spans="2:5" ht="21" customHeight="1" x14ac:dyDescent="0.25">
      <c r="B297" s="6" t="s">
        <v>609</v>
      </c>
      <c r="C297" s="1">
        <f>H92</f>
        <v>1</v>
      </c>
    </row>
    <row r="298" spans="2:5" ht="21" customHeight="1" x14ac:dyDescent="0.25">
      <c r="B298" s="6" t="s">
        <v>93</v>
      </c>
      <c r="C298" s="1">
        <f>SUM(H93:H103)+H220</f>
        <v>13</v>
      </c>
    </row>
    <row r="299" spans="2:5" ht="21" customHeight="1" x14ac:dyDescent="0.25">
      <c r="B299" s="6" t="s">
        <v>50</v>
      </c>
      <c r="C299" s="1">
        <f>H104</f>
        <v>2</v>
      </c>
    </row>
    <row r="300" spans="2:5" ht="21" customHeight="1" x14ac:dyDescent="0.25">
      <c r="B300" s="6" t="s">
        <v>24</v>
      </c>
      <c r="C300" s="1">
        <f>SUM(H105:H130)+H222</f>
        <v>109</v>
      </c>
    </row>
    <row r="301" spans="2:5" ht="21" customHeight="1" x14ac:dyDescent="0.25">
      <c r="B301" s="6" t="s">
        <v>139</v>
      </c>
      <c r="C301" s="1">
        <f>SUM(H131:H135)</f>
        <v>5</v>
      </c>
      <c r="E301" s="4" t="s">
        <v>5759</v>
      </c>
    </row>
    <row r="302" spans="2:5" ht="21" customHeight="1" x14ac:dyDescent="0.25">
      <c r="B302" s="6" t="s">
        <v>269</v>
      </c>
      <c r="C302" s="1">
        <f>SUM(H136:H141)+SUM(H208:H212)</f>
        <v>16</v>
      </c>
      <c r="E302" s="4">
        <f>SUM(C273:C302)</f>
        <v>354</v>
      </c>
    </row>
    <row r="303" spans="2:5" ht="21" customHeight="1" x14ac:dyDescent="0.25">
      <c r="B303" s="91" t="s">
        <v>1270</v>
      </c>
      <c r="C303" s="91"/>
    </row>
    <row r="304" spans="2:5" ht="21" customHeight="1" x14ac:dyDescent="0.25">
      <c r="B304" s="6" t="s">
        <v>21</v>
      </c>
      <c r="C304" s="1">
        <f>SUM(C282+C285+C295+C300)+H264</f>
        <v>181</v>
      </c>
    </row>
    <row r="305" spans="2:3" ht="21" customHeight="1" x14ac:dyDescent="0.25">
      <c r="B305" s="6" t="s">
        <v>1271</v>
      </c>
      <c r="C305" s="1">
        <f>C328+F336+J327+C316-C304</f>
        <v>440</v>
      </c>
    </row>
    <row r="308" spans="2:3" ht="21" customHeight="1" x14ac:dyDescent="0.25">
      <c r="B308" s="6" t="s">
        <v>21</v>
      </c>
      <c r="C308" s="1">
        <f>SUM(C282+C285+C295+C300)+H264</f>
        <v>181</v>
      </c>
    </row>
    <row r="309" spans="2:3" ht="21" customHeight="1" x14ac:dyDescent="0.25">
      <c r="B309" s="6" t="s">
        <v>1272</v>
      </c>
      <c r="C309" s="1">
        <f>SUM(C273:C302)-C304</f>
        <v>173</v>
      </c>
    </row>
    <row r="312" spans="2:3" ht="21" customHeight="1" x14ac:dyDescent="0.25">
      <c r="B312" s="6" t="s">
        <v>940</v>
      </c>
      <c r="C312" s="1"/>
    </row>
    <row r="313" spans="2:3" ht="21" customHeight="1" x14ac:dyDescent="0.25">
      <c r="B313" s="6" t="s">
        <v>941</v>
      </c>
      <c r="C313" s="1">
        <f>C277+SUM(C279:C280)+SUM(C287:C289)+C292+SUM(C301:C302)+H240+H245+(H258/2)+(H248/2)+(H250/2)+SUM(H259:H260)</f>
        <v>70.5</v>
      </c>
    </row>
    <row r="314" spans="2:3" ht="21" customHeight="1" x14ac:dyDescent="0.25">
      <c r="B314" s="6" t="s">
        <v>942</v>
      </c>
      <c r="C314" s="1">
        <f>SUM(C273:C276)+C278+SUM(C281:C286)+C290+C291+SUM(C293:C300)+SUM(H223:H226)+H246+(H248/2)+(H250/2)+SUM(H251:H254)+H256+(H258/2)+SUM(H261:H265)+H266</f>
        <v>408.5</v>
      </c>
    </row>
    <row r="316" spans="2:3" ht="21" customHeight="1" x14ac:dyDescent="0.25">
      <c r="B316" s="4" t="s">
        <v>771</v>
      </c>
      <c r="C316" s="2">
        <f>H207+SUM(H268:H270)</f>
        <v>12</v>
      </c>
    </row>
    <row r="321" spans="2:11" ht="21" customHeight="1" x14ac:dyDescent="0.25">
      <c r="B321" s="5" t="s">
        <v>665</v>
      </c>
      <c r="C321" s="1"/>
    </row>
    <row r="322" spans="2:11" ht="21" customHeight="1" x14ac:dyDescent="0.25">
      <c r="B322" s="5" t="s">
        <v>11</v>
      </c>
      <c r="C322" s="1"/>
      <c r="E322" s="6" t="s">
        <v>231</v>
      </c>
      <c r="F322" s="1">
        <f>H142+H143+H144</f>
        <v>4</v>
      </c>
      <c r="I322" s="6" t="s">
        <v>936</v>
      </c>
      <c r="J322" s="1">
        <f>SUM(H178:H180)+H228</f>
        <v>5</v>
      </c>
    </row>
    <row r="323" spans="2:11" ht="21" customHeight="1" x14ac:dyDescent="0.25">
      <c r="B323" s="6" t="s">
        <v>663</v>
      </c>
      <c r="C323" s="1">
        <f>C277+C288+C292+C301+C302+H240+SUM(H245/2)+SUM(H248/2)</f>
        <v>43</v>
      </c>
      <c r="E323" s="6" t="s">
        <v>394</v>
      </c>
      <c r="F323" s="1">
        <f>H145</f>
        <v>2</v>
      </c>
      <c r="I323" s="6" t="s">
        <v>55</v>
      </c>
      <c r="J323" s="1">
        <f>SUM(H181:H185)</f>
        <v>6</v>
      </c>
    </row>
    <row r="324" spans="2:11" ht="21" customHeight="1" x14ac:dyDescent="0.25">
      <c r="B324" s="6" t="s">
        <v>664</v>
      </c>
      <c r="C324" s="1">
        <f>C279+C287+C289+SUM(H245/2)+SUM(H258/2)</f>
        <v>15</v>
      </c>
      <c r="E324" s="6" t="s">
        <v>238</v>
      </c>
      <c r="F324" s="1">
        <f>H146+H147+H148</f>
        <v>3</v>
      </c>
      <c r="I324" s="6" t="s">
        <v>593</v>
      </c>
      <c r="J324" s="1">
        <f>SUM(H186:H188)</f>
        <v>3</v>
      </c>
    </row>
    <row r="325" spans="2:11" ht="21" customHeight="1" x14ac:dyDescent="0.25">
      <c r="B325" s="6" t="s">
        <v>271</v>
      </c>
      <c r="C325" s="1">
        <f>C283+C285+C286+C290+C297+C298+H223+H246+SUM(H248/2)+(H252/2)+(H253/2)+(H254/2)+H262+H265+SUM(H264/2)</f>
        <v>76.5</v>
      </c>
      <c r="E325" s="6" t="s">
        <v>226</v>
      </c>
      <c r="F325" s="1">
        <f>H149+H150+H151+H152</f>
        <v>6</v>
      </c>
      <c r="I325" s="6" t="s">
        <v>161</v>
      </c>
      <c r="J325" s="1">
        <f>SUM(H189:H200)+H229</f>
        <v>21</v>
      </c>
    </row>
    <row r="326" spans="2:11" ht="21" customHeight="1" x14ac:dyDescent="0.25">
      <c r="B326" s="6" t="s">
        <v>144</v>
      </c>
      <c r="C326" s="1">
        <f>C273+C278+C281+C282+C284+C295+C300+(H252/2)+(H253/2)+(H254/2)+H256+(H258/2)+H263+(H264/2)+H266</f>
        <v>253.5</v>
      </c>
      <c r="E326" s="6" t="s">
        <v>407</v>
      </c>
      <c r="F326" s="1">
        <f>H153+H154</f>
        <v>4</v>
      </c>
      <c r="I326" s="6" t="s">
        <v>66</v>
      </c>
      <c r="J326" s="1">
        <f>SUM(H201:H206)</f>
        <v>14</v>
      </c>
    </row>
    <row r="327" spans="2:11" ht="21" customHeight="1" x14ac:dyDescent="0.25">
      <c r="B327" s="6" t="s">
        <v>666</v>
      </c>
      <c r="C327" s="1">
        <f>C274+C275+C276+C280+C291+C293+C294+C296+C299+SUM(H224:H226)+SUM(H250:H251)+SUM(H259:H261)</f>
        <v>91</v>
      </c>
      <c r="E327" s="6" t="s">
        <v>86</v>
      </c>
      <c r="F327" s="1">
        <f>H155</f>
        <v>1</v>
      </c>
      <c r="I327" s="6" t="s">
        <v>927</v>
      </c>
      <c r="J327" s="1">
        <f>SUM(J322:J326)</f>
        <v>49</v>
      </c>
    </row>
    <row r="328" spans="2:11" ht="21" customHeight="1" x14ac:dyDescent="0.25">
      <c r="B328" s="6" t="s">
        <v>922</v>
      </c>
      <c r="C328" s="1">
        <f>SUM(C323:C327)</f>
        <v>479</v>
      </c>
      <c r="E328" s="6" t="s">
        <v>249</v>
      </c>
      <c r="F328" s="1">
        <f>SUM(H142:H158)</f>
        <v>23</v>
      </c>
    </row>
    <row r="329" spans="2:11" ht="21" customHeight="1" x14ac:dyDescent="0.25">
      <c r="B329" s="6"/>
      <c r="C329" s="1"/>
      <c r="E329" s="6" t="s">
        <v>426</v>
      </c>
      <c r="F329" s="1">
        <f>H159</f>
        <v>1</v>
      </c>
    </row>
    <row r="330" spans="2:11" ht="21" customHeight="1" x14ac:dyDescent="0.25">
      <c r="B330" s="5"/>
      <c r="C330" s="1"/>
      <c r="E330" s="6" t="s">
        <v>34</v>
      </c>
      <c r="F330" s="1">
        <f>SUM(H160:H169)</f>
        <v>25</v>
      </c>
    </row>
    <row r="331" spans="2:11" ht="21" customHeight="1" x14ac:dyDescent="0.25">
      <c r="B331" s="5" t="s">
        <v>937</v>
      </c>
      <c r="C331" s="1">
        <f>H230</f>
        <v>13</v>
      </c>
      <c r="E331" s="6" t="s">
        <v>99</v>
      </c>
      <c r="F331" s="1">
        <f>H170</f>
        <v>3</v>
      </c>
    </row>
    <row r="332" spans="2:11" ht="21" customHeight="1" x14ac:dyDescent="0.25">
      <c r="B332" s="5" t="s">
        <v>938</v>
      </c>
      <c r="C332" s="1">
        <f>H238+H257</f>
        <v>19</v>
      </c>
      <c r="E332" s="6" t="s">
        <v>170</v>
      </c>
      <c r="F332" s="1">
        <f>SUM(H171:H172)</f>
        <v>2</v>
      </c>
    </row>
    <row r="333" spans="2:11" ht="21" customHeight="1" x14ac:dyDescent="0.25">
      <c r="B333" s="6"/>
      <c r="C333" s="1"/>
      <c r="E333" s="6" t="s">
        <v>315</v>
      </c>
      <c r="F333" s="1">
        <f>SUM(H173:H174)</f>
        <v>2</v>
      </c>
      <c r="K333" s="84"/>
    </row>
    <row r="334" spans="2:11" ht="21" customHeight="1" x14ac:dyDescent="0.25">
      <c r="B334" s="5" t="s">
        <v>56</v>
      </c>
      <c r="C334" s="1"/>
      <c r="E334" s="6" t="s">
        <v>167</v>
      </c>
      <c r="F334" s="1">
        <f>SUM(H175:H176)</f>
        <v>3</v>
      </c>
      <c r="K334" s="84"/>
    </row>
    <row r="335" spans="2:11" ht="21" customHeight="1" x14ac:dyDescent="0.25">
      <c r="B335" s="6" t="s">
        <v>663</v>
      </c>
      <c r="C335" s="1">
        <f>SUM(H235/2)+(H232/2)+J322</f>
        <v>10.5</v>
      </c>
      <c r="E335" s="6" t="s">
        <v>522</v>
      </c>
      <c r="F335" s="1">
        <f>H177</f>
        <v>2</v>
      </c>
      <c r="K335" s="84"/>
    </row>
    <row r="336" spans="2:11" ht="21" customHeight="1" x14ac:dyDescent="0.25">
      <c r="B336" s="6" t="s">
        <v>664</v>
      </c>
      <c r="C336" s="1">
        <f>SUM(H235/2)+H236+J325</f>
        <v>26.5</v>
      </c>
      <c r="E336" s="6" t="s">
        <v>932</v>
      </c>
      <c r="F336" s="1">
        <f>SUM(F322:F335)</f>
        <v>81</v>
      </c>
      <c r="K336" s="84"/>
    </row>
    <row r="337" spans="2:11" ht="21" customHeight="1" x14ac:dyDescent="0.25">
      <c r="B337" s="6" t="s">
        <v>271</v>
      </c>
      <c r="C337" s="1">
        <f>(H232/2)+H233+(H234/2)+J324</f>
        <v>5.5</v>
      </c>
      <c r="K337" s="84"/>
    </row>
    <row r="338" spans="2:11" ht="21" customHeight="1" x14ac:dyDescent="0.25">
      <c r="B338" s="6" t="s">
        <v>144</v>
      </c>
      <c r="C338" s="1">
        <f>H237+(H234/2)+J323</f>
        <v>9.5</v>
      </c>
    </row>
    <row r="339" spans="2:11" ht="21" customHeight="1" x14ac:dyDescent="0.25">
      <c r="B339" s="6" t="s">
        <v>666</v>
      </c>
      <c r="C339" s="1">
        <f>H231+J326</f>
        <v>15</v>
      </c>
    </row>
    <row r="340" spans="2:11" ht="21" customHeight="1" x14ac:dyDescent="0.25">
      <c r="B340" s="6" t="s">
        <v>927</v>
      </c>
      <c r="C340" s="1">
        <f>SUM(C335:C339)+C331</f>
        <v>80</v>
      </c>
    </row>
    <row r="341" spans="2:11" ht="21" customHeight="1" x14ac:dyDescent="0.25">
      <c r="B341" s="6"/>
      <c r="C341" s="1"/>
    </row>
    <row r="342" spans="2:11" ht="21" customHeight="1" x14ac:dyDescent="0.25">
      <c r="B342" s="5" t="s">
        <v>35</v>
      </c>
      <c r="C342" s="1"/>
    </row>
    <row r="343" spans="2:11" ht="21" customHeight="1" x14ac:dyDescent="0.25">
      <c r="B343" s="6" t="s">
        <v>667</v>
      </c>
      <c r="C343" s="1">
        <f>H243+(H244/2)+H267+F324+SUM(F330:F331)+F333</f>
        <v>46</v>
      </c>
    </row>
    <row r="344" spans="2:11" ht="21" customHeight="1" x14ac:dyDescent="0.25">
      <c r="B344" s="6" t="s">
        <v>668</v>
      </c>
      <c r="C344" s="1">
        <f>(H242/2)+F323+F325</f>
        <v>10</v>
      </c>
    </row>
    <row r="345" spans="2:11" ht="21" customHeight="1" x14ac:dyDescent="0.25">
      <c r="B345" s="6" t="s">
        <v>669</v>
      </c>
      <c r="C345" s="1">
        <f>(H244/2)+H249+F322+SUM(F326:F327)+F334</f>
        <v>18</v>
      </c>
    </row>
    <row r="346" spans="2:11" ht="21" customHeight="1" x14ac:dyDescent="0.25">
      <c r="B346" s="6" t="s">
        <v>670</v>
      </c>
      <c r="C346" s="1">
        <f>H241+(H242/2)+SUM(F328:F329)+F335</f>
        <v>36</v>
      </c>
    </row>
    <row r="347" spans="2:11" ht="21" customHeight="1" x14ac:dyDescent="0.25">
      <c r="B347" s="6" t="s">
        <v>666</v>
      </c>
      <c r="C347" s="1">
        <f>F332</f>
        <v>2</v>
      </c>
    </row>
    <row r="348" spans="2:11" ht="21" customHeight="1" x14ac:dyDescent="0.25">
      <c r="B348" s="6" t="s">
        <v>932</v>
      </c>
      <c r="C348" s="1">
        <f>SUM(C343:C347)+C332</f>
        <v>131</v>
      </c>
    </row>
    <row r="349" spans="2:11" ht="21" customHeight="1" x14ac:dyDescent="0.25">
      <c r="B349" s="6"/>
      <c r="C349" s="1"/>
    </row>
    <row r="350" spans="2:11" ht="21" customHeight="1" x14ac:dyDescent="0.25">
      <c r="B350" s="6" t="s">
        <v>939</v>
      </c>
      <c r="C350" s="1"/>
    </row>
    <row r="351" spans="2:11" ht="21" customHeight="1" x14ac:dyDescent="0.25">
      <c r="B351" s="6" t="s">
        <v>11</v>
      </c>
      <c r="C351" s="1">
        <f>C328+H227</f>
        <v>482</v>
      </c>
    </row>
    <row r="352" spans="2:11" ht="21" customHeight="1" x14ac:dyDescent="0.25">
      <c r="B352" s="6" t="s">
        <v>35</v>
      </c>
      <c r="C352" s="1">
        <f>C348+H238</f>
        <v>140</v>
      </c>
    </row>
    <row r="353" spans="2:17" ht="21" customHeight="1" x14ac:dyDescent="0.25">
      <c r="B353" s="6" t="s">
        <v>56</v>
      </c>
      <c r="C353" s="1">
        <f>C340+H230</f>
        <v>93</v>
      </c>
    </row>
    <row r="354" spans="2:17" ht="21" customHeight="1" x14ac:dyDescent="0.25">
      <c r="B354" s="6" t="s">
        <v>771</v>
      </c>
      <c r="C354" s="1">
        <f>C316</f>
        <v>12</v>
      </c>
    </row>
    <row r="355" spans="2:17" ht="21" customHeight="1" x14ac:dyDescent="0.25">
      <c r="B355" s="4" t="s">
        <v>1273</v>
      </c>
      <c r="C355" s="1">
        <f>SUM(C351:C354)</f>
        <v>727</v>
      </c>
    </row>
    <row r="358" spans="2:17" ht="21" customHeight="1" x14ac:dyDescent="0.25">
      <c r="B358" s="4" t="s">
        <v>5756</v>
      </c>
      <c r="C358" s="2">
        <f>C277+C279+C292+C302</f>
        <v>34</v>
      </c>
    </row>
    <row r="359" spans="2:17" ht="21" customHeight="1" x14ac:dyDescent="0.25">
      <c r="B359" s="4" t="s">
        <v>1272</v>
      </c>
      <c r="C359" s="2">
        <f>C351-C358</f>
        <v>448</v>
      </c>
    </row>
    <row r="361" spans="2:17" ht="21" customHeight="1" thickBot="1" x14ac:dyDescent="0.3">
      <c r="B361" s="4" t="s">
        <v>5757</v>
      </c>
      <c r="C361" s="2" t="s">
        <v>5758</v>
      </c>
      <c r="D361" s="4"/>
      <c r="J361" s="6"/>
      <c r="K361" s="1"/>
      <c r="P361" s="6"/>
      <c r="Q361" s="1"/>
    </row>
    <row r="362" spans="2:17" ht="21" customHeight="1" x14ac:dyDescent="0.25">
      <c r="B362" s="85" t="s">
        <v>5449</v>
      </c>
      <c r="C362" s="88">
        <v>43</v>
      </c>
      <c r="D362" s="4"/>
      <c r="J362" s="6"/>
      <c r="K362" s="1"/>
      <c r="P362" s="6"/>
      <c r="Q362" s="1"/>
    </row>
    <row r="363" spans="2:17" ht="21" customHeight="1" x14ac:dyDescent="0.25">
      <c r="B363" s="86" t="s">
        <v>5450</v>
      </c>
      <c r="C363" s="89">
        <v>15</v>
      </c>
      <c r="D363" s="4"/>
      <c r="J363" s="6"/>
      <c r="K363" s="1"/>
      <c r="P363" s="6"/>
      <c r="Q363" s="1"/>
    </row>
    <row r="364" spans="2:17" ht="21" customHeight="1" x14ac:dyDescent="0.25">
      <c r="B364" s="86" t="s">
        <v>5451</v>
      </c>
      <c r="C364" s="89">
        <v>76.5</v>
      </c>
      <c r="D364" s="4"/>
      <c r="J364" s="6"/>
      <c r="K364" s="1"/>
      <c r="P364" s="6"/>
      <c r="Q364" s="1"/>
    </row>
    <row r="365" spans="2:17" ht="21" customHeight="1" x14ac:dyDescent="0.25">
      <c r="B365" s="86" t="s">
        <v>5452</v>
      </c>
      <c r="C365" s="89">
        <v>253.5</v>
      </c>
      <c r="D365" s="4"/>
      <c r="J365" s="6"/>
      <c r="K365" s="1"/>
      <c r="P365" s="6"/>
      <c r="Q365" s="1"/>
    </row>
    <row r="366" spans="2:17" ht="21" customHeight="1" thickBot="1" x14ac:dyDescent="0.3">
      <c r="B366" s="87" t="s">
        <v>5453</v>
      </c>
      <c r="C366" s="90">
        <v>91</v>
      </c>
      <c r="D366" s="4"/>
      <c r="J366" s="6"/>
      <c r="K366" s="1"/>
      <c r="P366" s="6"/>
      <c r="Q366" s="1"/>
    </row>
    <row r="367" spans="2:17" ht="21" customHeight="1" x14ac:dyDescent="0.25">
      <c r="B367" s="85" t="s">
        <v>5454</v>
      </c>
      <c r="C367" s="88">
        <v>46</v>
      </c>
      <c r="D367" s="4"/>
      <c r="J367" s="6"/>
      <c r="K367" s="1"/>
      <c r="P367" s="6"/>
      <c r="Q367" s="1"/>
    </row>
    <row r="368" spans="2:17" ht="21" customHeight="1" x14ac:dyDescent="0.25">
      <c r="B368" s="86" t="s">
        <v>5455</v>
      </c>
      <c r="C368" s="89">
        <v>10</v>
      </c>
      <c r="D368" s="4"/>
      <c r="J368" s="6"/>
      <c r="K368" s="1"/>
      <c r="P368" s="6"/>
      <c r="Q368" s="1"/>
    </row>
    <row r="369" spans="2:17" ht="21" customHeight="1" x14ac:dyDescent="0.25">
      <c r="B369" s="86" t="s">
        <v>5456</v>
      </c>
      <c r="C369" s="89">
        <v>18</v>
      </c>
      <c r="D369" s="4"/>
      <c r="J369" s="6"/>
      <c r="K369" s="1"/>
      <c r="P369" s="6"/>
      <c r="Q369" s="1"/>
    </row>
    <row r="370" spans="2:17" ht="21" customHeight="1" x14ac:dyDescent="0.25">
      <c r="B370" s="86" t="s">
        <v>5457</v>
      </c>
      <c r="C370" s="89">
        <v>36</v>
      </c>
      <c r="D370" s="4"/>
      <c r="J370" s="6"/>
      <c r="K370" s="1"/>
      <c r="P370" s="6"/>
      <c r="Q370" s="1"/>
    </row>
    <row r="371" spans="2:17" ht="21" customHeight="1" thickBot="1" x14ac:dyDescent="0.3">
      <c r="B371" s="87" t="s">
        <v>5458</v>
      </c>
      <c r="C371" s="90">
        <v>2</v>
      </c>
      <c r="D371" s="4"/>
      <c r="J371" s="6"/>
      <c r="K371" s="1"/>
      <c r="P371" s="6"/>
      <c r="Q371" s="1"/>
    </row>
    <row r="372" spans="2:17" ht="21" customHeight="1" x14ac:dyDescent="0.25">
      <c r="B372" s="85" t="s">
        <v>923</v>
      </c>
      <c r="C372" s="88">
        <v>10.5</v>
      </c>
      <c r="D372" s="4"/>
      <c r="J372" s="6"/>
      <c r="K372" s="1"/>
      <c r="P372" s="6"/>
      <c r="Q372" s="1"/>
    </row>
    <row r="373" spans="2:17" ht="21" customHeight="1" x14ac:dyDescent="0.25">
      <c r="B373" s="86" t="s">
        <v>924</v>
      </c>
      <c r="C373" s="89">
        <v>26.5</v>
      </c>
      <c r="D373" s="4"/>
      <c r="J373" s="6"/>
      <c r="K373" s="1"/>
      <c r="P373" s="6"/>
      <c r="Q373" s="1"/>
    </row>
    <row r="374" spans="2:17" ht="21" customHeight="1" x14ac:dyDescent="0.25">
      <c r="B374" s="86" t="s">
        <v>925</v>
      </c>
      <c r="C374" s="89">
        <v>5.5</v>
      </c>
      <c r="D374" s="4"/>
      <c r="J374" s="6"/>
      <c r="K374" s="1"/>
      <c r="P374" s="6"/>
      <c r="Q374" s="1"/>
    </row>
    <row r="375" spans="2:17" ht="21" customHeight="1" x14ac:dyDescent="0.25">
      <c r="B375" s="86" t="s">
        <v>926</v>
      </c>
      <c r="C375" s="89">
        <v>9.5</v>
      </c>
      <c r="D375" s="4"/>
      <c r="J375" s="6"/>
      <c r="K375" s="1"/>
      <c r="P375" s="6"/>
      <c r="Q375" s="1"/>
    </row>
    <row r="376" spans="2:17" ht="21" customHeight="1" thickBot="1" x14ac:dyDescent="0.3">
      <c r="B376" s="87" t="s">
        <v>629</v>
      </c>
      <c r="C376" s="90">
        <v>15</v>
      </c>
      <c r="D376" s="4"/>
      <c r="J376" s="6"/>
      <c r="K376" s="1"/>
      <c r="P376" s="6"/>
      <c r="Q376" s="1"/>
    </row>
    <row r="377" spans="2:17" ht="21" customHeight="1" x14ac:dyDescent="0.25">
      <c r="B377" s="85" t="s">
        <v>776</v>
      </c>
      <c r="C377" s="88">
        <v>1</v>
      </c>
      <c r="D377" s="4"/>
      <c r="J377" s="6"/>
      <c r="K377" s="1"/>
      <c r="P377" s="6"/>
      <c r="Q377" s="1"/>
    </row>
    <row r="378" spans="2:17" ht="21" customHeight="1" x14ac:dyDescent="0.25">
      <c r="B378" s="86" t="s">
        <v>1351</v>
      </c>
      <c r="C378" s="89">
        <v>1</v>
      </c>
      <c r="D378" s="4"/>
      <c r="J378" s="6"/>
      <c r="K378" s="1"/>
      <c r="P378" s="6"/>
      <c r="Q378" s="1"/>
    </row>
    <row r="379" spans="2:17" ht="21" customHeight="1" x14ac:dyDescent="0.25">
      <c r="B379" s="86" t="s">
        <v>1352</v>
      </c>
      <c r="C379" s="89">
        <v>0</v>
      </c>
      <c r="D379" s="4"/>
      <c r="J379" s="6"/>
      <c r="K379" s="1"/>
      <c r="P379" s="6"/>
      <c r="Q379" s="1"/>
    </row>
    <row r="380" spans="2:17" ht="21" customHeight="1" x14ac:dyDescent="0.25">
      <c r="B380" s="86" t="s">
        <v>1353</v>
      </c>
      <c r="C380" s="89">
        <v>0</v>
      </c>
      <c r="D380" s="4"/>
      <c r="J380" s="6"/>
      <c r="K380" s="1"/>
      <c r="P380" s="6"/>
      <c r="Q380" s="1"/>
    </row>
    <row r="381" spans="2:17" ht="21" customHeight="1" x14ac:dyDescent="0.25">
      <c r="B381" s="86" t="s">
        <v>1354</v>
      </c>
      <c r="C381" s="89">
        <v>0</v>
      </c>
      <c r="D381" s="4"/>
      <c r="J381" s="6"/>
      <c r="K381" s="1"/>
      <c r="P381" s="6"/>
      <c r="Q381" s="1"/>
    </row>
    <row r="382" spans="2:17" ht="21" customHeight="1" thickBot="1" x14ac:dyDescent="0.3">
      <c r="B382" s="87" t="s">
        <v>1880</v>
      </c>
      <c r="C382" s="90">
        <v>0</v>
      </c>
      <c r="D382" s="4"/>
      <c r="J382" s="6"/>
      <c r="K382" s="1"/>
      <c r="P382" s="6"/>
      <c r="Q382" s="1"/>
    </row>
    <row r="383" spans="2:17" ht="21" customHeight="1" x14ac:dyDescent="0.25">
      <c r="D383" s="4"/>
      <c r="J383" s="6"/>
      <c r="K383" s="1"/>
      <c r="P383" s="6"/>
      <c r="Q383" s="1"/>
    </row>
    <row r="384" spans="2:17" ht="21" customHeight="1" x14ac:dyDescent="0.25">
      <c r="D384" s="4"/>
      <c r="J384" s="6"/>
      <c r="K384" s="1"/>
      <c r="P384" s="6"/>
      <c r="Q384" s="1"/>
    </row>
    <row r="385" spans="4:17" ht="21" customHeight="1" x14ac:dyDescent="0.25">
      <c r="D385" s="4"/>
      <c r="J385" s="6"/>
      <c r="K385" s="1"/>
      <c r="P385" s="6"/>
      <c r="Q385" s="1"/>
    </row>
    <row r="386" spans="4:17" ht="21" customHeight="1" x14ac:dyDescent="0.25">
      <c r="D386" s="4"/>
      <c r="J386" s="6"/>
      <c r="K386" s="1"/>
      <c r="P386" s="6"/>
      <c r="Q386" s="1"/>
    </row>
    <row r="387" spans="4:17" ht="21" customHeight="1" x14ac:dyDescent="0.25">
      <c r="D387" s="4"/>
      <c r="J387" s="6"/>
      <c r="K387" s="1"/>
      <c r="P387" s="6"/>
      <c r="Q387" s="1"/>
    </row>
    <row r="388" spans="4:17" ht="21" customHeight="1" x14ac:dyDescent="0.25">
      <c r="D388" s="4"/>
      <c r="J388" s="6"/>
      <c r="K388" s="1"/>
      <c r="P388" s="6"/>
      <c r="Q388" s="1"/>
    </row>
  </sheetData>
  <mergeCells count="1">
    <mergeCell ref="B303:C303"/>
  </mergeCells>
  <pageMargins left="0.7" right="0.7" top="0.75" bottom="0.75" header="0.3" footer="0.3"/>
  <pageSetup paperSize="9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47"/>
  <sheetViews>
    <sheetView zoomScale="117" workbookViewId="0">
      <pane ySplit="1" topLeftCell="A1125" activePane="bottomLeft" state="frozen"/>
      <selection pane="bottomLeft" activeCell="E1124" sqref="E1124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21.140625" style="16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72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3751</v>
      </c>
      <c r="B2" s="13" t="s">
        <v>532</v>
      </c>
      <c r="C2" s="16" t="s">
        <v>2965</v>
      </c>
      <c r="D2" s="13" t="s">
        <v>2964</v>
      </c>
      <c r="E2" s="14" t="s">
        <v>534</v>
      </c>
      <c r="F2" s="14" t="s">
        <v>11</v>
      </c>
      <c r="G2" s="13"/>
      <c r="H2" s="14">
        <f t="shared" ref="H2:H34" si="0">G2+I2</f>
        <v>14</v>
      </c>
      <c r="I2" s="13">
        <v>14</v>
      </c>
      <c r="J2" s="13">
        <v>9</v>
      </c>
      <c r="K2" s="13" t="s">
        <v>4307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s="11" customFormat="1" ht="25.5" customHeight="1" x14ac:dyDescent="0.25">
      <c r="A3" s="11" t="s">
        <v>3751</v>
      </c>
      <c r="B3" s="13" t="s">
        <v>532</v>
      </c>
      <c r="C3" s="16" t="s">
        <v>2966</v>
      </c>
      <c r="D3" s="13" t="s">
        <v>2964</v>
      </c>
      <c r="E3" s="14" t="s">
        <v>534</v>
      </c>
      <c r="F3" s="14" t="s">
        <v>11</v>
      </c>
      <c r="G3" s="13"/>
      <c r="H3" s="14">
        <f t="shared" si="0"/>
        <v>1</v>
      </c>
      <c r="I3" s="13">
        <v>1</v>
      </c>
      <c r="J3" s="13">
        <v>1</v>
      </c>
      <c r="K3" s="13" t="s">
        <v>4215</v>
      </c>
      <c r="L3" s="14" t="s">
        <v>119</v>
      </c>
      <c r="M3" s="14">
        <v>60034</v>
      </c>
      <c r="N3" s="14">
        <v>63276</v>
      </c>
      <c r="O3" s="14">
        <v>360034</v>
      </c>
      <c r="P3" s="14">
        <v>163276</v>
      </c>
      <c r="R3" s="14"/>
      <c r="S3" s="14"/>
    </row>
    <row r="4" spans="1:19" s="11" customFormat="1" ht="25.5" customHeight="1" x14ac:dyDescent="0.25">
      <c r="A4" s="11" t="s">
        <v>3751</v>
      </c>
      <c r="B4" s="13" t="s">
        <v>532</v>
      </c>
      <c r="C4" s="16" t="s">
        <v>2969</v>
      </c>
      <c r="D4" s="13" t="s">
        <v>8</v>
      </c>
      <c r="E4" s="14" t="s">
        <v>534</v>
      </c>
      <c r="F4" s="14" t="s">
        <v>11</v>
      </c>
      <c r="G4" s="13"/>
      <c r="H4" s="14">
        <f t="shared" si="0"/>
        <v>1</v>
      </c>
      <c r="I4" s="13">
        <v>1</v>
      </c>
      <c r="J4" s="13">
        <v>1</v>
      </c>
      <c r="K4" s="13" t="s">
        <v>4215</v>
      </c>
      <c r="L4" s="14" t="s">
        <v>119</v>
      </c>
      <c r="M4" s="14">
        <v>60034</v>
      </c>
      <c r="N4" s="14">
        <v>63276</v>
      </c>
      <c r="O4" s="14">
        <v>360034</v>
      </c>
      <c r="P4" s="14">
        <v>163276</v>
      </c>
      <c r="R4" s="14"/>
      <c r="S4" s="14"/>
    </row>
    <row r="5" spans="1:19" s="11" customFormat="1" ht="25.5" customHeight="1" x14ac:dyDescent="0.25">
      <c r="A5" s="11" t="s">
        <v>3751</v>
      </c>
      <c r="B5" s="13" t="s">
        <v>532</v>
      </c>
      <c r="C5" s="16" t="s">
        <v>724</v>
      </c>
      <c r="D5" s="13" t="s">
        <v>26</v>
      </c>
      <c r="E5" s="14" t="s">
        <v>725</v>
      </c>
      <c r="F5" s="14" t="s">
        <v>11</v>
      </c>
      <c r="G5" s="13"/>
      <c r="H5" s="14">
        <f t="shared" si="0"/>
        <v>2</v>
      </c>
      <c r="I5" s="13">
        <v>2</v>
      </c>
      <c r="J5" s="13">
        <v>2</v>
      </c>
      <c r="K5" s="13" t="s">
        <v>4057</v>
      </c>
      <c r="L5" s="14" t="s">
        <v>119</v>
      </c>
      <c r="M5" s="14">
        <v>735</v>
      </c>
      <c r="N5" s="14">
        <v>572</v>
      </c>
      <c r="O5" s="14">
        <v>373500</v>
      </c>
      <c r="P5" s="14">
        <v>157200</v>
      </c>
      <c r="Q5" s="13"/>
      <c r="R5" s="14"/>
      <c r="S5" s="14"/>
    </row>
    <row r="6" spans="1:19" s="11" customFormat="1" ht="25.5" customHeight="1" x14ac:dyDescent="0.25">
      <c r="A6" s="11" t="s">
        <v>3751</v>
      </c>
      <c r="B6" s="13" t="s">
        <v>411</v>
      </c>
      <c r="C6" s="16" t="s">
        <v>829</v>
      </c>
      <c r="D6" s="13" t="s">
        <v>830</v>
      </c>
      <c r="E6" s="13" t="s">
        <v>831</v>
      </c>
      <c r="F6" s="14" t="s">
        <v>11</v>
      </c>
      <c r="G6" s="13"/>
      <c r="H6" s="14">
        <f t="shared" si="0"/>
        <v>1</v>
      </c>
      <c r="I6" s="13">
        <v>1</v>
      </c>
      <c r="J6" s="13">
        <v>1</v>
      </c>
      <c r="K6" s="13" t="s">
        <v>1187</v>
      </c>
      <c r="L6" s="14" t="s">
        <v>111</v>
      </c>
      <c r="M6" s="14">
        <v>989</v>
      </c>
      <c r="N6" s="14">
        <v>223</v>
      </c>
      <c r="O6" s="14">
        <v>498900</v>
      </c>
      <c r="P6" s="14">
        <v>222300</v>
      </c>
      <c r="R6" s="14"/>
      <c r="S6" s="14"/>
    </row>
    <row r="7" spans="1:19" s="14" customFormat="1" ht="25.5" customHeight="1" x14ac:dyDescent="0.25">
      <c r="A7" s="11" t="s">
        <v>3751</v>
      </c>
      <c r="B7" s="13" t="s">
        <v>411</v>
      </c>
      <c r="C7" s="16" t="s">
        <v>412</v>
      </c>
      <c r="D7" s="13" t="s">
        <v>18</v>
      </c>
      <c r="E7" s="14" t="s">
        <v>413</v>
      </c>
      <c r="F7" s="14" t="s">
        <v>11</v>
      </c>
      <c r="G7" s="13"/>
      <c r="H7" s="14">
        <f t="shared" si="0"/>
        <v>1</v>
      </c>
      <c r="I7" s="13">
        <v>1</v>
      </c>
      <c r="J7" s="13">
        <v>1</v>
      </c>
      <c r="K7" s="13" t="s">
        <v>2301</v>
      </c>
      <c r="L7" s="14" t="s">
        <v>177</v>
      </c>
      <c r="M7" s="14">
        <v>615</v>
      </c>
      <c r="N7" s="14">
        <v>2460</v>
      </c>
      <c r="O7" s="14">
        <v>506150</v>
      </c>
      <c r="P7" s="14">
        <v>224600</v>
      </c>
    </row>
    <row r="8" spans="1:19" s="14" customFormat="1" ht="22.5" x14ac:dyDescent="0.25">
      <c r="A8" s="11" t="s">
        <v>3751</v>
      </c>
      <c r="B8" s="13" t="s">
        <v>3211</v>
      </c>
      <c r="C8" s="16" t="s">
        <v>4031</v>
      </c>
      <c r="D8" s="13" t="s">
        <v>278</v>
      </c>
      <c r="E8" s="14" t="s">
        <v>4032</v>
      </c>
      <c r="F8" s="14" t="s">
        <v>11</v>
      </c>
      <c r="G8" s="13"/>
      <c r="H8" s="14">
        <f>G8+I8</f>
        <v>1</v>
      </c>
      <c r="I8" s="13">
        <v>1</v>
      </c>
      <c r="J8" s="13">
        <v>1</v>
      </c>
      <c r="K8" s="13" t="s">
        <v>1187</v>
      </c>
      <c r="L8" s="14" t="s">
        <v>111</v>
      </c>
      <c r="M8" s="14">
        <v>8220</v>
      </c>
      <c r="N8" s="14">
        <v>408</v>
      </c>
      <c r="O8" s="14">
        <v>482200</v>
      </c>
      <c r="P8" s="14">
        <v>204080</v>
      </c>
    </row>
    <row r="9" spans="1:19" s="14" customFormat="1" ht="33.75" x14ac:dyDescent="0.25">
      <c r="A9" s="11" t="s">
        <v>3751</v>
      </c>
      <c r="B9" s="13" t="s">
        <v>76</v>
      </c>
      <c r="C9" s="16" t="s">
        <v>330</v>
      </c>
      <c r="D9" s="13" t="s">
        <v>4474</v>
      </c>
      <c r="E9" s="14" t="s">
        <v>1281</v>
      </c>
      <c r="F9" s="14" t="s">
        <v>11</v>
      </c>
      <c r="G9" s="13">
        <v>28</v>
      </c>
      <c r="H9" s="14">
        <f>G9+I9</f>
        <v>28</v>
      </c>
      <c r="I9" s="13"/>
      <c r="J9" s="13">
        <v>17</v>
      </c>
      <c r="K9" s="13" t="s">
        <v>4551</v>
      </c>
      <c r="L9" s="14" t="s">
        <v>177</v>
      </c>
      <c r="M9" s="14">
        <v>193</v>
      </c>
      <c r="N9" s="14">
        <v>983</v>
      </c>
      <c r="O9" s="14">
        <v>519300</v>
      </c>
      <c r="P9" s="14">
        <v>298300</v>
      </c>
    </row>
    <row r="10" spans="1:19" s="14" customFormat="1" ht="22.5" x14ac:dyDescent="0.25">
      <c r="A10" s="11" t="s">
        <v>3751</v>
      </c>
      <c r="B10" s="13" t="s">
        <v>76</v>
      </c>
      <c r="C10" s="16" t="s">
        <v>501</v>
      </c>
      <c r="D10" s="13" t="s">
        <v>90</v>
      </c>
      <c r="E10" s="13" t="s">
        <v>176</v>
      </c>
      <c r="F10" s="14" t="s">
        <v>11</v>
      </c>
      <c r="G10" s="13"/>
      <c r="H10" s="14">
        <f t="shared" si="0"/>
        <v>1</v>
      </c>
      <c r="I10" s="13">
        <v>1</v>
      </c>
      <c r="J10" s="13">
        <v>1</v>
      </c>
      <c r="K10" s="13" t="s">
        <v>4614</v>
      </c>
      <c r="L10" s="14" t="s">
        <v>175</v>
      </c>
      <c r="M10" s="14">
        <v>577</v>
      </c>
      <c r="N10" s="14">
        <v>647</v>
      </c>
      <c r="O10" s="14">
        <v>557700</v>
      </c>
      <c r="P10" s="14">
        <v>364700</v>
      </c>
    </row>
    <row r="11" spans="1:19" s="14" customFormat="1" ht="22.5" x14ac:dyDescent="0.25">
      <c r="A11" s="11" t="s">
        <v>3751</v>
      </c>
      <c r="B11" s="13" t="s">
        <v>76</v>
      </c>
      <c r="C11" s="16" t="s">
        <v>2023</v>
      </c>
      <c r="D11" s="13" t="s">
        <v>3964</v>
      </c>
      <c r="E11" s="13" t="s">
        <v>1926</v>
      </c>
      <c r="F11" s="14" t="s">
        <v>11</v>
      </c>
      <c r="G11" s="13"/>
      <c r="H11" s="14">
        <f t="shared" si="0"/>
        <v>3</v>
      </c>
      <c r="I11" s="13">
        <v>3</v>
      </c>
      <c r="J11" s="13">
        <v>3</v>
      </c>
      <c r="K11" s="13" t="s">
        <v>4580</v>
      </c>
      <c r="L11" s="14" t="s">
        <v>177</v>
      </c>
      <c r="M11" s="14">
        <v>203</v>
      </c>
      <c r="N11" s="14">
        <v>716</v>
      </c>
      <c r="O11" s="14">
        <v>520300</v>
      </c>
      <c r="P11" s="14">
        <v>271600</v>
      </c>
    </row>
    <row r="12" spans="1:19" s="14" customFormat="1" ht="22.5" x14ac:dyDescent="0.25">
      <c r="A12" s="11" t="s">
        <v>3751</v>
      </c>
      <c r="B12" s="13" t="s">
        <v>76</v>
      </c>
      <c r="C12" s="16" t="s">
        <v>615</v>
      </c>
      <c r="D12" s="13" t="s">
        <v>616</v>
      </c>
      <c r="E12" s="13" t="s">
        <v>178</v>
      </c>
      <c r="F12" s="14" t="s">
        <v>11</v>
      </c>
      <c r="G12" s="13"/>
      <c r="H12" s="14">
        <f t="shared" si="0"/>
        <v>2</v>
      </c>
      <c r="I12" s="13">
        <v>2</v>
      </c>
      <c r="J12" s="13">
        <v>2</v>
      </c>
      <c r="K12" s="13" t="s">
        <v>3890</v>
      </c>
      <c r="L12" s="14" t="s">
        <v>177</v>
      </c>
      <c r="M12" s="14">
        <v>662</v>
      </c>
      <c r="N12" s="14">
        <v>698</v>
      </c>
      <c r="O12" s="14">
        <v>566200</v>
      </c>
      <c r="P12" s="14">
        <v>269800</v>
      </c>
    </row>
    <row r="13" spans="1:19" ht="33.75" x14ac:dyDescent="0.25">
      <c r="A13" s="11" t="s">
        <v>3751</v>
      </c>
      <c r="B13" s="13" t="s">
        <v>76</v>
      </c>
      <c r="C13" s="16" t="s">
        <v>174</v>
      </c>
      <c r="D13" s="13" t="s">
        <v>3823</v>
      </c>
      <c r="E13" s="13" t="s">
        <v>176</v>
      </c>
      <c r="F13" s="14" t="s">
        <v>11</v>
      </c>
      <c r="G13" s="13">
        <v>13</v>
      </c>
      <c r="H13" s="14">
        <f t="shared" si="0"/>
        <v>26</v>
      </c>
      <c r="I13" s="14">
        <v>13</v>
      </c>
      <c r="J13" s="14">
        <v>21</v>
      </c>
      <c r="K13" s="13" t="s">
        <v>4518</v>
      </c>
      <c r="L13" s="15" t="s">
        <v>175</v>
      </c>
      <c r="M13" s="15">
        <v>1385</v>
      </c>
      <c r="N13" s="15">
        <v>735</v>
      </c>
      <c r="O13" s="15">
        <v>513850</v>
      </c>
      <c r="P13" s="15">
        <v>307350</v>
      </c>
    </row>
    <row r="14" spans="1:19" ht="22.5" x14ac:dyDescent="0.25">
      <c r="A14" s="11" t="s">
        <v>3751</v>
      </c>
      <c r="B14" s="13" t="s">
        <v>76</v>
      </c>
      <c r="C14" s="16" t="s">
        <v>3960</v>
      </c>
      <c r="D14" s="13" t="s">
        <v>20</v>
      </c>
      <c r="E14" s="13" t="s">
        <v>176</v>
      </c>
      <c r="F14" s="14" t="s">
        <v>11</v>
      </c>
      <c r="G14" s="13"/>
      <c r="H14" s="14">
        <f>G14+I14</f>
        <v>2</v>
      </c>
      <c r="I14" s="14">
        <v>2</v>
      </c>
      <c r="J14" s="14">
        <v>2</v>
      </c>
      <c r="K14" s="13" t="s">
        <v>1145</v>
      </c>
      <c r="L14" s="15" t="s">
        <v>175</v>
      </c>
      <c r="M14" s="15">
        <v>1385</v>
      </c>
      <c r="N14" s="15">
        <v>735</v>
      </c>
      <c r="O14" s="15">
        <v>513850</v>
      </c>
      <c r="P14" s="15">
        <v>307350</v>
      </c>
    </row>
    <row r="15" spans="1:19" ht="22.5" x14ac:dyDescent="0.25">
      <c r="A15" s="11" t="s">
        <v>3751</v>
      </c>
      <c r="B15" s="13" t="s">
        <v>76</v>
      </c>
      <c r="C15" s="16" t="s">
        <v>3824</v>
      </c>
      <c r="D15" s="13" t="s">
        <v>3825</v>
      </c>
      <c r="E15" s="13" t="s">
        <v>176</v>
      </c>
      <c r="F15" s="14" t="s">
        <v>11</v>
      </c>
      <c r="G15" s="13"/>
      <c r="H15" s="14">
        <f>G15+I15</f>
        <v>2</v>
      </c>
      <c r="I15" s="14">
        <v>2</v>
      </c>
      <c r="J15" s="14">
        <v>2</v>
      </c>
      <c r="K15" s="13" t="s">
        <v>3959</v>
      </c>
      <c r="L15" s="15" t="s">
        <v>175</v>
      </c>
      <c r="M15" s="15">
        <v>1368</v>
      </c>
      <c r="N15" s="15">
        <v>734</v>
      </c>
      <c r="O15" s="15">
        <v>513680</v>
      </c>
      <c r="P15" s="15">
        <v>307340</v>
      </c>
    </row>
    <row r="16" spans="1:19" ht="33.75" x14ac:dyDescent="0.25">
      <c r="A16" s="11" t="s">
        <v>3751</v>
      </c>
      <c r="B16" s="13" t="s">
        <v>76</v>
      </c>
      <c r="C16" s="16" t="s">
        <v>179</v>
      </c>
      <c r="D16" s="13" t="s">
        <v>3167</v>
      </c>
      <c r="E16" s="13" t="s">
        <v>176</v>
      </c>
      <c r="F16" s="14" t="s">
        <v>11</v>
      </c>
      <c r="G16" s="13">
        <v>12</v>
      </c>
      <c r="H16" s="14">
        <f t="shared" si="0"/>
        <v>15</v>
      </c>
      <c r="I16" s="14">
        <v>3</v>
      </c>
      <c r="J16" s="14">
        <v>9</v>
      </c>
      <c r="K16" s="13" t="s">
        <v>4550</v>
      </c>
      <c r="L16" s="15" t="s">
        <v>177</v>
      </c>
      <c r="M16" s="15">
        <v>208</v>
      </c>
      <c r="N16" s="15">
        <v>989</v>
      </c>
      <c r="O16" s="15">
        <v>520800</v>
      </c>
      <c r="P16" s="15">
        <v>298900</v>
      </c>
    </row>
    <row r="17" spans="1:17" ht="25.5" x14ac:dyDescent="0.25">
      <c r="A17" s="11" t="s">
        <v>3751</v>
      </c>
      <c r="B17" s="13" t="s">
        <v>76</v>
      </c>
      <c r="C17" s="16" t="s">
        <v>3369</v>
      </c>
      <c r="D17" s="13" t="s">
        <v>39</v>
      </c>
      <c r="E17" s="13" t="s">
        <v>176</v>
      </c>
      <c r="F17" s="14" t="s">
        <v>11</v>
      </c>
      <c r="G17" s="13"/>
      <c r="H17" s="14">
        <f t="shared" si="0"/>
        <v>3</v>
      </c>
      <c r="I17" s="14">
        <v>3</v>
      </c>
      <c r="J17" s="14">
        <v>2</v>
      </c>
      <c r="K17" s="13" t="s">
        <v>3830</v>
      </c>
      <c r="L17" s="15" t="s">
        <v>177</v>
      </c>
      <c r="M17" s="15">
        <v>208</v>
      </c>
      <c r="N17" s="15">
        <v>989</v>
      </c>
      <c r="O17" s="15">
        <v>520800</v>
      </c>
      <c r="P17" s="15">
        <v>298900</v>
      </c>
    </row>
    <row r="18" spans="1:17" ht="45" x14ac:dyDescent="0.25">
      <c r="A18" s="11" t="s">
        <v>3751</v>
      </c>
      <c r="B18" s="13" t="s">
        <v>76</v>
      </c>
      <c r="C18" s="16" t="s">
        <v>2487</v>
      </c>
      <c r="D18" s="13" t="s">
        <v>2546</v>
      </c>
      <c r="E18" s="13" t="s">
        <v>176</v>
      </c>
      <c r="F18" s="14" t="s">
        <v>11</v>
      </c>
      <c r="G18" s="13">
        <v>1</v>
      </c>
      <c r="H18" s="14">
        <f t="shared" si="0"/>
        <v>1</v>
      </c>
      <c r="J18" s="14">
        <v>1</v>
      </c>
      <c r="K18" s="13" t="s">
        <v>958</v>
      </c>
      <c r="L18" s="15" t="s">
        <v>177</v>
      </c>
      <c r="M18" s="15">
        <v>22714</v>
      </c>
      <c r="N18" s="15">
        <v>98911</v>
      </c>
      <c r="O18" s="15">
        <v>522714</v>
      </c>
      <c r="P18" s="15">
        <v>298911</v>
      </c>
    </row>
    <row r="19" spans="1:17" ht="22.5" x14ac:dyDescent="0.25">
      <c r="A19" s="11" t="s">
        <v>3751</v>
      </c>
      <c r="B19" s="13" t="s">
        <v>76</v>
      </c>
      <c r="C19" s="16" t="s">
        <v>3965</v>
      </c>
      <c r="D19" s="13" t="s">
        <v>1932</v>
      </c>
      <c r="E19" s="13" t="s">
        <v>3626</v>
      </c>
      <c r="F19" s="14" t="s">
        <v>11</v>
      </c>
      <c r="G19" s="13"/>
      <c r="H19" s="14">
        <f>G19+I19</f>
        <v>1</v>
      </c>
      <c r="I19" s="14">
        <v>1</v>
      </c>
      <c r="J19" s="14">
        <v>1</v>
      </c>
      <c r="K19" s="13" t="s">
        <v>2503</v>
      </c>
      <c r="L19" s="15" t="s">
        <v>177</v>
      </c>
      <c r="M19" s="15">
        <v>539</v>
      </c>
      <c r="N19" s="15">
        <v>578</v>
      </c>
      <c r="O19" s="15">
        <v>553900</v>
      </c>
      <c r="P19" s="15">
        <v>257800</v>
      </c>
    </row>
    <row r="20" spans="1:17" ht="22.5" x14ac:dyDescent="0.25">
      <c r="A20" s="11" t="s">
        <v>3751</v>
      </c>
      <c r="B20" s="13" t="s">
        <v>76</v>
      </c>
      <c r="C20" s="16" t="s">
        <v>946</v>
      </c>
      <c r="D20" s="13" t="s">
        <v>1932</v>
      </c>
      <c r="E20" s="13" t="s">
        <v>178</v>
      </c>
      <c r="F20" s="14" t="s">
        <v>11</v>
      </c>
      <c r="G20" s="13"/>
      <c r="H20" s="14">
        <f>G20+I20</f>
        <v>11</v>
      </c>
      <c r="I20" s="14">
        <v>11</v>
      </c>
      <c r="J20" s="14">
        <v>8</v>
      </c>
      <c r="K20" s="13" t="s">
        <v>4066</v>
      </c>
      <c r="L20" s="15" t="s">
        <v>177</v>
      </c>
      <c r="M20" s="15">
        <v>420</v>
      </c>
      <c r="N20" s="15">
        <v>767</v>
      </c>
      <c r="O20" s="15">
        <v>542000</v>
      </c>
      <c r="P20" s="15">
        <v>276700</v>
      </c>
    </row>
    <row r="21" spans="1:17" ht="22.5" x14ac:dyDescent="0.25">
      <c r="A21" s="11" t="s">
        <v>3751</v>
      </c>
      <c r="B21" s="13" t="s">
        <v>76</v>
      </c>
      <c r="C21" s="16" t="s">
        <v>946</v>
      </c>
      <c r="D21" s="13" t="s">
        <v>26</v>
      </c>
      <c r="E21" s="13" t="s">
        <v>178</v>
      </c>
      <c r="F21" s="14" t="s">
        <v>11</v>
      </c>
      <c r="G21" s="13"/>
      <c r="H21" s="14">
        <f t="shared" si="0"/>
        <v>6</v>
      </c>
      <c r="I21" s="14">
        <v>6</v>
      </c>
      <c r="J21" s="14">
        <v>3</v>
      </c>
      <c r="K21" s="13" t="s">
        <v>4011</v>
      </c>
      <c r="L21" s="15" t="s">
        <v>177</v>
      </c>
      <c r="M21" s="15">
        <v>420</v>
      </c>
      <c r="N21" s="15">
        <v>767</v>
      </c>
      <c r="O21" s="15">
        <v>542000</v>
      </c>
      <c r="P21" s="15">
        <v>276700</v>
      </c>
    </row>
    <row r="22" spans="1:17" ht="22.5" x14ac:dyDescent="0.25">
      <c r="A22" s="11" t="s">
        <v>3751</v>
      </c>
      <c r="B22" s="13" t="s">
        <v>76</v>
      </c>
      <c r="C22" s="16" t="s">
        <v>388</v>
      </c>
      <c r="D22" s="13" t="s">
        <v>20</v>
      </c>
      <c r="E22" s="13" t="s">
        <v>176</v>
      </c>
      <c r="F22" s="14" t="s">
        <v>11</v>
      </c>
      <c r="G22" s="13">
        <v>1</v>
      </c>
      <c r="H22" s="14">
        <f t="shared" si="0"/>
        <v>3</v>
      </c>
      <c r="I22" s="14">
        <v>2</v>
      </c>
      <c r="J22" s="14">
        <v>3</v>
      </c>
      <c r="K22" s="13" t="s">
        <v>3961</v>
      </c>
      <c r="L22" s="15" t="s">
        <v>175</v>
      </c>
      <c r="M22" s="15">
        <v>1180</v>
      </c>
      <c r="N22" s="15">
        <v>830</v>
      </c>
      <c r="O22" s="15">
        <v>511800</v>
      </c>
      <c r="P22" s="15">
        <v>308300</v>
      </c>
    </row>
    <row r="23" spans="1:17" ht="22.5" x14ac:dyDescent="0.25">
      <c r="A23" s="11" t="s">
        <v>3751</v>
      </c>
      <c r="B23" s="13" t="s">
        <v>76</v>
      </c>
      <c r="C23" s="16" t="s">
        <v>3966</v>
      </c>
      <c r="D23" s="13" t="s">
        <v>1932</v>
      </c>
      <c r="E23" s="13" t="s">
        <v>3626</v>
      </c>
      <c r="F23" s="14" t="s">
        <v>11</v>
      </c>
      <c r="G23" s="13"/>
      <c r="H23" s="14">
        <f t="shared" si="0"/>
        <v>1</v>
      </c>
      <c r="I23" s="14">
        <v>1</v>
      </c>
      <c r="J23" s="14">
        <v>1</v>
      </c>
      <c r="K23" s="13" t="s">
        <v>2503</v>
      </c>
      <c r="L23" s="15" t="s">
        <v>177</v>
      </c>
      <c r="M23" s="15">
        <v>385</v>
      </c>
      <c r="N23" s="15">
        <v>445</v>
      </c>
      <c r="O23" s="15">
        <v>538500</v>
      </c>
      <c r="P23" s="15">
        <v>244500</v>
      </c>
    </row>
    <row r="24" spans="1:17" ht="22.5" x14ac:dyDescent="0.25">
      <c r="A24" s="11" t="s">
        <v>3751</v>
      </c>
      <c r="B24" s="13" t="s">
        <v>76</v>
      </c>
      <c r="C24" s="16" t="s">
        <v>3933</v>
      </c>
      <c r="D24" s="13" t="s">
        <v>1932</v>
      </c>
      <c r="E24" s="13" t="s">
        <v>176</v>
      </c>
      <c r="F24" s="14" t="s">
        <v>11</v>
      </c>
      <c r="G24" s="13"/>
      <c r="H24" s="14">
        <f t="shared" si="0"/>
        <v>2</v>
      </c>
      <c r="I24" s="14">
        <v>2</v>
      </c>
      <c r="J24" s="14">
        <v>1</v>
      </c>
      <c r="K24" s="13" t="s">
        <v>414</v>
      </c>
      <c r="L24" s="15" t="s">
        <v>175</v>
      </c>
      <c r="M24" s="15">
        <v>1557</v>
      </c>
      <c r="N24" s="15">
        <v>844</v>
      </c>
      <c r="O24" s="15">
        <v>515570</v>
      </c>
      <c r="P24" s="15">
        <v>308440</v>
      </c>
    </row>
    <row r="25" spans="1:17" ht="33.75" x14ac:dyDescent="0.25">
      <c r="A25" s="11" t="s">
        <v>3751</v>
      </c>
      <c r="B25" s="13" t="s">
        <v>76</v>
      </c>
      <c r="C25" s="16" t="s">
        <v>4017</v>
      </c>
      <c r="D25" s="13" t="s">
        <v>4018</v>
      </c>
      <c r="E25" s="13" t="s">
        <v>176</v>
      </c>
      <c r="F25" s="14" t="s">
        <v>11</v>
      </c>
      <c r="G25" s="13"/>
      <c r="H25" s="14">
        <f>G25+I25</f>
        <v>1</v>
      </c>
      <c r="I25" s="14">
        <v>1</v>
      </c>
      <c r="J25" s="14">
        <v>1</v>
      </c>
      <c r="K25" s="13" t="s">
        <v>866</v>
      </c>
      <c r="L25" s="15" t="s">
        <v>177</v>
      </c>
      <c r="M25" s="15">
        <v>1641</v>
      </c>
      <c r="N25" s="15">
        <v>9700</v>
      </c>
      <c r="O25" s="15">
        <v>516410</v>
      </c>
      <c r="P25" s="15">
        <v>297000</v>
      </c>
    </row>
    <row r="26" spans="1:17" ht="25.5" x14ac:dyDescent="0.25">
      <c r="A26" s="11" t="s">
        <v>3751</v>
      </c>
      <c r="B26" s="13" t="s">
        <v>76</v>
      </c>
      <c r="C26" s="16" t="s">
        <v>1872</v>
      </c>
      <c r="D26" s="13" t="s">
        <v>39</v>
      </c>
      <c r="E26" s="13" t="s">
        <v>178</v>
      </c>
      <c r="F26" s="14" t="s">
        <v>11</v>
      </c>
      <c r="G26" s="13">
        <v>1</v>
      </c>
      <c r="H26" s="14">
        <f t="shared" si="0"/>
        <v>1</v>
      </c>
      <c r="J26" s="14">
        <v>1</v>
      </c>
      <c r="K26" s="13" t="s">
        <v>958</v>
      </c>
      <c r="L26" s="15" t="s">
        <v>177</v>
      </c>
      <c r="M26" s="15">
        <v>6390</v>
      </c>
      <c r="N26" s="15">
        <v>8496</v>
      </c>
      <c r="O26" s="15">
        <v>563900</v>
      </c>
      <c r="P26" s="15">
        <v>284960</v>
      </c>
    </row>
    <row r="27" spans="1:17" ht="22.5" x14ac:dyDescent="0.25">
      <c r="A27" s="11" t="s">
        <v>3751</v>
      </c>
      <c r="B27" s="13" t="s">
        <v>76</v>
      </c>
      <c r="C27" s="16" t="s">
        <v>3934</v>
      </c>
      <c r="D27" s="13" t="s">
        <v>1932</v>
      </c>
      <c r="E27" s="13" t="s">
        <v>176</v>
      </c>
      <c r="F27" s="14" t="s">
        <v>11</v>
      </c>
      <c r="G27" s="13"/>
      <c r="H27" s="14">
        <f>G27+I27</f>
        <v>2</v>
      </c>
      <c r="I27" s="14">
        <v>2</v>
      </c>
      <c r="J27" s="14">
        <v>1</v>
      </c>
      <c r="K27" s="13" t="s">
        <v>414</v>
      </c>
      <c r="L27" s="15" t="s">
        <v>175</v>
      </c>
      <c r="M27" s="15">
        <v>998</v>
      </c>
      <c r="N27" s="15">
        <v>58</v>
      </c>
      <c r="O27" s="15">
        <v>509980</v>
      </c>
      <c r="P27" s="15">
        <v>300580</v>
      </c>
    </row>
    <row r="28" spans="1:17" ht="22.5" x14ac:dyDescent="0.25">
      <c r="A28" s="11" t="s">
        <v>3751</v>
      </c>
      <c r="B28" s="13" t="s">
        <v>213</v>
      </c>
      <c r="C28" s="16" t="s">
        <v>214</v>
      </c>
      <c r="D28" s="13" t="s">
        <v>215</v>
      </c>
      <c r="E28" s="13" t="s">
        <v>216</v>
      </c>
      <c r="F28" s="14" t="s">
        <v>11</v>
      </c>
      <c r="G28" s="13"/>
      <c r="H28" s="14">
        <f t="shared" si="0"/>
        <v>4</v>
      </c>
      <c r="I28" s="14">
        <v>4</v>
      </c>
      <c r="J28" s="14">
        <v>3</v>
      </c>
      <c r="K28" s="13" t="s">
        <v>4019</v>
      </c>
      <c r="L28" s="15" t="s">
        <v>218</v>
      </c>
      <c r="M28" s="15">
        <v>7365</v>
      </c>
      <c r="N28" s="15">
        <v>1960</v>
      </c>
      <c r="O28" s="15">
        <v>473650</v>
      </c>
      <c r="P28" s="15">
        <v>519600</v>
      </c>
      <c r="Q28" s="15"/>
    </row>
    <row r="29" spans="1:17" ht="22.5" x14ac:dyDescent="0.25">
      <c r="A29" s="11" t="s">
        <v>3751</v>
      </c>
      <c r="B29" s="13" t="s">
        <v>42</v>
      </c>
      <c r="C29" s="16" t="s">
        <v>4069</v>
      </c>
      <c r="D29" s="13" t="s">
        <v>41</v>
      </c>
      <c r="E29" s="14" t="s">
        <v>4070</v>
      </c>
      <c r="F29" s="14" t="s">
        <v>11</v>
      </c>
      <c r="G29" s="13"/>
      <c r="H29" s="14">
        <f>G29+I29</f>
        <v>1</v>
      </c>
      <c r="I29" s="14">
        <v>1</v>
      </c>
      <c r="J29" s="14">
        <v>1</v>
      </c>
      <c r="K29" s="13" t="s">
        <v>2206</v>
      </c>
      <c r="L29" s="15" t="s">
        <v>520</v>
      </c>
      <c r="M29" s="15">
        <v>2630</v>
      </c>
      <c r="N29" s="15">
        <v>7434</v>
      </c>
      <c r="O29" s="15">
        <v>226300</v>
      </c>
      <c r="P29" s="15">
        <v>74340</v>
      </c>
      <c r="Q29" s="15"/>
    </row>
    <row r="30" spans="1:17" ht="22.5" x14ac:dyDescent="0.25">
      <c r="A30" s="11" t="s">
        <v>3751</v>
      </c>
      <c r="B30" s="13" t="s">
        <v>42</v>
      </c>
      <c r="C30" s="16" t="s">
        <v>142</v>
      </c>
      <c r="D30" s="13" t="s">
        <v>3943</v>
      </c>
      <c r="E30" s="14" t="s">
        <v>143</v>
      </c>
      <c r="F30" s="14" t="s">
        <v>11</v>
      </c>
      <c r="G30" s="13">
        <v>2</v>
      </c>
      <c r="H30" s="14">
        <f t="shared" si="0"/>
        <v>10</v>
      </c>
      <c r="I30" s="14">
        <v>8</v>
      </c>
      <c r="J30" s="14">
        <v>8</v>
      </c>
      <c r="K30" s="13" t="s">
        <v>4483</v>
      </c>
      <c r="L30" s="15" t="s">
        <v>144</v>
      </c>
      <c r="M30" s="15">
        <v>685</v>
      </c>
      <c r="N30" s="15">
        <v>407</v>
      </c>
      <c r="O30" s="15">
        <v>168500</v>
      </c>
      <c r="P30" s="15">
        <v>40700</v>
      </c>
      <c r="Q30" s="15"/>
    </row>
    <row r="31" spans="1:17" ht="22.5" x14ac:dyDescent="0.25">
      <c r="A31" s="11" t="s">
        <v>3751</v>
      </c>
      <c r="B31" s="13" t="s">
        <v>42</v>
      </c>
      <c r="C31" s="16" t="s">
        <v>4067</v>
      </c>
      <c r="D31" s="13" t="s">
        <v>41</v>
      </c>
      <c r="E31" s="14" t="s">
        <v>4068</v>
      </c>
      <c r="F31" s="14" t="s">
        <v>11</v>
      </c>
      <c r="G31" s="13"/>
      <c r="H31" s="14">
        <f t="shared" si="0"/>
        <v>2</v>
      </c>
      <c r="I31" s="14">
        <v>2</v>
      </c>
      <c r="J31" s="14">
        <v>1</v>
      </c>
      <c r="K31" s="13" t="s">
        <v>2206</v>
      </c>
      <c r="L31" s="15" t="s">
        <v>144</v>
      </c>
      <c r="M31" s="15">
        <v>4022</v>
      </c>
      <c r="N31" s="15">
        <v>3395</v>
      </c>
      <c r="O31" s="15">
        <v>140220</v>
      </c>
      <c r="P31" s="15">
        <v>33950</v>
      </c>
      <c r="Q31" s="15"/>
    </row>
    <row r="32" spans="1:17" ht="33.75" x14ac:dyDescent="0.25">
      <c r="A32" s="11" t="s">
        <v>3751</v>
      </c>
      <c r="B32" s="13" t="s">
        <v>42</v>
      </c>
      <c r="C32" s="16" t="s">
        <v>573</v>
      </c>
      <c r="D32" s="13" t="s">
        <v>3840</v>
      </c>
      <c r="E32" s="14" t="s">
        <v>43</v>
      </c>
      <c r="F32" s="14" t="s">
        <v>11</v>
      </c>
      <c r="G32" s="13"/>
      <c r="H32" s="14">
        <f t="shared" si="0"/>
        <v>3</v>
      </c>
      <c r="I32" s="14">
        <v>3</v>
      </c>
      <c r="J32" s="14">
        <v>3</v>
      </c>
      <c r="K32" s="13" t="s">
        <v>3892</v>
      </c>
      <c r="L32" s="15" t="s">
        <v>144</v>
      </c>
      <c r="M32" s="15">
        <v>601</v>
      </c>
      <c r="N32" s="15">
        <v>395</v>
      </c>
      <c r="O32" s="15">
        <v>160100</v>
      </c>
      <c r="P32" s="15">
        <v>39500</v>
      </c>
      <c r="Q32" s="15"/>
    </row>
    <row r="33" spans="1:17" x14ac:dyDescent="0.25">
      <c r="A33" s="11" t="s">
        <v>3751</v>
      </c>
      <c r="B33" s="13" t="s">
        <v>42</v>
      </c>
      <c r="C33" s="16" t="s">
        <v>1961</v>
      </c>
      <c r="D33" s="13" t="s">
        <v>401</v>
      </c>
      <c r="E33" s="14" t="s">
        <v>1962</v>
      </c>
      <c r="F33" s="14" t="s">
        <v>11</v>
      </c>
      <c r="G33" s="13"/>
      <c r="H33" s="14">
        <f t="shared" si="0"/>
        <v>4</v>
      </c>
      <c r="I33" s="14">
        <v>4</v>
      </c>
      <c r="J33" s="14">
        <v>3</v>
      </c>
      <c r="K33" s="13" t="s">
        <v>3945</v>
      </c>
      <c r="L33" s="15" t="s">
        <v>520</v>
      </c>
      <c r="M33" s="15">
        <v>61</v>
      </c>
      <c r="N33" s="15">
        <v>610</v>
      </c>
      <c r="O33" s="15">
        <v>206100</v>
      </c>
      <c r="P33" s="15">
        <v>61000</v>
      </c>
      <c r="Q33" s="15"/>
    </row>
    <row r="34" spans="1:17" x14ac:dyDescent="0.25">
      <c r="A34" s="11" t="s">
        <v>3751</v>
      </c>
      <c r="B34" s="13" t="s">
        <v>42</v>
      </c>
      <c r="C34" s="16" t="s">
        <v>535</v>
      </c>
      <c r="D34" s="13" t="s">
        <v>2977</v>
      </c>
      <c r="E34" s="14" t="s">
        <v>43</v>
      </c>
      <c r="F34" s="14" t="s">
        <v>11</v>
      </c>
      <c r="G34" s="13"/>
      <c r="H34" s="14">
        <f t="shared" si="0"/>
        <v>1</v>
      </c>
      <c r="I34" s="14">
        <v>1</v>
      </c>
      <c r="J34" s="14">
        <v>1</v>
      </c>
      <c r="K34" s="13" t="s">
        <v>1656</v>
      </c>
      <c r="L34" s="15" t="s">
        <v>520</v>
      </c>
      <c r="M34" s="15">
        <v>25825</v>
      </c>
      <c r="N34" s="15">
        <v>71393</v>
      </c>
      <c r="O34" s="15">
        <v>225825</v>
      </c>
      <c r="P34" s="15">
        <v>71393</v>
      </c>
      <c r="Q34" s="15"/>
    </row>
    <row r="35" spans="1:17" x14ac:dyDescent="0.25">
      <c r="A35" s="11" t="s">
        <v>3751</v>
      </c>
      <c r="B35" s="13" t="s">
        <v>42</v>
      </c>
      <c r="C35" s="16" t="s">
        <v>4315</v>
      </c>
      <c r="D35" s="13" t="s">
        <v>8</v>
      </c>
      <c r="E35" s="14" t="s">
        <v>300</v>
      </c>
      <c r="F35" s="14" t="s">
        <v>11</v>
      </c>
      <c r="G35" s="13"/>
      <c r="H35" s="14">
        <f>G35+I35</f>
        <v>1</v>
      </c>
      <c r="I35" s="14">
        <v>1</v>
      </c>
      <c r="J35" s="14">
        <v>1</v>
      </c>
      <c r="K35" s="13" t="s">
        <v>1704</v>
      </c>
      <c r="L35" s="15" t="s">
        <v>520</v>
      </c>
      <c r="M35" s="15">
        <v>1297</v>
      </c>
      <c r="N35" s="15">
        <v>7765</v>
      </c>
      <c r="O35" s="15">
        <v>212970</v>
      </c>
      <c r="P35" s="15">
        <v>77650</v>
      </c>
      <c r="Q35" s="15"/>
    </row>
    <row r="36" spans="1:17" ht="25.5" x14ac:dyDescent="0.25">
      <c r="A36" s="11" t="s">
        <v>3751</v>
      </c>
      <c r="B36" s="13" t="s">
        <v>42</v>
      </c>
      <c r="C36" s="16" t="s">
        <v>4065</v>
      </c>
      <c r="D36" s="13" t="s">
        <v>41</v>
      </c>
      <c r="E36" s="14" t="s">
        <v>2978</v>
      </c>
      <c r="F36" s="14" t="s">
        <v>11</v>
      </c>
      <c r="G36" s="13"/>
      <c r="H36" s="14">
        <f>G36+I36</f>
        <v>2</v>
      </c>
      <c r="I36" s="14">
        <v>2</v>
      </c>
      <c r="J36" s="14">
        <v>2</v>
      </c>
      <c r="K36" s="13" t="s">
        <v>4071</v>
      </c>
      <c r="L36" s="15" t="s">
        <v>144</v>
      </c>
      <c r="M36" s="15">
        <v>4231</v>
      </c>
      <c r="N36" s="15">
        <v>3378</v>
      </c>
      <c r="O36" s="15">
        <v>142310</v>
      </c>
      <c r="P36" s="15">
        <v>33780</v>
      </c>
      <c r="Q36" s="15"/>
    </row>
    <row r="37" spans="1:17" ht="33.75" x14ac:dyDescent="0.25">
      <c r="A37" s="11" t="s">
        <v>3751</v>
      </c>
      <c r="B37" s="13" t="s">
        <v>42</v>
      </c>
      <c r="C37" s="16" t="s">
        <v>4291</v>
      </c>
      <c r="D37" s="13" t="s">
        <v>4292</v>
      </c>
      <c r="E37" s="14" t="s">
        <v>4293</v>
      </c>
      <c r="F37" s="14" t="s">
        <v>11</v>
      </c>
      <c r="G37" s="13"/>
      <c r="H37" s="14">
        <f>G37+I37</f>
        <v>1</v>
      </c>
      <c r="I37" s="14">
        <v>1</v>
      </c>
      <c r="J37" s="14">
        <v>1</v>
      </c>
      <c r="K37" s="13" t="s">
        <v>1656</v>
      </c>
      <c r="L37" s="15" t="s">
        <v>520</v>
      </c>
      <c r="M37" s="15">
        <v>1881</v>
      </c>
      <c r="N37" s="15">
        <v>7962</v>
      </c>
      <c r="O37" s="15">
        <v>218810</v>
      </c>
      <c r="P37" s="15">
        <v>79620</v>
      </c>
      <c r="Q37" s="15"/>
    </row>
    <row r="38" spans="1:17" ht="22.5" x14ac:dyDescent="0.25">
      <c r="A38" s="11" t="s">
        <v>3751</v>
      </c>
      <c r="B38" s="13" t="s">
        <v>42</v>
      </c>
      <c r="C38" s="16" t="s">
        <v>1776</v>
      </c>
      <c r="D38" s="13" t="s">
        <v>41</v>
      </c>
      <c r="E38" s="14" t="s">
        <v>363</v>
      </c>
      <c r="F38" s="14" t="s">
        <v>11</v>
      </c>
      <c r="G38" s="13"/>
      <c r="H38" s="14">
        <f t="shared" ref="H38:H155" si="1">G38+I38</f>
        <v>1</v>
      </c>
      <c r="I38" s="14">
        <v>1</v>
      </c>
      <c r="J38" s="14">
        <v>1</v>
      </c>
      <c r="K38" s="13" t="s">
        <v>2206</v>
      </c>
      <c r="L38" s="15" t="s">
        <v>144</v>
      </c>
      <c r="M38" s="15">
        <v>4518</v>
      </c>
      <c r="N38" s="15">
        <v>3535</v>
      </c>
      <c r="O38" s="15">
        <v>145180</v>
      </c>
      <c r="P38" s="15">
        <v>35350</v>
      </c>
      <c r="Q38" s="15"/>
    </row>
    <row r="39" spans="1:17" x14ac:dyDescent="0.25">
      <c r="A39" s="11" t="s">
        <v>3751</v>
      </c>
      <c r="B39" s="13" t="s">
        <v>42</v>
      </c>
      <c r="C39" s="16" t="s">
        <v>518</v>
      </c>
      <c r="D39" s="13" t="s">
        <v>8</v>
      </c>
      <c r="E39" s="14" t="s">
        <v>363</v>
      </c>
      <c r="F39" s="14" t="s">
        <v>11</v>
      </c>
      <c r="G39" s="13"/>
      <c r="H39" s="14">
        <f t="shared" si="1"/>
        <v>1</v>
      </c>
      <c r="I39" s="14">
        <v>1</v>
      </c>
      <c r="J39" s="14">
        <v>1</v>
      </c>
      <c r="K39" s="13" t="s">
        <v>1656</v>
      </c>
      <c r="L39" s="15" t="s">
        <v>144</v>
      </c>
      <c r="M39" s="15">
        <v>4327</v>
      </c>
      <c r="N39" s="15">
        <v>2450</v>
      </c>
      <c r="O39" s="15">
        <v>143270</v>
      </c>
      <c r="P39" s="15">
        <v>24500</v>
      </c>
      <c r="Q39" s="15"/>
    </row>
    <row r="40" spans="1:17" ht="22.5" x14ac:dyDescent="0.25">
      <c r="A40" s="11" t="s">
        <v>3751</v>
      </c>
      <c r="B40" s="13" t="s">
        <v>42</v>
      </c>
      <c r="C40" s="16" t="s">
        <v>4049</v>
      </c>
      <c r="D40" s="13" t="s">
        <v>41</v>
      </c>
      <c r="E40" s="14" t="s">
        <v>2510</v>
      </c>
      <c r="F40" s="14" t="s">
        <v>11</v>
      </c>
      <c r="G40" s="13"/>
      <c r="H40" s="14">
        <f>G40+I40</f>
        <v>1</v>
      </c>
      <c r="I40" s="14">
        <v>1</v>
      </c>
      <c r="J40" s="14">
        <v>1</v>
      </c>
      <c r="K40" s="13" t="s">
        <v>1211</v>
      </c>
      <c r="L40" s="15" t="s">
        <v>144</v>
      </c>
      <c r="M40" s="15">
        <v>4476</v>
      </c>
      <c r="N40" s="15">
        <v>3753</v>
      </c>
      <c r="O40" s="15">
        <v>144760</v>
      </c>
      <c r="P40" s="15">
        <v>37530</v>
      </c>
      <c r="Q40" s="15"/>
    </row>
    <row r="41" spans="1:17" ht="22.5" x14ac:dyDescent="0.25">
      <c r="A41" s="11" t="s">
        <v>3751</v>
      </c>
      <c r="B41" s="13" t="s">
        <v>42</v>
      </c>
      <c r="C41" s="16" t="s">
        <v>1821</v>
      </c>
      <c r="D41" s="13" t="s">
        <v>1822</v>
      </c>
      <c r="E41" s="14" t="s">
        <v>1823</v>
      </c>
      <c r="F41" s="14" t="s">
        <v>11</v>
      </c>
      <c r="G41" s="13"/>
      <c r="H41" s="14">
        <f t="shared" si="1"/>
        <v>2</v>
      </c>
      <c r="I41" s="14">
        <v>2</v>
      </c>
      <c r="J41" s="14">
        <v>2</v>
      </c>
      <c r="K41" s="13" t="s">
        <v>4289</v>
      </c>
      <c r="L41" s="15" t="s">
        <v>520</v>
      </c>
      <c r="M41" s="15">
        <v>1437</v>
      </c>
      <c r="N41" s="15">
        <v>7521</v>
      </c>
      <c r="O41" s="15">
        <v>214370</v>
      </c>
      <c r="P41" s="15">
        <v>75210</v>
      </c>
      <c r="Q41" s="15"/>
    </row>
    <row r="42" spans="1:17" x14ac:dyDescent="0.25">
      <c r="A42" s="11" t="s">
        <v>3751</v>
      </c>
      <c r="B42" s="13" t="s">
        <v>42</v>
      </c>
      <c r="C42" s="16" t="s">
        <v>2594</v>
      </c>
      <c r="D42" s="13" t="s">
        <v>220</v>
      </c>
      <c r="E42" s="14" t="s">
        <v>2595</v>
      </c>
      <c r="F42" s="14" t="s">
        <v>11</v>
      </c>
      <c r="G42" s="13"/>
      <c r="H42" s="14">
        <f t="shared" si="1"/>
        <v>1</v>
      </c>
      <c r="I42" s="14">
        <v>1</v>
      </c>
      <c r="J42" s="14">
        <v>1</v>
      </c>
      <c r="K42" s="13" t="s">
        <v>2206</v>
      </c>
      <c r="L42" s="15" t="s">
        <v>520</v>
      </c>
      <c r="M42" s="15">
        <v>2593</v>
      </c>
      <c r="N42" s="15">
        <v>6881</v>
      </c>
      <c r="O42" s="15">
        <v>225930</v>
      </c>
      <c r="P42" s="15">
        <v>68810</v>
      </c>
      <c r="Q42" s="15"/>
    </row>
    <row r="43" spans="1:17" x14ac:dyDescent="0.25">
      <c r="A43" s="11" t="s">
        <v>3751</v>
      </c>
      <c r="B43" s="13" t="s">
        <v>42</v>
      </c>
      <c r="C43" s="16" t="s">
        <v>2510</v>
      </c>
      <c r="D43" s="13" t="s">
        <v>220</v>
      </c>
      <c r="E43" s="14" t="s">
        <v>2511</v>
      </c>
      <c r="F43" s="14" t="s">
        <v>11</v>
      </c>
      <c r="G43" s="13"/>
      <c r="H43" s="14">
        <f t="shared" si="1"/>
        <v>1</v>
      </c>
      <c r="I43" s="14">
        <v>1</v>
      </c>
      <c r="J43" s="14">
        <v>1</v>
      </c>
      <c r="K43" s="13" t="s">
        <v>2206</v>
      </c>
      <c r="L43" s="15" t="s">
        <v>144</v>
      </c>
      <c r="M43" s="15">
        <v>4688</v>
      </c>
      <c r="N43" s="15">
        <v>3802</v>
      </c>
      <c r="O43" s="15">
        <v>146880</v>
      </c>
      <c r="P43" s="15">
        <v>38020</v>
      </c>
      <c r="Q43" s="15"/>
    </row>
    <row r="44" spans="1:17" x14ac:dyDescent="0.25">
      <c r="A44" s="11" t="s">
        <v>3751</v>
      </c>
      <c r="B44" s="13" t="s">
        <v>10</v>
      </c>
      <c r="C44" s="16" t="s">
        <v>3912</v>
      </c>
      <c r="D44" s="13" t="s">
        <v>401</v>
      </c>
      <c r="E44" s="14" t="s">
        <v>1921</v>
      </c>
      <c r="F44" s="14" t="s">
        <v>11</v>
      </c>
      <c r="G44" s="13"/>
      <c r="H44" s="14">
        <f>G44+I44</f>
        <v>1</v>
      </c>
      <c r="I44" s="14">
        <v>1</v>
      </c>
      <c r="J44" s="14">
        <v>1</v>
      </c>
      <c r="K44" s="13" t="s">
        <v>349</v>
      </c>
      <c r="L44" s="15" t="s">
        <v>166</v>
      </c>
      <c r="M44" s="15">
        <v>2569</v>
      </c>
      <c r="N44" s="15">
        <v>3855</v>
      </c>
      <c r="O44" s="15">
        <v>325690</v>
      </c>
      <c r="P44" s="15">
        <v>538550</v>
      </c>
      <c r="Q44" s="15"/>
    </row>
    <row r="45" spans="1:17" x14ac:dyDescent="0.25">
      <c r="A45" s="11" t="s">
        <v>3751</v>
      </c>
      <c r="B45" s="13" t="s">
        <v>10</v>
      </c>
      <c r="C45" s="16" t="s">
        <v>3035</v>
      </c>
      <c r="D45" s="13" t="s">
        <v>8</v>
      </c>
      <c r="E45" s="14" t="s">
        <v>9</v>
      </c>
      <c r="F45" s="14" t="s">
        <v>11</v>
      </c>
      <c r="G45" s="13"/>
      <c r="H45" s="14">
        <f t="shared" si="1"/>
        <v>3</v>
      </c>
      <c r="I45" s="14">
        <v>3</v>
      </c>
      <c r="J45" s="14">
        <v>3</v>
      </c>
      <c r="K45" s="13" t="s">
        <v>4313</v>
      </c>
      <c r="L45" s="15" t="s">
        <v>166</v>
      </c>
      <c r="M45" s="15">
        <v>2913</v>
      </c>
      <c r="N45" s="15">
        <v>2363</v>
      </c>
      <c r="O45" s="15">
        <v>329130</v>
      </c>
      <c r="P45" s="15">
        <v>523630</v>
      </c>
      <c r="Q45" s="15"/>
    </row>
    <row r="46" spans="1:17" x14ac:dyDescent="0.25">
      <c r="A46" s="11" t="s">
        <v>3751</v>
      </c>
      <c r="B46" s="13" t="s">
        <v>10</v>
      </c>
      <c r="C46" s="16" t="s">
        <v>1920</v>
      </c>
      <c r="D46" s="13" t="s">
        <v>401</v>
      </c>
      <c r="E46" s="14" t="s">
        <v>1921</v>
      </c>
      <c r="F46" s="14" t="s">
        <v>11</v>
      </c>
      <c r="G46" s="13"/>
      <c r="H46" s="14">
        <f t="shared" si="1"/>
        <v>1</v>
      </c>
      <c r="I46" s="14">
        <v>1</v>
      </c>
      <c r="J46" s="14">
        <v>1</v>
      </c>
      <c r="K46" s="13" t="s">
        <v>349</v>
      </c>
      <c r="L46" s="15" t="s">
        <v>166</v>
      </c>
      <c r="M46" s="15">
        <v>3425</v>
      </c>
      <c r="N46" s="15">
        <v>3364</v>
      </c>
      <c r="O46" s="15">
        <v>334250</v>
      </c>
      <c r="P46" s="15">
        <v>533640</v>
      </c>
      <c r="Q46" s="15"/>
    </row>
    <row r="47" spans="1:17" x14ac:dyDescent="0.25">
      <c r="A47" s="11" t="s">
        <v>3751</v>
      </c>
      <c r="B47" s="13" t="s">
        <v>10</v>
      </c>
      <c r="C47" s="16" t="s">
        <v>4453</v>
      </c>
      <c r="D47" s="13" t="s">
        <v>39</v>
      </c>
      <c r="E47" s="13" t="s">
        <v>716</v>
      </c>
      <c r="F47" s="14" t="s">
        <v>11</v>
      </c>
      <c r="G47" s="13">
        <v>1</v>
      </c>
      <c r="H47" s="14">
        <f>G47+I47</f>
        <v>1</v>
      </c>
      <c r="J47" s="14">
        <v>1</v>
      </c>
      <c r="K47" s="13" t="s">
        <v>4452</v>
      </c>
      <c r="L47" s="15" t="s">
        <v>166</v>
      </c>
      <c r="M47" s="15">
        <v>24</v>
      </c>
      <c r="N47" s="15">
        <v>708</v>
      </c>
      <c r="O47" s="15">
        <v>302400</v>
      </c>
      <c r="P47" s="15">
        <v>570800</v>
      </c>
      <c r="Q47" s="15"/>
    </row>
    <row r="48" spans="1:17" x14ac:dyDescent="0.25">
      <c r="A48" s="11" t="s">
        <v>3751</v>
      </c>
      <c r="B48" s="13" t="s">
        <v>10</v>
      </c>
      <c r="C48" s="16" t="s">
        <v>4454</v>
      </c>
      <c r="D48" s="13" t="s">
        <v>39</v>
      </c>
      <c r="E48" s="13" t="s">
        <v>716</v>
      </c>
      <c r="F48" s="14" t="s">
        <v>11</v>
      </c>
      <c r="G48" s="13">
        <v>1</v>
      </c>
      <c r="H48" s="14">
        <f t="shared" si="1"/>
        <v>1</v>
      </c>
      <c r="J48" s="14">
        <v>1</v>
      </c>
      <c r="K48" s="13" t="s">
        <v>4452</v>
      </c>
      <c r="L48" s="15" t="s">
        <v>166</v>
      </c>
      <c r="M48" s="15">
        <v>24</v>
      </c>
      <c r="N48" s="15">
        <v>708</v>
      </c>
      <c r="O48" s="15">
        <v>302400</v>
      </c>
      <c r="P48" s="15">
        <v>570800</v>
      </c>
      <c r="Q48" s="15"/>
    </row>
    <row r="49" spans="1:17" ht="22.5" x14ac:dyDescent="0.25">
      <c r="A49" s="11" t="s">
        <v>3751</v>
      </c>
      <c r="B49" s="13" t="s">
        <v>10</v>
      </c>
      <c r="C49" s="16" t="s">
        <v>165</v>
      </c>
      <c r="D49" s="13" t="s">
        <v>825</v>
      </c>
      <c r="E49" s="14" t="s">
        <v>12</v>
      </c>
      <c r="F49" s="14" t="s">
        <v>11</v>
      </c>
      <c r="G49" s="13">
        <v>3</v>
      </c>
      <c r="H49" s="14">
        <f t="shared" si="1"/>
        <v>8</v>
      </c>
      <c r="I49" s="14">
        <v>5</v>
      </c>
      <c r="J49" s="14">
        <v>6</v>
      </c>
      <c r="K49" s="13" t="s">
        <v>4469</v>
      </c>
      <c r="L49" s="15" t="s">
        <v>166</v>
      </c>
      <c r="M49" s="15">
        <v>274</v>
      </c>
      <c r="N49" s="15">
        <v>72</v>
      </c>
      <c r="O49" s="15">
        <v>327400</v>
      </c>
      <c r="P49" s="15">
        <v>507200</v>
      </c>
      <c r="Q49" s="15"/>
    </row>
    <row r="50" spans="1:17" ht="25.5" x14ac:dyDescent="0.25">
      <c r="A50" s="11" t="s">
        <v>3751</v>
      </c>
      <c r="B50" s="13" t="s">
        <v>10</v>
      </c>
      <c r="C50" s="16" t="s">
        <v>2432</v>
      </c>
      <c r="D50" s="13" t="s">
        <v>2433</v>
      </c>
      <c r="E50" s="14" t="s">
        <v>9</v>
      </c>
      <c r="F50" s="14" t="s">
        <v>11</v>
      </c>
      <c r="G50" s="13"/>
      <c r="H50" s="14">
        <f t="shared" si="1"/>
        <v>1</v>
      </c>
      <c r="I50" s="14">
        <v>1</v>
      </c>
      <c r="J50" s="14">
        <v>1</v>
      </c>
      <c r="K50" s="13" t="s">
        <v>1583</v>
      </c>
      <c r="L50" s="15" t="s">
        <v>166</v>
      </c>
      <c r="M50" s="15">
        <v>523</v>
      </c>
      <c r="N50" s="15">
        <v>283</v>
      </c>
      <c r="O50" s="15">
        <v>352300</v>
      </c>
      <c r="P50" s="15">
        <v>528300</v>
      </c>
      <c r="Q50" s="15"/>
    </row>
    <row r="51" spans="1:17" ht="33.75" x14ac:dyDescent="0.25">
      <c r="A51" s="11" t="s">
        <v>3751</v>
      </c>
      <c r="B51" s="13" t="s">
        <v>10</v>
      </c>
      <c r="C51" s="16" t="s">
        <v>3895</v>
      </c>
      <c r="D51" s="13" t="s">
        <v>3896</v>
      </c>
      <c r="E51" s="14" t="s">
        <v>12</v>
      </c>
      <c r="F51" s="14" t="s">
        <v>11</v>
      </c>
      <c r="G51" s="13"/>
      <c r="H51" s="14">
        <f>G51+I51</f>
        <v>1</v>
      </c>
      <c r="I51" s="14">
        <v>1</v>
      </c>
      <c r="J51" s="14">
        <v>1</v>
      </c>
      <c r="K51" s="13" t="s">
        <v>217</v>
      </c>
      <c r="L51" s="15" t="s">
        <v>431</v>
      </c>
      <c r="M51" s="15">
        <v>505</v>
      </c>
      <c r="N51" s="15">
        <v>859</v>
      </c>
      <c r="O51" s="15">
        <v>350500</v>
      </c>
      <c r="P51" s="15">
        <v>485900</v>
      </c>
      <c r="Q51" s="15"/>
    </row>
    <row r="52" spans="1:17" ht="25.5" x14ac:dyDescent="0.25">
      <c r="A52" s="11" t="s">
        <v>3751</v>
      </c>
      <c r="B52" s="13" t="s">
        <v>10</v>
      </c>
      <c r="C52" s="16" t="s">
        <v>3032</v>
      </c>
      <c r="D52" s="13" t="s">
        <v>401</v>
      </c>
      <c r="E52" s="14" t="s">
        <v>9</v>
      </c>
      <c r="F52" s="14" t="s">
        <v>11</v>
      </c>
      <c r="G52" s="13"/>
      <c r="H52" s="14">
        <f>G52+I52</f>
        <v>5</v>
      </c>
      <c r="I52" s="14">
        <v>5</v>
      </c>
      <c r="J52" s="14">
        <v>4</v>
      </c>
      <c r="K52" s="13" t="s">
        <v>4338</v>
      </c>
      <c r="L52" s="15" t="s">
        <v>166</v>
      </c>
      <c r="M52" s="15">
        <v>571</v>
      </c>
      <c r="N52" s="15">
        <v>372</v>
      </c>
      <c r="O52" s="15">
        <v>357100</v>
      </c>
      <c r="P52" s="15">
        <v>537200</v>
      </c>
      <c r="Q52" s="15"/>
    </row>
    <row r="53" spans="1:17" ht="25.5" x14ac:dyDescent="0.25">
      <c r="A53" s="11" t="s">
        <v>3751</v>
      </c>
      <c r="B53" s="13" t="s">
        <v>10</v>
      </c>
      <c r="C53" s="16" t="s">
        <v>3032</v>
      </c>
      <c r="D53" s="13" t="s">
        <v>8</v>
      </c>
      <c r="E53" s="14" t="s">
        <v>9</v>
      </c>
      <c r="F53" s="14" t="s">
        <v>11</v>
      </c>
      <c r="G53" s="13">
        <v>1</v>
      </c>
      <c r="H53" s="14">
        <f t="shared" si="1"/>
        <v>4</v>
      </c>
      <c r="I53" s="14">
        <v>3</v>
      </c>
      <c r="J53" s="14">
        <v>3</v>
      </c>
      <c r="K53" s="13" t="s">
        <v>4220</v>
      </c>
      <c r="L53" s="15" t="s">
        <v>166</v>
      </c>
      <c r="M53" s="15">
        <v>571</v>
      </c>
      <c r="N53" s="15">
        <v>372</v>
      </c>
      <c r="O53" s="15">
        <v>357100</v>
      </c>
      <c r="P53" s="15">
        <v>537200</v>
      </c>
      <c r="Q53" s="15"/>
    </row>
    <row r="54" spans="1:17" ht="22.5" x14ac:dyDescent="0.25">
      <c r="A54" s="11" t="s">
        <v>3751</v>
      </c>
      <c r="B54" s="13" t="s">
        <v>10</v>
      </c>
      <c r="C54" s="16" t="s">
        <v>4004</v>
      </c>
      <c r="D54" s="13" t="s">
        <v>4005</v>
      </c>
      <c r="E54" s="14" t="s">
        <v>9</v>
      </c>
      <c r="F54" s="14" t="s">
        <v>11</v>
      </c>
      <c r="G54" s="13"/>
      <c r="H54" s="14">
        <f>G54+I54</f>
        <v>1</v>
      </c>
      <c r="I54" s="14">
        <v>1</v>
      </c>
      <c r="J54" s="14">
        <v>1</v>
      </c>
      <c r="K54" s="13" t="s">
        <v>1396</v>
      </c>
      <c r="L54" s="15" t="s">
        <v>166</v>
      </c>
      <c r="M54" s="15">
        <v>5364</v>
      </c>
      <c r="N54" s="15">
        <v>2431</v>
      </c>
      <c r="O54" s="15">
        <v>353640</v>
      </c>
      <c r="P54" s="15">
        <v>524310</v>
      </c>
      <c r="Q54" s="15"/>
    </row>
    <row r="55" spans="1:17" ht="22.5" x14ac:dyDescent="0.25">
      <c r="A55" s="11" t="s">
        <v>3751</v>
      </c>
      <c r="B55" s="13" t="s">
        <v>10</v>
      </c>
      <c r="C55" s="16" t="s">
        <v>2067</v>
      </c>
      <c r="D55" s="13" t="s">
        <v>2068</v>
      </c>
      <c r="E55" s="14" t="s">
        <v>9</v>
      </c>
      <c r="F55" s="14" t="s">
        <v>11</v>
      </c>
      <c r="G55" s="13"/>
      <c r="H55" s="14">
        <f t="shared" si="1"/>
        <v>5</v>
      </c>
      <c r="I55" s="14">
        <v>5</v>
      </c>
      <c r="J55" s="14">
        <v>3</v>
      </c>
      <c r="K55" s="13" t="s">
        <v>4290</v>
      </c>
      <c r="L55" s="15" t="s">
        <v>166</v>
      </c>
      <c r="M55" s="15">
        <v>519</v>
      </c>
      <c r="N55" s="15">
        <v>284</v>
      </c>
      <c r="O55" s="15">
        <v>351900</v>
      </c>
      <c r="P55" s="15">
        <v>528400</v>
      </c>
      <c r="Q55" s="15"/>
    </row>
    <row r="56" spans="1:17" x14ac:dyDescent="0.25">
      <c r="A56" s="11" t="s">
        <v>3751</v>
      </c>
      <c r="B56" s="13" t="s">
        <v>10</v>
      </c>
      <c r="C56" s="16" t="s">
        <v>2070</v>
      </c>
      <c r="D56" s="13" t="s">
        <v>2069</v>
      </c>
      <c r="E56" s="14" t="s">
        <v>12</v>
      </c>
      <c r="F56" s="14" t="s">
        <v>11</v>
      </c>
      <c r="G56" s="13"/>
      <c r="H56" s="14">
        <f t="shared" si="1"/>
        <v>1</v>
      </c>
      <c r="I56" s="14">
        <v>1</v>
      </c>
      <c r="J56" s="14">
        <v>1</v>
      </c>
      <c r="K56" s="13" t="s">
        <v>3242</v>
      </c>
      <c r="L56" s="15" t="s">
        <v>166</v>
      </c>
      <c r="M56" s="15">
        <v>27399</v>
      </c>
      <c r="N56" s="15">
        <v>7356</v>
      </c>
      <c r="O56" s="15">
        <v>327399</v>
      </c>
      <c r="P56" s="15">
        <v>507356</v>
      </c>
      <c r="Q56" s="15"/>
    </row>
    <row r="57" spans="1:17" x14ac:dyDescent="0.25">
      <c r="A57" s="11" t="s">
        <v>3751</v>
      </c>
      <c r="B57" s="13" t="s">
        <v>10</v>
      </c>
      <c r="C57" s="16" t="s">
        <v>4455</v>
      </c>
      <c r="D57" s="13" t="s">
        <v>4436</v>
      </c>
      <c r="E57" s="14" t="s">
        <v>2205</v>
      </c>
      <c r="F57" s="14" t="s">
        <v>11</v>
      </c>
      <c r="G57" s="13">
        <v>1</v>
      </c>
      <c r="H57" s="14">
        <f>G57+I57</f>
        <v>1</v>
      </c>
      <c r="J57" s="14">
        <v>1</v>
      </c>
      <c r="K57" s="13" t="s">
        <v>4452</v>
      </c>
      <c r="L57" s="15" t="s">
        <v>166</v>
      </c>
      <c r="M57" s="15">
        <v>375</v>
      </c>
      <c r="N57" s="15">
        <v>685</v>
      </c>
      <c r="O57" s="15">
        <v>337500</v>
      </c>
      <c r="P57" s="15">
        <v>568500</v>
      </c>
      <c r="Q57" s="15"/>
    </row>
    <row r="58" spans="1:17" ht="22.5" x14ac:dyDescent="0.25">
      <c r="A58" s="11" t="s">
        <v>3751</v>
      </c>
      <c r="B58" s="13" t="s">
        <v>10</v>
      </c>
      <c r="C58" s="16" t="s">
        <v>2664</v>
      </c>
      <c r="D58" s="13" t="s">
        <v>2948</v>
      </c>
      <c r="E58" s="13" t="s">
        <v>2665</v>
      </c>
      <c r="F58" s="14" t="s">
        <v>11</v>
      </c>
      <c r="G58" s="13"/>
      <c r="H58" s="14">
        <f t="shared" si="1"/>
        <v>1</v>
      </c>
      <c r="I58" s="14">
        <v>1</v>
      </c>
      <c r="J58" s="14">
        <v>1</v>
      </c>
      <c r="K58" s="13" t="s">
        <v>217</v>
      </c>
      <c r="L58" s="15" t="s">
        <v>166</v>
      </c>
      <c r="M58" s="15">
        <v>5850</v>
      </c>
      <c r="N58" s="15">
        <v>7401</v>
      </c>
      <c r="O58" s="15">
        <v>358500</v>
      </c>
      <c r="P58" s="15">
        <v>774010</v>
      </c>
      <c r="Q58" s="15"/>
    </row>
    <row r="59" spans="1:17" ht="22.5" x14ac:dyDescent="0.25">
      <c r="A59" s="11" t="s">
        <v>3751</v>
      </c>
      <c r="B59" s="13" t="s">
        <v>126</v>
      </c>
      <c r="C59" s="16" t="s">
        <v>3841</v>
      </c>
      <c r="D59" s="13" t="s">
        <v>616</v>
      </c>
      <c r="E59" s="14" t="s">
        <v>444</v>
      </c>
      <c r="F59" s="14" t="s">
        <v>11</v>
      </c>
      <c r="G59" s="13"/>
      <c r="H59" s="14">
        <f>G59+I59</f>
        <v>1</v>
      </c>
      <c r="I59" s="14">
        <v>1</v>
      </c>
      <c r="J59" s="14">
        <v>1</v>
      </c>
      <c r="K59" s="13" t="s">
        <v>180</v>
      </c>
      <c r="L59" s="1" t="s">
        <v>445</v>
      </c>
      <c r="M59" s="1">
        <v>1749</v>
      </c>
      <c r="N59" s="1">
        <v>5947</v>
      </c>
      <c r="O59" s="1">
        <v>417490</v>
      </c>
      <c r="P59" s="1">
        <v>359470</v>
      </c>
    </row>
    <row r="60" spans="1:17" ht="22.5" x14ac:dyDescent="0.25">
      <c r="A60" s="11" t="s">
        <v>3751</v>
      </c>
      <c r="B60" s="13" t="s">
        <v>126</v>
      </c>
      <c r="C60" s="16" t="s">
        <v>527</v>
      </c>
      <c r="D60" s="13" t="s">
        <v>528</v>
      </c>
      <c r="E60" s="14" t="s">
        <v>444</v>
      </c>
      <c r="F60" s="14" t="s">
        <v>11</v>
      </c>
      <c r="G60" s="13"/>
      <c r="H60" s="14">
        <f t="shared" si="1"/>
        <v>8</v>
      </c>
      <c r="I60" s="14">
        <v>8</v>
      </c>
      <c r="J60" s="14">
        <v>6</v>
      </c>
      <c r="K60" s="13" t="s">
        <v>4323</v>
      </c>
      <c r="L60" s="15" t="s">
        <v>445</v>
      </c>
      <c r="M60" s="15">
        <v>1603</v>
      </c>
      <c r="N60" s="15">
        <v>6355</v>
      </c>
      <c r="O60" s="15">
        <v>416030</v>
      </c>
      <c r="P60" s="15">
        <v>363550</v>
      </c>
      <c r="Q60" s="15"/>
    </row>
    <row r="61" spans="1:17" ht="22.5" x14ac:dyDescent="0.25">
      <c r="A61" s="11" t="s">
        <v>3751</v>
      </c>
      <c r="B61" s="13" t="s">
        <v>126</v>
      </c>
      <c r="C61" s="16" t="s">
        <v>127</v>
      </c>
      <c r="D61" s="13" t="s">
        <v>3962</v>
      </c>
      <c r="E61" s="14" t="s">
        <v>1281</v>
      </c>
      <c r="F61" s="14" t="s">
        <v>11</v>
      </c>
      <c r="G61" s="13"/>
      <c r="H61" s="14">
        <f t="shared" si="1"/>
        <v>2</v>
      </c>
      <c r="I61" s="14">
        <v>2</v>
      </c>
      <c r="J61" s="14">
        <v>2</v>
      </c>
      <c r="K61" s="13" t="s">
        <v>1145</v>
      </c>
      <c r="L61" s="1" t="s">
        <v>445</v>
      </c>
      <c r="M61" s="1">
        <v>41504</v>
      </c>
      <c r="N61" s="1">
        <v>29345</v>
      </c>
      <c r="O61" s="1">
        <v>441504</v>
      </c>
      <c r="P61" s="1">
        <v>329345</v>
      </c>
      <c r="Q61" s="15"/>
    </row>
    <row r="62" spans="1:17" ht="22.5" x14ac:dyDescent="0.25">
      <c r="A62" s="11" t="s">
        <v>3751</v>
      </c>
      <c r="B62" s="13" t="s">
        <v>126</v>
      </c>
      <c r="C62" s="16" t="s">
        <v>1747</v>
      </c>
      <c r="D62" s="13" t="s">
        <v>1748</v>
      </c>
      <c r="E62" s="13" t="s">
        <v>1749</v>
      </c>
      <c r="F62" s="14" t="s">
        <v>11</v>
      </c>
      <c r="G62" s="13"/>
      <c r="H62" s="14">
        <f t="shared" si="1"/>
        <v>2</v>
      </c>
      <c r="I62" s="14">
        <v>2</v>
      </c>
      <c r="J62" s="14">
        <v>1</v>
      </c>
      <c r="K62" s="13" t="s">
        <v>4308</v>
      </c>
      <c r="L62" s="1" t="s">
        <v>445</v>
      </c>
      <c r="M62" s="1">
        <v>278</v>
      </c>
      <c r="N62" s="1">
        <v>755</v>
      </c>
      <c r="O62" s="1">
        <v>427800</v>
      </c>
      <c r="P62" s="1">
        <v>375500</v>
      </c>
      <c r="Q62" s="15"/>
    </row>
    <row r="63" spans="1:17" x14ac:dyDescent="0.25">
      <c r="A63" s="11" t="s">
        <v>3751</v>
      </c>
      <c r="B63" s="13" t="s">
        <v>126</v>
      </c>
      <c r="C63" s="16" t="s">
        <v>2766</v>
      </c>
      <c r="D63" s="13" t="s">
        <v>18</v>
      </c>
      <c r="E63" s="14" t="s">
        <v>1378</v>
      </c>
      <c r="F63" s="14" t="s">
        <v>11</v>
      </c>
      <c r="G63" s="13"/>
      <c r="H63" s="14">
        <f t="shared" si="1"/>
        <v>1</v>
      </c>
      <c r="I63" s="14">
        <v>1</v>
      </c>
      <c r="J63" s="14">
        <v>1</v>
      </c>
      <c r="K63" s="13" t="s">
        <v>1656</v>
      </c>
      <c r="L63" s="1" t="s">
        <v>445</v>
      </c>
      <c r="M63" s="1">
        <v>7848</v>
      </c>
      <c r="N63" s="1">
        <v>78239</v>
      </c>
      <c r="O63" s="1">
        <v>407848</v>
      </c>
      <c r="P63" s="1">
        <v>378239</v>
      </c>
      <c r="Q63" s="15"/>
    </row>
    <row r="64" spans="1:17" ht="22.5" x14ac:dyDescent="0.25">
      <c r="A64" s="11" t="s">
        <v>3751</v>
      </c>
      <c r="B64" s="13" t="s">
        <v>126</v>
      </c>
      <c r="C64" s="16" t="s">
        <v>2698</v>
      </c>
      <c r="D64" s="13" t="s">
        <v>41</v>
      </c>
      <c r="E64" s="14" t="s">
        <v>444</v>
      </c>
      <c r="F64" s="14" t="s">
        <v>11</v>
      </c>
      <c r="G64" s="13"/>
      <c r="H64" s="14">
        <f t="shared" si="1"/>
        <v>2</v>
      </c>
      <c r="I64" s="14">
        <v>2</v>
      </c>
      <c r="J64" s="14">
        <v>2</v>
      </c>
      <c r="K64" s="13" t="s">
        <v>4048</v>
      </c>
      <c r="L64" s="1" t="s">
        <v>445</v>
      </c>
      <c r="M64" s="1">
        <v>1238</v>
      </c>
      <c r="N64" s="1">
        <v>7104</v>
      </c>
      <c r="O64" s="1">
        <v>412380</v>
      </c>
      <c r="P64" s="1">
        <v>371040</v>
      </c>
      <c r="Q64" s="15"/>
    </row>
    <row r="65" spans="1:17" ht="22.5" x14ac:dyDescent="0.25">
      <c r="A65" s="11" t="s">
        <v>3751</v>
      </c>
      <c r="B65" s="13" t="s">
        <v>126</v>
      </c>
      <c r="C65" s="16" t="s">
        <v>3911</v>
      </c>
      <c r="D65" s="13" t="s">
        <v>3910</v>
      </c>
      <c r="E65" s="14" t="s">
        <v>1137</v>
      </c>
      <c r="F65" s="14" t="s">
        <v>11</v>
      </c>
      <c r="G65" s="13"/>
      <c r="H65" s="14">
        <f>G65+I65</f>
        <v>4</v>
      </c>
      <c r="I65" s="14">
        <v>4</v>
      </c>
      <c r="J65" s="14">
        <v>3</v>
      </c>
      <c r="K65" s="13" t="s">
        <v>3948</v>
      </c>
      <c r="L65" s="1" t="s">
        <v>445</v>
      </c>
      <c r="M65" s="1">
        <v>272</v>
      </c>
      <c r="N65" s="1">
        <v>729</v>
      </c>
      <c r="O65" s="1">
        <v>427200</v>
      </c>
      <c r="P65" s="1">
        <v>372900</v>
      </c>
      <c r="Q65" s="15"/>
    </row>
    <row r="66" spans="1:17" x14ac:dyDescent="0.25">
      <c r="A66" s="11" t="s">
        <v>3751</v>
      </c>
      <c r="B66" s="13" t="s">
        <v>126</v>
      </c>
      <c r="C66" s="16" t="s">
        <v>2764</v>
      </c>
      <c r="D66" s="13" t="s">
        <v>2765</v>
      </c>
      <c r="E66" s="14" t="s">
        <v>2512</v>
      </c>
      <c r="F66" s="14" t="s">
        <v>11</v>
      </c>
      <c r="G66" s="13"/>
      <c r="H66" s="14">
        <f t="shared" si="1"/>
        <v>1</v>
      </c>
      <c r="I66" s="14">
        <v>1</v>
      </c>
      <c r="J66" s="14">
        <v>1</v>
      </c>
      <c r="K66" s="13" t="s">
        <v>887</v>
      </c>
      <c r="L66" s="1" t="s">
        <v>445</v>
      </c>
      <c r="M66" s="1">
        <v>1587</v>
      </c>
      <c r="N66" s="1">
        <v>6322</v>
      </c>
      <c r="O66" s="1">
        <v>415870</v>
      </c>
      <c r="P66" s="1">
        <v>363220</v>
      </c>
      <c r="Q66" s="15"/>
    </row>
    <row r="67" spans="1:17" x14ac:dyDescent="0.25">
      <c r="A67" s="11" t="s">
        <v>3751</v>
      </c>
      <c r="B67" s="13" t="s">
        <v>126</v>
      </c>
      <c r="C67" s="16" t="s">
        <v>2466</v>
      </c>
      <c r="D67" s="13" t="s">
        <v>90</v>
      </c>
      <c r="E67" s="14" t="s">
        <v>444</v>
      </c>
      <c r="F67" s="14" t="s">
        <v>11</v>
      </c>
      <c r="G67" s="13">
        <v>2</v>
      </c>
      <c r="H67" s="14">
        <f t="shared" si="1"/>
        <v>4</v>
      </c>
      <c r="I67" s="14">
        <v>2</v>
      </c>
      <c r="J67" s="14">
        <v>4</v>
      </c>
      <c r="K67" s="13" t="s">
        <v>4430</v>
      </c>
      <c r="L67" s="1" t="s">
        <v>445</v>
      </c>
      <c r="M67" s="1">
        <v>2315</v>
      </c>
      <c r="N67" s="1">
        <v>5804</v>
      </c>
      <c r="O67" s="1">
        <v>423150</v>
      </c>
      <c r="P67" s="1">
        <v>358040</v>
      </c>
      <c r="Q67" s="15"/>
    </row>
    <row r="68" spans="1:17" ht="22.5" x14ac:dyDescent="0.25">
      <c r="A68" s="11" t="s">
        <v>3751</v>
      </c>
      <c r="B68" s="13" t="s">
        <v>126</v>
      </c>
      <c r="C68" s="16" t="s">
        <v>3828</v>
      </c>
      <c r="D68" s="13" t="s">
        <v>1212</v>
      </c>
      <c r="E68" s="14" t="s">
        <v>1378</v>
      </c>
      <c r="F68" s="14" t="s">
        <v>11</v>
      </c>
      <c r="G68" s="13"/>
      <c r="H68" s="14">
        <f>G68+I68</f>
        <v>2</v>
      </c>
      <c r="I68" s="14">
        <v>2</v>
      </c>
      <c r="J68" s="14">
        <v>2</v>
      </c>
      <c r="K68" s="13" t="s">
        <v>3835</v>
      </c>
      <c r="L68" s="15" t="s">
        <v>445</v>
      </c>
      <c r="M68" s="15">
        <v>499</v>
      </c>
      <c r="N68" s="15">
        <v>7320</v>
      </c>
      <c r="O68" s="15">
        <v>404990</v>
      </c>
      <c r="P68" s="15">
        <v>373200</v>
      </c>
      <c r="Q68" s="15"/>
    </row>
    <row r="69" spans="1:17" x14ac:dyDescent="0.25">
      <c r="A69" s="11" t="s">
        <v>3751</v>
      </c>
      <c r="B69" s="13" t="s">
        <v>126</v>
      </c>
      <c r="C69" s="16" t="s">
        <v>3799</v>
      </c>
      <c r="D69" s="13" t="s">
        <v>1207</v>
      </c>
      <c r="E69" s="14" t="s">
        <v>1378</v>
      </c>
      <c r="F69" s="14" t="s">
        <v>11</v>
      </c>
      <c r="G69" s="13"/>
      <c r="H69" s="14">
        <f>G69+I69</f>
        <v>2</v>
      </c>
      <c r="I69" s="14">
        <v>2</v>
      </c>
      <c r="J69" s="14">
        <v>2</v>
      </c>
      <c r="K69" s="13" t="s">
        <v>3829</v>
      </c>
      <c r="L69" s="15" t="s">
        <v>445</v>
      </c>
      <c r="M69" s="15">
        <v>499</v>
      </c>
      <c r="N69" s="15">
        <v>7320</v>
      </c>
      <c r="O69" s="15">
        <v>404990</v>
      </c>
      <c r="P69" s="15">
        <v>373200</v>
      </c>
      <c r="Q69" s="15"/>
    </row>
    <row r="70" spans="1:17" x14ac:dyDescent="0.25">
      <c r="A70" s="11" t="s">
        <v>3751</v>
      </c>
      <c r="B70" s="13" t="s">
        <v>126</v>
      </c>
      <c r="C70" s="16" t="s">
        <v>3800</v>
      </c>
      <c r="D70" s="13" t="s">
        <v>1207</v>
      </c>
      <c r="E70" s="14" t="s">
        <v>1378</v>
      </c>
      <c r="F70" s="14" t="s">
        <v>11</v>
      </c>
      <c r="G70" s="13"/>
      <c r="H70" s="14">
        <f>G70+I70</f>
        <v>2</v>
      </c>
      <c r="I70" s="14">
        <v>2</v>
      </c>
      <c r="J70" s="14">
        <v>2</v>
      </c>
      <c r="K70" s="13" t="s">
        <v>3829</v>
      </c>
      <c r="L70" s="15" t="s">
        <v>445</v>
      </c>
      <c r="M70" s="15">
        <v>499</v>
      </c>
      <c r="N70" s="15">
        <v>7320</v>
      </c>
      <c r="O70" s="15">
        <v>404990</v>
      </c>
      <c r="P70" s="15">
        <v>373200</v>
      </c>
      <c r="Q70" s="15"/>
    </row>
    <row r="71" spans="1:17" ht="22.5" x14ac:dyDescent="0.25">
      <c r="A71" s="11" t="s">
        <v>3751</v>
      </c>
      <c r="B71" s="13" t="s">
        <v>126</v>
      </c>
      <c r="C71" s="16" t="s">
        <v>2697</v>
      </c>
      <c r="D71" s="13" t="s">
        <v>41</v>
      </c>
      <c r="E71" s="14" t="s">
        <v>2512</v>
      </c>
      <c r="F71" s="14" t="s">
        <v>11</v>
      </c>
      <c r="G71" s="13"/>
      <c r="H71" s="14">
        <f t="shared" si="1"/>
        <v>2</v>
      </c>
      <c r="I71" s="14">
        <v>2</v>
      </c>
      <c r="J71" s="14">
        <v>2</v>
      </c>
      <c r="K71" s="13" t="s">
        <v>4045</v>
      </c>
      <c r="L71" s="1" t="s">
        <v>445</v>
      </c>
      <c r="M71" s="1">
        <v>2093</v>
      </c>
      <c r="N71" s="1">
        <v>5728</v>
      </c>
      <c r="O71" s="1">
        <v>420930</v>
      </c>
      <c r="P71" s="1">
        <v>357280</v>
      </c>
      <c r="Q71" s="15"/>
    </row>
    <row r="72" spans="1:17" x14ac:dyDescent="0.25">
      <c r="A72" s="11" t="s">
        <v>3751</v>
      </c>
      <c r="B72" s="13" t="s">
        <v>126</v>
      </c>
      <c r="C72" s="16" t="s">
        <v>2603</v>
      </c>
      <c r="D72" s="13" t="s">
        <v>8</v>
      </c>
      <c r="E72" s="14" t="s">
        <v>444</v>
      </c>
      <c r="F72" s="14" t="s">
        <v>11</v>
      </c>
      <c r="G72" s="13"/>
      <c r="H72" s="14">
        <f t="shared" ref="H72:H77" si="2">G72+I72</f>
        <v>3</v>
      </c>
      <c r="I72" s="14">
        <v>3</v>
      </c>
      <c r="J72" s="14">
        <v>2</v>
      </c>
      <c r="K72" s="13" t="s">
        <v>4309</v>
      </c>
      <c r="L72" s="15" t="s">
        <v>445</v>
      </c>
      <c r="M72" s="15">
        <v>249</v>
      </c>
      <c r="N72" s="15">
        <v>634</v>
      </c>
      <c r="O72" s="15">
        <v>424900</v>
      </c>
      <c r="P72" s="15">
        <v>363400</v>
      </c>
      <c r="Q72" s="15"/>
    </row>
    <row r="73" spans="1:17" x14ac:dyDescent="0.25">
      <c r="A73" s="11" t="s">
        <v>3751</v>
      </c>
      <c r="B73" s="13" t="s">
        <v>126</v>
      </c>
      <c r="C73" s="16" t="s">
        <v>4314</v>
      </c>
      <c r="D73" s="13" t="s">
        <v>8</v>
      </c>
      <c r="E73" s="14" t="s">
        <v>444</v>
      </c>
      <c r="F73" s="14" t="s">
        <v>11</v>
      </c>
      <c r="G73" s="13"/>
      <c r="H73" s="14">
        <f t="shared" si="2"/>
        <v>2</v>
      </c>
      <c r="I73" s="14">
        <v>2</v>
      </c>
      <c r="J73" s="14">
        <v>1</v>
      </c>
      <c r="K73" s="13" t="s">
        <v>4308</v>
      </c>
      <c r="L73" s="15" t="s">
        <v>445</v>
      </c>
      <c r="M73" s="15">
        <v>2805</v>
      </c>
      <c r="N73" s="15">
        <v>6851</v>
      </c>
      <c r="O73" s="15">
        <v>428050</v>
      </c>
      <c r="P73" s="15">
        <v>368510</v>
      </c>
      <c r="Q73" s="15"/>
    </row>
    <row r="74" spans="1:17" ht="22.5" x14ac:dyDescent="0.25">
      <c r="A74" s="11" t="s">
        <v>3751</v>
      </c>
      <c r="B74" s="13" t="s">
        <v>126</v>
      </c>
      <c r="C74" s="16" t="s">
        <v>1762</v>
      </c>
      <c r="D74" s="13" t="s">
        <v>616</v>
      </c>
      <c r="E74" s="14" t="s">
        <v>1763</v>
      </c>
      <c r="F74" s="14" t="s">
        <v>11</v>
      </c>
      <c r="G74" s="13"/>
      <c r="H74" s="14">
        <f t="shared" si="2"/>
        <v>1</v>
      </c>
      <c r="I74" s="14">
        <v>1</v>
      </c>
      <c r="J74" s="14">
        <v>1</v>
      </c>
      <c r="K74" s="13" t="s">
        <v>180</v>
      </c>
      <c r="L74" s="1" t="s">
        <v>445</v>
      </c>
      <c r="M74" s="1">
        <v>365</v>
      </c>
      <c r="N74" s="1">
        <v>294</v>
      </c>
      <c r="O74" s="1">
        <v>436500</v>
      </c>
      <c r="P74" s="1">
        <v>329400</v>
      </c>
    </row>
    <row r="75" spans="1:17" ht="45" x14ac:dyDescent="0.25">
      <c r="A75" s="11" t="s">
        <v>3751</v>
      </c>
      <c r="B75" s="13" t="s">
        <v>126</v>
      </c>
      <c r="C75" s="16" t="s">
        <v>2667</v>
      </c>
      <c r="D75" s="13" t="s">
        <v>3844</v>
      </c>
      <c r="E75" s="14" t="s">
        <v>2668</v>
      </c>
      <c r="F75" s="14" t="s">
        <v>11</v>
      </c>
      <c r="G75" s="13">
        <v>1</v>
      </c>
      <c r="H75" s="14">
        <f t="shared" si="2"/>
        <v>3</v>
      </c>
      <c r="I75" s="14">
        <v>2</v>
      </c>
      <c r="J75" s="14">
        <v>3</v>
      </c>
      <c r="K75" s="13" t="s">
        <v>4523</v>
      </c>
      <c r="L75" s="1" t="s">
        <v>445</v>
      </c>
      <c r="M75" s="1">
        <v>288</v>
      </c>
      <c r="N75" s="1">
        <v>278</v>
      </c>
      <c r="O75" s="1">
        <v>428800</v>
      </c>
      <c r="P75" s="1">
        <v>327800</v>
      </c>
    </row>
    <row r="76" spans="1:17" x14ac:dyDescent="0.25">
      <c r="A76" s="11" t="s">
        <v>3751</v>
      </c>
      <c r="B76" s="13" t="s">
        <v>126</v>
      </c>
      <c r="C76" s="16" t="s">
        <v>3845</v>
      </c>
      <c r="D76" s="13" t="s">
        <v>1207</v>
      </c>
      <c r="E76" s="14" t="s">
        <v>2668</v>
      </c>
      <c r="F76" s="14" t="s">
        <v>11</v>
      </c>
      <c r="G76" s="13"/>
      <c r="H76" s="14">
        <f t="shared" si="2"/>
        <v>1</v>
      </c>
      <c r="I76" s="14">
        <v>1</v>
      </c>
      <c r="J76" s="14">
        <v>1</v>
      </c>
      <c r="K76" s="13" t="s">
        <v>193</v>
      </c>
      <c r="L76" s="1" t="s">
        <v>445</v>
      </c>
      <c r="M76" s="1">
        <v>288</v>
      </c>
      <c r="N76" s="1">
        <v>278</v>
      </c>
      <c r="O76" s="1">
        <v>428800</v>
      </c>
      <c r="P76" s="1">
        <v>327800</v>
      </c>
    </row>
    <row r="77" spans="1:17" x14ac:dyDescent="0.25">
      <c r="A77" s="11" t="s">
        <v>3751</v>
      </c>
      <c r="B77" s="13" t="s">
        <v>126</v>
      </c>
      <c r="C77" s="16" t="s">
        <v>3846</v>
      </c>
      <c r="D77" s="13" t="s">
        <v>1207</v>
      </c>
      <c r="E77" s="14" t="s">
        <v>2668</v>
      </c>
      <c r="F77" s="14" t="s">
        <v>11</v>
      </c>
      <c r="G77" s="13"/>
      <c r="H77" s="14">
        <f t="shared" si="2"/>
        <v>1</v>
      </c>
      <c r="I77" s="14">
        <v>1</v>
      </c>
      <c r="J77" s="14">
        <v>1</v>
      </c>
      <c r="K77" s="13" t="s">
        <v>193</v>
      </c>
      <c r="L77" s="1" t="s">
        <v>445</v>
      </c>
      <c r="M77" s="1">
        <v>288</v>
      </c>
      <c r="N77" s="1">
        <v>278</v>
      </c>
      <c r="O77" s="1">
        <v>428800</v>
      </c>
      <c r="P77" s="1">
        <v>327800</v>
      </c>
    </row>
    <row r="78" spans="1:17" ht="22.5" x14ac:dyDescent="0.25">
      <c r="A78" s="11" t="s">
        <v>3751</v>
      </c>
      <c r="B78" s="13" t="s">
        <v>191</v>
      </c>
      <c r="C78" s="16" t="s">
        <v>1112</v>
      </c>
      <c r="D78" s="13" t="s">
        <v>41</v>
      </c>
      <c r="E78" s="14" t="s">
        <v>1113</v>
      </c>
      <c r="F78" s="14" t="s">
        <v>11</v>
      </c>
      <c r="G78" s="13"/>
      <c r="H78" s="14">
        <f t="shared" si="1"/>
        <v>1</v>
      </c>
      <c r="I78" s="14">
        <v>1</v>
      </c>
      <c r="J78" s="14">
        <v>1</v>
      </c>
      <c r="K78" s="13" t="s">
        <v>3022</v>
      </c>
      <c r="L78" s="15" t="s">
        <v>520</v>
      </c>
      <c r="M78" s="15">
        <v>8931</v>
      </c>
      <c r="N78" s="15">
        <v>5732</v>
      </c>
      <c r="O78" s="15">
        <v>289310</v>
      </c>
      <c r="P78" s="15">
        <v>57320</v>
      </c>
    </row>
    <row r="79" spans="1:17" ht="33.75" x14ac:dyDescent="0.25">
      <c r="A79" s="11" t="s">
        <v>3751</v>
      </c>
      <c r="B79" s="13" t="s">
        <v>191</v>
      </c>
      <c r="C79" s="16" t="s">
        <v>4294</v>
      </c>
      <c r="D79" s="13" t="s">
        <v>4295</v>
      </c>
      <c r="E79" s="14" t="s">
        <v>43</v>
      </c>
      <c r="F79" s="14" t="s">
        <v>11</v>
      </c>
      <c r="G79" s="13"/>
      <c r="H79" s="14">
        <f>G79+I79</f>
        <v>1</v>
      </c>
      <c r="I79" s="14">
        <v>1</v>
      </c>
      <c r="J79" s="14">
        <v>1</v>
      </c>
      <c r="K79" s="13" t="s">
        <v>1656</v>
      </c>
      <c r="L79" s="15" t="s">
        <v>520</v>
      </c>
      <c r="M79" s="15">
        <v>635</v>
      </c>
      <c r="N79" s="15">
        <v>915</v>
      </c>
      <c r="O79" s="15">
        <v>263500</v>
      </c>
      <c r="P79" s="15">
        <v>91500</v>
      </c>
    </row>
    <row r="80" spans="1:17" x14ac:dyDescent="0.25">
      <c r="A80" s="11" t="s">
        <v>3751</v>
      </c>
      <c r="B80" s="13" t="s">
        <v>191</v>
      </c>
      <c r="C80" s="16" t="s">
        <v>43</v>
      </c>
      <c r="D80" s="13" t="s">
        <v>1278</v>
      </c>
      <c r="E80" s="14" t="s">
        <v>43</v>
      </c>
      <c r="F80" s="14" t="s">
        <v>11</v>
      </c>
      <c r="G80" s="13">
        <v>1</v>
      </c>
      <c r="H80" s="14">
        <f>G80+I80</f>
        <v>2</v>
      </c>
      <c r="I80" s="14">
        <v>1</v>
      </c>
      <c r="J80" s="14">
        <v>1</v>
      </c>
      <c r="K80" s="13" t="s">
        <v>1656</v>
      </c>
      <c r="L80" s="15" t="s">
        <v>520</v>
      </c>
      <c r="M80" s="15">
        <v>64087</v>
      </c>
      <c r="N80" s="15">
        <v>76444</v>
      </c>
      <c r="O80" s="15">
        <v>264087</v>
      </c>
      <c r="P80" s="15">
        <v>76444</v>
      </c>
    </row>
    <row r="81" spans="1:17" ht="22.5" x14ac:dyDescent="0.25">
      <c r="A81" s="11" t="s">
        <v>3751</v>
      </c>
      <c r="B81" s="13" t="s">
        <v>191</v>
      </c>
      <c r="C81" s="16" t="s">
        <v>3913</v>
      </c>
      <c r="D81" s="13" t="s">
        <v>3943</v>
      </c>
      <c r="E81" s="14" t="s">
        <v>2649</v>
      </c>
      <c r="F81" s="14" t="s">
        <v>11</v>
      </c>
      <c r="G81" s="13"/>
      <c r="H81" s="14">
        <f>G81+I81</f>
        <v>3</v>
      </c>
      <c r="I81" s="14">
        <v>3</v>
      </c>
      <c r="J81" s="14">
        <v>2</v>
      </c>
      <c r="K81" s="13" t="s">
        <v>3944</v>
      </c>
      <c r="L81" s="15" t="s">
        <v>520</v>
      </c>
      <c r="M81" s="15">
        <v>5380</v>
      </c>
      <c r="N81" s="15">
        <v>6390</v>
      </c>
      <c r="O81" s="15">
        <v>253800</v>
      </c>
      <c r="P81" s="15">
        <v>63900</v>
      </c>
    </row>
    <row r="82" spans="1:17" x14ac:dyDescent="0.25">
      <c r="A82" s="11" t="s">
        <v>3751</v>
      </c>
      <c r="B82" s="13" t="s">
        <v>191</v>
      </c>
      <c r="C82" s="16" t="s">
        <v>2976</v>
      </c>
      <c r="D82" s="13" t="s">
        <v>2977</v>
      </c>
      <c r="E82" s="14" t="s">
        <v>43</v>
      </c>
      <c r="F82" s="14" t="s">
        <v>11</v>
      </c>
      <c r="G82" s="13"/>
      <c r="H82" s="14">
        <f>G82+I82</f>
        <v>1</v>
      </c>
      <c r="I82" s="14">
        <v>1</v>
      </c>
      <c r="J82" s="14">
        <v>1</v>
      </c>
      <c r="K82" s="13" t="s">
        <v>1656</v>
      </c>
      <c r="L82" s="15" t="s">
        <v>520</v>
      </c>
      <c r="M82" s="15">
        <v>6387</v>
      </c>
      <c r="N82" s="15">
        <v>8313</v>
      </c>
      <c r="O82" s="15">
        <v>263870</v>
      </c>
      <c r="P82" s="15">
        <v>83130</v>
      </c>
    </row>
    <row r="83" spans="1:17" ht="22.5" x14ac:dyDescent="0.25">
      <c r="A83" s="11" t="s">
        <v>3751</v>
      </c>
      <c r="B83" s="13" t="s">
        <v>191</v>
      </c>
      <c r="C83" s="16" t="s">
        <v>1439</v>
      </c>
      <c r="D83" s="13" t="s">
        <v>3920</v>
      </c>
      <c r="E83" s="14" t="s">
        <v>1440</v>
      </c>
      <c r="F83" s="14" t="s">
        <v>11</v>
      </c>
      <c r="G83" s="13"/>
      <c r="H83" s="14">
        <f t="shared" si="1"/>
        <v>3</v>
      </c>
      <c r="I83" s="14">
        <v>3</v>
      </c>
      <c r="J83" s="14">
        <v>3</v>
      </c>
      <c r="K83" s="13" t="s">
        <v>3921</v>
      </c>
      <c r="L83" s="15" t="s">
        <v>520</v>
      </c>
      <c r="M83" s="15">
        <v>8757</v>
      </c>
      <c r="N83" s="15">
        <v>8607</v>
      </c>
      <c r="O83" s="15">
        <v>287570</v>
      </c>
      <c r="P83" s="15">
        <v>86070</v>
      </c>
    </row>
    <row r="84" spans="1:17" ht="33.75" x14ac:dyDescent="0.25">
      <c r="A84" s="11" t="s">
        <v>3751</v>
      </c>
      <c r="B84" s="13" t="s">
        <v>191</v>
      </c>
      <c r="C84" s="16" t="s">
        <v>192</v>
      </c>
      <c r="D84" s="13" t="s">
        <v>3807</v>
      </c>
      <c r="E84" s="14" t="s">
        <v>194</v>
      </c>
      <c r="F84" s="14" t="s">
        <v>11</v>
      </c>
      <c r="G84" s="13">
        <v>9</v>
      </c>
      <c r="H84" s="14">
        <f t="shared" si="1"/>
        <v>11</v>
      </c>
      <c r="I84" s="14">
        <v>2</v>
      </c>
      <c r="J84" s="14">
        <v>7</v>
      </c>
      <c r="K84" s="13" t="s">
        <v>4554</v>
      </c>
      <c r="L84" s="15" t="s">
        <v>119</v>
      </c>
      <c r="M84" s="15">
        <v>112</v>
      </c>
      <c r="N84" s="15">
        <v>30</v>
      </c>
      <c r="O84" s="15">
        <v>311200</v>
      </c>
      <c r="P84" s="15">
        <v>103000</v>
      </c>
    </row>
    <row r="85" spans="1:17" ht="22.5" x14ac:dyDescent="0.25">
      <c r="A85" s="11" t="s">
        <v>3751</v>
      </c>
      <c r="B85" s="13" t="s">
        <v>191</v>
      </c>
      <c r="C85" s="16" t="s">
        <v>192</v>
      </c>
      <c r="D85" s="13" t="s">
        <v>92</v>
      </c>
      <c r="E85" s="14" t="s">
        <v>194</v>
      </c>
      <c r="F85" s="14" t="s">
        <v>11</v>
      </c>
      <c r="G85" s="13">
        <v>1</v>
      </c>
      <c r="H85" s="14">
        <f t="shared" si="1"/>
        <v>11</v>
      </c>
      <c r="I85" s="14">
        <v>10</v>
      </c>
      <c r="J85" s="14">
        <v>8</v>
      </c>
      <c r="K85" s="13" t="s">
        <v>3949</v>
      </c>
      <c r="L85" s="15" t="s">
        <v>119</v>
      </c>
      <c r="M85" s="15">
        <v>112</v>
      </c>
      <c r="N85" s="15">
        <v>30</v>
      </c>
      <c r="O85" s="15">
        <v>311200</v>
      </c>
      <c r="P85" s="15">
        <v>103000</v>
      </c>
    </row>
    <row r="86" spans="1:17" ht="33.75" x14ac:dyDescent="0.25">
      <c r="A86" s="11" t="s">
        <v>3751</v>
      </c>
      <c r="B86" s="13" t="s">
        <v>191</v>
      </c>
      <c r="C86" s="16" t="s">
        <v>3928</v>
      </c>
      <c r="D86" s="13" t="s">
        <v>2675</v>
      </c>
      <c r="E86" s="14" t="s">
        <v>43</v>
      </c>
      <c r="F86" s="14" t="s">
        <v>11</v>
      </c>
      <c r="G86" s="13"/>
      <c r="H86" s="14">
        <f>G86+I86</f>
        <v>1</v>
      </c>
      <c r="I86" s="14">
        <v>1</v>
      </c>
      <c r="J86" s="14">
        <v>1</v>
      </c>
      <c r="K86" s="13" t="s">
        <v>358</v>
      </c>
      <c r="L86" s="15" t="s">
        <v>520</v>
      </c>
      <c r="M86" s="15">
        <v>7430</v>
      </c>
      <c r="N86" s="15">
        <v>7897</v>
      </c>
      <c r="O86" s="15">
        <v>274300</v>
      </c>
      <c r="P86" s="15">
        <v>78970</v>
      </c>
    </row>
    <row r="87" spans="1:17" x14ac:dyDescent="0.25">
      <c r="A87" s="11" t="s">
        <v>3751</v>
      </c>
      <c r="B87" s="13" t="s">
        <v>191</v>
      </c>
      <c r="C87" s="16" t="s">
        <v>2535</v>
      </c>
      <c r="F87" s="14" t="s">
        <v>11</v>
      </c>
      <c r="G87" s="13">
        <v>1</v>
      </c>
      <c r="H87" s="14">
        <f>G87+I87</f>
        <v>1</v>
      </c>
      <c r="J87" s="14">
        <v>1</v>
      </c>
      <c r="K87" s="13" t="s">
        <v>488</v>
      </c>
      <c r="L87" s="54" t="s">
        <v>520</v>
      </c>
      <c r="M87" s="54">
        <v>527</v>
      </c>
      <c r="N87" s="54">
        <v>585</v>
      </c>
      <c r="O87" s="54">
        <v>252700</v>
      </c>
      <c r="P87" s="54">
        <v>58500</v>
      </c>
      <c r="Q87" s="15"/>
    </row>
    <row r="88" spans="1:17" ht="22.5" x14ac:dyDescent="0.25">
      <c r="A88" s="11" t="s">
        <v>3751</v>
      </c>
      <c r="B88" s="13" t="s">
        <v>68</v>
      </c>
      <c r="C88" s="16" t="s">
        <v>4006</v>
      </c>
      <c r="D88" s="13" t="s">
        <v>4005</v>
      </c>
      <c r="E88" s="14" t="s">
        <v>198</v>
      </c>
      <c r="F88" s="14" t="s">
        <v>11</v>
      </c>
      <c r="G88" s="13"/>
      <c r="H88" s="14">
        <f>G88+I88</f>
        <v>1</v>
      </c>
      <c r="I88" s="14">
        <v>1</v>
      </c>
      <c r="J88" s="14">
        <v>1</v>
      </c>
      <c r="K88" s="13" t="s">
        <v>1396</v>
      </c>
      <c r="L88" s="15" t="s">
        <v>145</v>
      </c>
      <c r="M88" s="15">
        <v>7020</v>
      </c>
      <c r="N88" s="15">
        <v>8531</v>
      </c>
      <c r="O88" s="15">
        <v>370200</v>
      </c>
      <c r="P88" s="15">
        <v>85310</v>
      </c>
      <c r="Q88" s="15"/>
    </row>
    <row r="89" spans="1:17" ht="22.5" x14ac:dyDescent="0.25">
      <c r="A89" s="11" t="s">
        <v>3751</v>
      </c>
      <c r="B89" s="13" t="s">
        <v>68</v>
      </c>
      <c r="C89" s="16" t="s">
        <v>4411</v>
      </c>
      <c r="D89" s="13" t="s">
        <v>4412</v>
      </c>
      <c r="E89" s="13" t="s">
        <v>864</v>
      </c>
      <c r="F89" s="14" t="s">
        <v>11</v>
      </c>
      <c r="G89" s="13">
        <v>1</v>
      </c>
      <c r="H89" s="14">
        <f>G89+I89</f>
        <v>3</v>
      </c>
      <c r="I89" s="14">
        <v>2</v>
      </c>
      <c r="J89" s="14">
        <v>3</v>
      </c>
      <c r="K89" s="13" t="s">
        <v>4428</v>
      </c>
      <c r="L89" s="15" t="s">
        <v>145</v>
      </c>
      <c r="M89" s="15">
        <v>698</v>
      </c>
      <c r="N89" s="15">
        <v>889</v>
      </c>
      <c r="O89" s="15">
        <v>369800</v>
      </c>
      <c r="P89" s="15">
        <v>88900</v>
      </c>
      <c r="Q89" s="15"/>
    </row>
    <row r="90" spans="1:17" x14ac:dyDescent="0.25">
      <c r="A90" s="11" t="s">
        <v>3751</v>
      </c>
      <c r="B90" s="13" t="s">
        <v>68</v>
      </c>
      <c r="C90" s="16" t="s">
        <v>382</v>
      </c>
      <c r="D90" s="13" t="s">
        <v>1278</v>
      </c>
      <c r="E90" s="14" t="s">
        <v>314</v>
      </c>
      <c r="F90" s="14" t="s">
        <v>11</v>
      </c>
      <c r="G90" s="13">
        <v>9</v>
      </c>
      <c r="H90" s="14">
        <f t="shared" si="1"/>
        <v>11</v>
      </c>
      <c r="I90" s="14">
        <v>2</v>
      </c>
      <c r="J90" s="14">
        <v>10</v>
      </c>
      <c r="K90" s="13" t="s">
        <v>4427</v>
      </c>
      <c r="L90" s="15" t="s">
        <v>119</v>
      </c>
      <c r="M90" s="15">
        <v>96585</v>
      </c>
      <c r="N90" s="15">
        <v>18584</v>
      </c>
      <c r="O90" s="15">
        <v>396585</v>
      </c>
      <c r="P90" s="15">
        <v>118584</v>
      </c>
      <c r="Q90" s="15"/>
    </row>
    <row r="91" spans="1:17" x14ac:dyDescent="0.25">
      <c r="A91" s="11" t="s">
        <v>3751</v>
      </c>
      <c r="B91" s="13" t="s">
        <v>68</v>
      </c>
      <c r="C91" s="16" t="s">
        <v>864</v>
      </c>
      <c r="D91" s="13" t="s">
        <v>1940</v>
      </c>
      <c r="E91" s="13" t="s">
        <v>198</v>
      </c>
      <c r="F91" s="14" t="s">
        <v>11</v>
      </c>
      <c r="G91" s="13">
        <v>1</v>
      </c>
      <c r="H91" s="14">
        <f>G91+I91</f>
        <v>1</v>
      </c>
      <c r="J91" s="14">
        <v>1</v>
      </c>
      <c r="K91" s="13" t="s">
        <v>2292</v>
      </c>
      <c r="L91" s="15" t="s">
        <v>145</v>
      </c>
      <c r="M91" s="15">
        <v>690</v>
      </c>
      <c r="N91" s="15">
        <v>906</v>
      </c>
      <c r="O91" s="15">
        <v>369000</v>
      </c>
      <c r="P91" s="15">
        <v>90600</v>
      </c>
      <c r="Q91" s="15"/>
    </row>
    <row r="92" spans="1:17" x14ac:dyDescent="0.25">
      <c r="A92" s="11" t="s">
        <v>3751</v>
      </c>
      <c r="B92" s="13" t="s">
        <v>68</v>
      </c>
      <c r="C92" s="16" t="s">
        <v>381</v>
      </c>
      <c r="D92" s="13" t="s">
        <v>20</v>
      </c>
      <c r="E92" s="14" t="s">
        <v>314</v>
      </c>
      <c r="F92" s="14" t="s">
        <v>11</v>
      </c>
      <c r="G92" s="13">
        <v>3</v>
      </c>
      <c r="H92" s="14">
        <f t="shared" si="1"/>
        <v>6</v>
      </c>
      <c r="I92" s="14">
        <v>3</v>
      </c>
      <c r="J92" s="14">
        <v>4</v>
      </c>
      <c r="K92" s="13" t="s">
        <v>4021</v>
      </c>
      <c r="L92" s="15" t="s">
        <v>110</v>
      </c>
      <c r="M92" s="15">
        <v>17</v>
      </c>
      <c r="N92" s="15">
        <v>160</v>
      </c>
      <c r="O92" s="15">
        <v>401700</v>
      </c>
      <c r="P92" s="15">
        <v>116000</v>
      </c>
      <c r="Q92" s="15"/>
    </row>
    <row r="93" spans="1:17" ht="22.5" x14ac:dyDescent="0.25">
      <c r="A93" s="11" t="s">
        <v>3751</v>
      </c>
      <c r="B93" s="13" t="s">
        <v>68</v>
      </c>
      <c r="C93" s="16" t="s">
        <v>1959</v>
      </c>
      <c r="D93" s="13" t="s">
        <v>138</v>
      </c>
      <c r="E93" s="13" t="s">
        <v>864</v>
      </c>
      <c r="F93" s="14" t="s">
        <v>11</v>
      </c>
      <c r="G93" s="13"/>
      <c r="H93" s="14">
        <f>G93+I93</f>
        <v>3</v>
      </c>
      <c r="I93" s="14">
        <v>3</v>
      </c>
      <c r="J93" s="14">
        <v>1</v>
      </c>
      <c r="K93" s="13" t="s">
        <v>338</v>
      </c>
      <c r="L93" s="15" t="s">
        <v>145</v>
      </c>
      <c r="M93" s="15">
        <v>704</v>
      </c>
      <c r="N93" s="15">
        <v>899</v>
      </c>
      <c r="O93" s="15">
        <v>370400</v>
      </c>
      <c r="P93" s="15">
        <v>89900</v>
      </c>
      <c r="Q93" s="15"/>
    </row>
    <row r="94" spans="1:17" x14ac:dyDescent="0.25">
      <c r="A94" s="11" t="s">
        <v>3751</v>
      </c>
      <c r="B94" s="13" t="s">
        <v>68</v>
      </c>
      <c r="C94" s="16" t="s">
        <v>735</v>
      </c>
      <c r="D94" s="13" t="s">
        <v>26</v>
      </c>
      <c r="E94" s="13" t="s">
        <v>2682</v>
      </c>
      <c r="F94" s="14" t="s">
        <v>11</v>
      </c>
      <c r="G94" s="13"/>
      <c r="H94" s="14">
        <f t="shared" si="1"/>
        <v>1</v>
      </c>
      <c r="I94" s="14">
        <v>1</v>
      </c>
      <c r="J94" s="14">
        <v>1</v>
      </c>
      <c r="K94" s="13" t="s">
        <v>1396</v>
      </c>
      <c r="L94" s="15" t="s">
        <v>145</v>
      </c>
      <c r="M94" s="15">
        <v>584</v>
      </c>
      <c r="N94" s="15">
        <v>871</v>
      </c>
      <c r="O94" s="15">
        <v>358400</v>
      </c>
      <c r="P94" s="15">
        <v>87100</v>
      </c>
      <c r="Q94" s="15"/>
    </row>
    <row r="95" spans="1:17" ht="22.5" x14ac:dyDescent="0.25">
      <c r="A95" s="11" t="s">
        <v>3751</v>
      </c>
      <c r="B95" s="13" t="s">
        <v>68</v>
      </c>
      <c r="C95" s="16" t="s">
        <v>117</v>
      </c>
      <c r="D95" s="13" t="s">
        <v>92</v>
      </c>
      <c r="E95" s="14" t="s">
        <v>118</v>
      </c>
      <c r="F95" s="14" t="s">
        <v>11</v>
      </c>
      <c r="G95" s="13">
        <v>2</v>
      </c>
      <c r="H95" s="14">
        <f t="shared" si="1"/>
        <v>21</v>
      </c>
      <c r="I95" s="14">
        <v>19</v>
      </c>
      <c r="J95" s="14">
        <v>16</v>
      </c>
      <c r="K95" s="13" t="s">
        <v>3956</v>
      </c>
      <c r="L95" s="15" t="s">
        <v>119</v>
      </c>
      <c r="M95" s="15">
        <v>8492</v>
      </c>
      <c r="N95" s="15">
        <v>1226</v>
      </c>
      <c r="O95" s="15">
        <v>384920</v>
      </c>
      <c r="P95" s="15">
        <v>112260</v>
      </c>
      <c r="Q95" s="15"/>
    </row>
    <row r="96" spans="1:17" ht="22.5" x14ac:dyDescent="0.25">
      <c r="A96" s="11" t="s">
        <v>3751</v>
      </c>
      <c r="B96" s="13" t="s">
        <v>68</v>
      </c>
      <c r="C96" s="16" t="s">
        <v>2361</v>
      </c>
      <c r="D96" s="13" t="s">
        <v>92</v>
      </c>
      <c r="E96" s="14" t="s">
        <v>117</v>
      </c>
      <c r="F96" s="14" t="s">
        <v>11</v>
      </c>
      <c r="G96" s="13"/>
      <c r="H96" s="14">
        <f>G96+I96</f>
        <v>4</v>
      </c>
      <c r="I96" s="14">
        <v>4</v>
      </c>
      <c r="J96" s="14">
        <v>3</v>
      </c>
      <c r="K96" s="13" t="s">
        <v>3942</v>
      </c>
      <c r="L96" s="15" t="s">
        <v>119</v>
      </c>
      <c r="M96" s="15">
        <v>8492</v>
      </c>
      <c r="N96" s="15">
        <v>1226</v>
      </c>
      <c r="O96" s="15">
        <v>384920</v>
      </c>
      <c r="P96" s="15">
        <v>112260</v>
      </c>
      <c r="Q96" s="15"/>
    </row>
    <row r="97" spans="1:17" x14ac:dyDescent="0.25">
      <c r="A97" s="11" t="s">
        <v>3751</v>
      </c>
      <c r="B97" s="13" t="s">
        <v>68</v>
      </c>
      <c r="C97" s="16" t="s">
        <v>3916</v>
      </c>
      <c r="E97" s="14" t="s">
        <v>117</v>
      </c>
      <c r="F97" s="14" t="s">
        <v>11</v>
      </c>
      <c r="G97" s="13">
        <v>1</v>
      </c>
      <c r="H97" s="14">
        <f>G97+I97</f>
        <v>2</v>
      </c>
      <c r="I97" s="14">
        <v>1</v>
      </c>
      <c r="J97" s="14">
        <v>2</v>
      </c>
      <c r="K97" s="13" t="s">
        <v>3941</v>
      </c>
      <c r="Q97" s="15"/>
    </row>
    <row r="98" spans="1:17" ht="33.75" x14ac:dyDescent="0.25">
      <c r="A98" s="11" t="s">
        <v>3751</v>
      </c>
      <c r="B98" s="13" t="s">
        <v>68</v>
      </c>
      <c r="C98" s="16" t="s">
        <v>3777</v>
      </c>
      <c r="D98" s="13" t="s">
        <v>3655</v>
      </c>
      <c r="E98" s="14" t="s">
        <v>314</v>
      </c>
      <c r="F98" s="14" t="s">
        <v>11</v>
      </c>
      <c r="G98" s="13">
        <v>2</v>
      </c>
      <c r="H98" s="14">
        <f t="shared" si="1"/>
        <v>2</v>
      </c>
      <c r="J98" s="14">
        <v>2</v>
      </c>
      <c r="K98" s="13" t="s">
        <v>4421</v>
      </c>
      <c r="L98" s="15" t="s">
        <v>110</v>
      </c>
      <c r="M98" s="15">
        <v>149</v>
      </c>
      <c r="N98" s="15">
        <v>1625</v>
      </c>
      <c r="O98" s="15">
        <v>401490</v>
      </c>
      <c r="P98" s="15">
        <v>116250</v>
      </c>
      <c r="Q98" s="15"/>
    </row>
    <row r="99" spans="1:17" x14ac:dyDescent="0.25">
      <c r="A99" s="11" t="s">
        <v>3751</v>
      </c>
      <c r="B99" s="13" t="s">
        <v>68</v>
      </c>
      <c r="C99" s="16" t="s">
        <v>695</v>
      </c>
      <c r="D99" s="13" t="s">
        <v>26</v>
      </c>
      <c r="E99" s="14" t="s">
        <v>696</v>
      </c>
      <c r="F99" s="14" t="s">
        <v>11</v>
      </c>
      <c r="G99" s="13"/>
      <c r="H99" s="14">
        <f t="shared" si="1"/>
        <v>3</v>
      </c>
      <c r="I99" s="14">
        <v>3</v>
      </c>
      <c r="J99" s="14">
        <v>2</v>
      </c>
      <c r="K99" s="13" t="s">
        <v>1407</v>
      </c>
      <c r="L99" s="15" t="s">
        <v>697</v>
      </c>
      <c r="M99" s="15">
        <v>116</v>
      </c>
      <c r="N99" s="15">
        <v>946</v>
      </c>
      <c r="O99" s="15">
        <v>411600</v>
      </c>
      <c r="P99" s="15">
        <v>94600</v>
      </c>
      <c r="Q99" s="15"/>
    </row>
    <row r="100" spans="1:17" x14ac:dyDescent="0.25">
      <c r="A100" s="11" t="s">
        <v>3751</v>
      </c>
      <c r="B100" s="13" t="s">
        <v>68</v>
      </c>
      <c r="C100" s="16" t="s">
        <v>2434</v>
      </c>
      <c r="D100" s="13" t="s">
        <v>2435</v>
      </c>
      <c r="E100" s="14" t="s">
        <v>314</v>
      </c>
      <c r="F100" s="14" t="s">
        <v>11</v>
      </c>
      <c r="G100" s="13"/>
      <c r="H100" s="14">
        <f t="shared" si="1"/>
        <v>4</v>
      </c>
      <c r="I100" s="14">
        <v>4</v>
      </c>
      <c r="J100" s="14">
        <v>3</v>
      </c>
      <c r="K100" s="13" t="s">
        <v>4241</v>
      </c>
      <c r="L100" s="15" t="s">
        <v>110</v>
      </c>
      <c r="M100" s="15">
        <v>24</v>
      </c>
      <c r="N100" s="15">
        <v>102</v>
      </c>
      <c r="O100" s="15">
        <v>402400</v>
      </c>
      <c r="P100" s="15">
        <v>110200</v>
      </c>
    </row>
    <row r="101" spans="1:17" ht="25.5" x14ac:dyDescent="0.25">
      <c r="A101" s="11" t="s">
        <v>3751</v>
      </c>
      <c r="B101" s="13" t="s">
        <v>68</v>
      </c>
      <c r="C101" s="16" t="s">
        <v>2838</v>
      </c>
      <c r="D101" s="13" t="s">
        <v>2435</v>
      </c>
      <c r="E101" s="14" t="s">
        <v>314</v>
      </c>
      <c r="F101" s="14" t="s">
        <v>11</v>
      </c>
      <c r="G101" s="13"/>
      <c r="H101" s="14">
        <f t="shared" si="1"/>
        <v>2</v>
      </c>
      <c r="I101" s="14">
        <v>2</v>
      </c>
      <c r="J101" s="14">
        <v>2</v>
      </c>
      <c r="K101" s="13" t="s">
        <v>4228</v>
      </c>
      <c r="L101" s="15" t="s">
        <v>110</v>
      </c>
      <c r="M101" s="15">
        <v>24</v>
      </c>
      <c r="N101" s="15">
        <v>102</v>
      </c>
      <c r="O101" s="15">
        <v>402400</v>
      </c>
      <c r="P101" s="15">
        <v>110200</v>
      </c>
    </row>
    <row r="102" spans="1:17" x14ac:dyDescent="0.25">
      <c r="A102" s="11" t="s">
        <v>3751</v>
      </c>
      <c r="B102" s="13" t="s">
        <v>68</v>
      </c>
      <c r="C102" s="16" t="s">
        <v>2839</v>
      </c>
      <c r="D102" s="13" t="s">
        <v>2435</v>
      </c>
      <c r="E102" s="14" t="s">
        <v>314</v>
      </c>
      <c r="F102" s="14" t="s">
        <v>11</v>
      </c>
      <c r="G102" s="13"/>
      <c r="H102" s="14">
        <f t="shared" si="1"/>
        <v>1</v>
      </c>
      <c r="I102" s="14">
        <v>1</v>
      </c>
      <c r="J102" s="14">
        <v>1</v>
      </c>
      <c r="K102" s="13" t="s">
        <v>4227</v>
      </c>
      <c r="L102" s="15" t="s">
        <v>110</v>
      </c>
      <c r="M102" s="15">
        <v>24</v>
      </c>
      <c r="N102" s="15">
        <v>102</v>
      </c>
      <c r="O102" s="15">
        <v>402400</v>
      </c>
      <c r="P102" s="15">
        <v>110200</v>
      </c>
    </row>
    <row r="103" spans="1:17" ht="25.5" x14ac:dyDescent="0.25">
      <c r="A103" s="11" t="s">
        <v>3751</v>
      </c>
      <c r="B103" s="13" t="s">
        <v>68</v>
      </c>
      <c r="C103" s="16" t="s">
        <v>2837</v>
      </c>
      <c r="D103" s="13" t="s">
        <v>2435</v>
      </c>
      <c r="E103" s="14" t="s">
        <v>314</v>
      </c>
      <c r="F103" s="14" t="s">
        <v>11</v>
      </c>
      <c r="G103" s="13"/>
      <c r="H103" s="14">
        <f t="shared" si="1"/>
        <v>2</v>
      </c>
      <c r="I103" s="14">
        <v>2</v>
      </c>
      <c r="J103" s="14">
        <v>2</v>
      </c>
      <c r="K103" s="13" t="s">
        <v>4243</v>
      </c>
      <c r="L103" s="15" t="s">
        <v>110</v>
      </c>
      <c r="M103" s="15">
        <v>24</v>
      </c>
      <c r="N103" s="15">
        <v>102</v>
      </c>
      <c r="O103" s="15">
        <v>402400</v>
      </c>
      <c r="P103" s="15">
        <v>110200</v>
      </c>
    </row>
    <row r="104" spans="1:17" x14ac:dyDescent="0.25">
      <c r="A104" s="11" t="s">
        <v>3751</v>
      </c>
      <c r="B104" s="13" t="s">
        <v>68</v>
      </c>
      <c r="C104" s="16" t="s">
        <v>4229</v>
      </c>
      <c r="D104" s="13" t="s">
        <v>90</v>
      </c>
      <c r="E104" s="14" t="s">
        <v>314</v>
      </c>
      <c r="F104" s="14" t="s">
        <v>11</v>
      </c>
      <c r="G104" s="13"/>
      <c r="H104" s="14">
        <f>G104+I104</f>
        <v>2</v>
      </c>
      <c r="I104" s="14">
        <v>2</v>
      </c>
      <c r="J104" s="14">
        <v>2</v>
      </c>
      <c r="K104" s="13" t="s">
        <v>4243</v>
      </c>
      <c r="L104" s="15" t="s">
        <v>110</v>
      </c>
      <c r="M104" s="15">
        <v>24</v>
      </c>
      <c r="N104" s="15">
        <v>102</v>
      </c>
      <c r="O104" s="15">
        <v>402400</v>
      </c>
      <c r="P104" s="15">
        <v>110200</v>
      </c>
    </row>
    <row r="105" spans="1:17" ht="33.75" x14ac:dyDescent="0.25">
      <c r="A105" s="11" t="s">
        <v>3751</v>
      </c>
      <c r="B105" s="13" t="s">
        <v>68</v>
      </c>
      <c r="C105" s="16" t="s">
        <v>3863</v>
      </c>
      <c r="D105" s="13" t="s">
        <v>3864</v>
      </c>
      <c r="E105" s="14" t="s">
        <v>198</v>
      </c>
      <c r="F105" s="14" t="s">
        <v>11</v>
      </c>
      <c r="G105" s="13"/>
      <c r="H105" s="14">
        <f>G105+I105</f>
        <v>1</v>
      </c>
      <c r="I105" s="14">
        <v>1</v>
      </c>
      <c r="J105" s="14">
        <v>1</v>
      </c>
      <c r="K105" s="13" t="s">
        <v>193</v>
      </c>
      <c r="L105" s="15" t="s">
        <v>145</v>
      </c>
      <c r="M105" s="15">
        <v>5564</v>
      </c>
      <c r="N105" s="15">
        <v>9175</v>
      </c>
      <c r="O105" s="15">
        <v>355640</v>
      </c>
      <c r="P105" s="15">
        <v>91750</v>
      </c>
      <c r="Q105" s="15"/>
    </row>
    <row r="106" spans="1:17" ht="22.5" x14ac:dyDescent="0.25">
      <c r="A106" s="11" t="s">
        <v>3751</v>
      </c>
      <c r="B106" s="13" t="s">
        <v>68</v>
      </c>
      <c r="C106" s="16" t="s">
        <v>197</v>
      </c>
      <c r="D106" s="13" t="s">
        <v>92</v>
      </c>
      <c r="E106" s="14" t="s">
        <v>198</v>
      </c>
      <c r="F106" s="14" t="s">
        <v>11</v>
      </c>
      <c r="G106" s="13">
        <v>8</v>
      </c>
      <c r="H106" s="14">
        <f t="shared" si="1"/>
        <v>12</v>
      </c>
      <c r="I106" s="14">
        <v>4</v>
      </c>
      <c r="J106" s="14">
        <v>8</v>
      </c>
      <c r="K106" s="13" t="s">
        <v>4496</v>
      </c>
      <c r="L106" s="15" t="s">
        <v>145</v>
      </c>
      <c r="M106" s="15">
        <v>6693</v>
      </c>
      <c r="N106" s="15">
        <v>8848</v>
      </c>
      <c r="O106" s="15">
        <v>366930</v>
      </c>
      <c r="P106" s="15">
        <v>88480</v>
      </c>
      <c r="Q106" s="15"/>
    </row>
    <row r="107" spans="1:17" ht="25.5" x14ac:dyDescent="0.25">
      <c r="A107" s="11" t="s">
        <v>3751</v>
      </c>
      <c r="B107" s="13" t="s">
        <v>68</v>
      </c>
      <c r="C107" s="16" t="s">
        <v>4002</v>
      </c>
      <c r="D107" s="13" t="s">
        <v>26</v>
      </c>
      <c r="E107" s="13" t="s">
        <v>703</v>
      </c>
      <c r="F107" s="14" t="s">
        <v>11</v>
      </c>
      <c r="G107" s="13"/>
      <c r="H107" s="14">
        <f t="shared" si="1"/>
        <v>2</v>
      </c>
      <c r="I107" s="14">
        <v>2</v>
      </c>
      <c r="J107" s="14">
        <v>2</v>
      </c>
      <c r="K107" s="13" t="s">
        <v>4003</v>
      </c>
      <c r="L107" s="15" t="s">
        <v>145</v>
      </c>
      <c r="M107" s="15">
        <v>6651</v>
      </c>
      <c r="N107" s="15">
        <v>8879</v>
      </c>
      <c r="O107" s="15">
        <v>366510</v>
      </c>
      <c r="P107" s="15">
        <v>88790</v>
      </c>
      <c r="Q107" s="15"/>
    </row>
    <row r="108" spans="1:17" x14ac:dyDescent="0.25">
      <c r="A108" s="11" t="s">
        <v>3751</v>
      </c>
      <c r="B108" s="13" t="s">
        <v>68</v>
      </c>
      <c r="C108" s="16" t="s">
        <v>3963</v>
      </c>
      <c r="D108" s="13" t="s">
        <v>26</v>
      </c>
      <c r="E108" s="14" t="s">
        <v>381</v>
      </c>
      <c r="F108" s="14" t="s">
        <v>11</v>
      </c>
      <c r="G108" s="13"/>
      <c r="H108" s="14">
        <f>G108+I108</f>
        <v>1</v>
      </c>
      <c r="I108" s="14">
        <v>1</v>
      </c>
      <c r="J108" s="14">
        <v>1</v>
      </c>
      <c r="K108" s="13" t="s">
        <v>2486</v>
      </c>
      <c r="L108" s="15" t="s">
        <v>110</v>
      </c>
      <c r="M108" s="15">
        <v>40</v>
      </c>
      <c r="N108" s="15">
        <v>191</v>
      </c>
      <c r="O108" s="15">
        <v>404000</v>
      </c>
      <c r="P108" s="15">
        <v>119100</v>
      </c>
      <c r="Q108" s="15"/>
    </row>
    <row r="109" spans="1:17" x14ac:dyDescent="0.25">
      <c r="A109" s="11" t="s">
        <v>3751</v>
      </c>
      <c r="B109" s="13" t="s">
        <v>68</v>
      </c>
      <c r="C109" s="16" t="s">
        <v>2109</v>
      </c>
      <c r="D109" s="13" t="s">
        <v>18</v>
      </c>
      <c r="E109" s="13" t="s">
        <v>198</v>
      </c>
      <c r="F109" s="14" t="s">
        <v>11</v>
      </c>
      <c r="G109" s="13">
        <v>1</v>
      </c>
      <c r="H109" s="14">
        <f t="shared" si="1"/>
        <v>1</v>
      </c>
      <c r="J109" s="14">
        <v>1</v>
      </c>
      <c r="K109" s="13" t="s">
        <v>970</v>
      </c>
      <c r="L109" s="15" t="s">
        <v>145</v>
      </c>
      <c r="M109" s="15">
        <v>6902</v>
      </c>
      <c r="N109" s="15">
        <v>8992</v>
      </c>
      <c r="O109" s="15">
        <v>369020</v>
      </c>
      <c r="P109" s="15">
        <v>89920</v>
      </c>
      <c r="Q109" s="15"/>
    </row>
    <row r="110" spans="1:17" ht="33.75" x14ac:dyDescent="0.25">
      <c r="A110" s="11" t="s">
        <v>3751</v>
      </c>
      <c r="B110" s="13" t="s">
        <v>68</v>
      </c>
      <c r="C110" s="16" t="s">
        <v>1394</v>
      </c>
      <c r="D110" s="13" t="s">
        <v>4022</v>
      </c>
      <c r="E110" s="14" t="s">
        <v>314</v>
      </c>
      <c r="F110" s="14" t="s">
        <v>11</v>
      </c>
      <c r="G110" s="13">
        <v>14</v>
      </c>
      <c r="H110" s="14">
        <f t="shared" si="1"/>
        <v>14</v>
      </c>
      <c r="J110" s="14">
        <v>6</v>
      </c>
      <c r="K110" s="13" t="s">
        <v>4552</v>
      </c>
      <c r="L110" s="15" t="s">
        <v>110</v>
      </c>
      <c r="M110" s="15">
        <v>122</v>
      </c>
      <c r="N110" s="15">
        <v>1738</v>
      </c>
      <c r="O110" s="15">
        <v>401220</v>
      </c>
      <c r="P110" s="15">
        <v>117380</v>
      </c>
      <c r="Q110" s="15"/>
    </row>
    <row r="111" spans="1:17" x14ac:dyDescent="0.25">
      <c r="A111" s="11" t="s">
        <v>3751</v>
      </c>
      <c r="B111" s="13" t="s">
        <v>68</v>
      </c>
      <c r="C111" s="16" t="s">
        <v>402</v>
      </c>
      <c r="D111" s="13" t="s">
        <v>18</v>
      </c>
      <c r="E111" s="14" t="s">
        <v>21</v>
      </c>
      <c r="F111" s="14" t="s">
        <v>11</v>
      </c>
      <c r="G111" s="13">
        <v>3</v>
      </c>
      <c r="H111" s="14">
        <f t="shared" si="1"/>
        <v>8</v>
      </c>
      <c r="I111" s="14">
        <v>5</v>
      </c>
      <c r="J111" s="14">
        <v>5</v>
      </c>
      <c r="K111" s="13" t="s">
        <v>4240</v>
      </c>
      <c r="L111" s="15" t="s">
        <v>145</v>
      </c>
      <c r="M111" s="15">
        <v>70986</v>
      </c>
      <c r="N111" s="15">
        <v>89924</v>
      </c>
      <c r="O111" s="15">
        <v>370986</v>
      </c>
      <c r="P111" s="15">
        <v>89924</v>
      </c>
      <c r="Q111" s="15"/>
    </row>
    <row r="112" spans="1:17" x14ac:dyDescent="0.25">
      <c r="A112" s="11" t="s">
        <v>3751</v>
      </c>
      <c r="B112" s="13" t="s">
        <v>68</v>
      </c>
      <c r="C112" s="16" t="s">
        <v>2196</v>
      </c>
      <c r="D112" s="13" t="s">
        <v>90</v>
      </c>
      <c r="E112" s="14" t="s">
        <v>402</v>
      </c>
      <c r="F112" s="14" t="s">
        <v>11</v>
      </c>
      <c r="G112" s="13"/>
      <c r="H112" s="14">
        <f t="shared" si="1"/>
        <v>1</v>
      </c>
      <c r="I112" s="14">
        <v>1</v>
      </c>
      <c r="J112" s="14">
        <v>1</v>
      </c>
      <c r="K112" s="13" t="s">
        <v>1609</v>
      </c>
      <c r="L112" s="15" t="s">
        <v>145</v>
      </c>
      <c r="M112" s="15">
        <v>70986</v>
      </c>
      <c r="N112" s="15">
        <v>89924</v>
      </c>
      <c r="O112" s="15">
        <v>370986</v>
      </c>
      <c r="P112" s="15">
        <v>89924</v>
      </c>
      <c r="Q112" s="15"/>
    </row>
    <row r="113" spans="1:17" ht="22.5" x14ac:dyDescent="0.25">
      <c r="A113" s="11" t="s">
        <v>3751</v>
      </c>
      <c r="B113" s="13" t="s">
        <v>68</v>
      </c>
      <c r="C113" s="16" t="s">
        <v>2689</v>
      </c>
      <c r="D113" s="13" t="s">
        <v>3985</v>
      </c>
      <c r="E113" s="14" t="s">
        <v>314</v>
      </c>
      <c r="F113" s="14" t="s">
        <v>11</v>
      </c>
      <c r="G113" s="13"/>
      <c r="H113" s="14">
        <f t="shared" si="1"/>
        <v>1</v>
      </c>
      <c r="I113" s="14">
        <v>1</v>
      </c>
      <c r="J113" s="14">
        <v>1</v>
      </c>
      <c r="K113" s="13" t="s">
        <v>559</v>
      </c>
      <c r="L113" s="15" t="s">
        <v>110</v>
      </c>
      <c r="M113" s="15">
        <v>33</v>
      </c>
      <c r="N113" s="15">
        <v>178</v>
      </c>
      <c r="O113" s="15">
        <v>403300</v>
      </c>
      <c r="P113" s="15">
        <v>117800</v>
      </c>
      <c r="Q113" s="15"/>
    </row>
    <row r="114" spans="1:17" x14ac:dyDescent="0.25">
      <c r="A114" s="11" t="s">
        <v>3751</v>
      </c>
      <c r="B114" s="13" t="s">
        <v>68</v>
      </c>
      <c r="C114" s="16" t="s">
        <v>1317</v>
      </c>
      <c r="D114" s="13" t="s">
        <v>26</v>
      </c>
      <c r="E114" s="14" t="s">
        <v>381</v>
      </c>
      <c r="F114" s="14" t="s">
        <v>11</v>
      </c>
      <c r="G114" s="13"/>
      <c r="H114" s="14">
        <f t="shared" si="1"/>
        <v>3</v>
      </c>
      <c r="I114" s="14">
        <v>3</v>
      </c>
      <c r="J114" s="14">
        <v>3</v>
      </c>
      <c r="K114" s="13" t="s">
        <v>4023</v>
      </c>
      <c r="L114" s="15" t="s">
        <v>119</v>
      </c>
      <c r="M114" s="15">
        <v>971</v>
      </c>
      <c r="N114" s="15">
        <v>122</v>
      </c>
      <c r="O114" s="15">
        <v>397100</v>
      </c>
      <c r="P114" s="15">
        <v>112200</v>
      </c>
      <c r="Q114" s="15"/>
    </row>
    <row r="115" spans="1:17" x14ac:dyDescent="0.25">
      <c r="A115" s="11" t="s">
        <v>3751</v>
      </c>
      <c r="B115" s="13" t="s">
        <v>68</v>
      </c>
      <c r="C115" s="16" t="s">
        <v>343</v>
      </c>
      <c r="D115" s="13" t="s">
        <v>26</v>
      </c>
      <c r="E115" s="14" t="s">
        <v>314</v>
      </c>
      <c r="F115" s="14" t="s">
        <v>11</v>
      </c>
      <c r="G115" s="13"/>
      <c r="H115" s="14">
        <f t="shared" si="1"/>
        <v>5</v>
      </c>
      <c r="I115" s="14">
        <v>5</v>
      </c>
      <c r="J115" s="14">
        <v>3</v>
      </c>
      <c r="K115" s="13" t="s">
        <v>4020</v>
      </c>
      <c r="L115" s="15" t="s">
        <v>110</v>
      </c>
      <c r="M115" s="15">
        <v>1239</v>
      </c>
      <c r="N115" s="15">
        <v>17283</v>
      </c>
      <c r="O115" s="15">
        <v>401239</v>
      </c>
      <c r="P115" s="15">
        <v>117283</v>
      </c>
      <c r="Q115" s="15"/>
    </row>
    <row r="116" spans="1:17" ht="22.5" x14ac:dyDescent="0.25">
      <c r="A116" s="11" t="s">
        <v>3751</v>
      </c>
      <c r="B116" s="13" t="s">
        <v>68</v>
      </c>
      <c r="C116" s="16" t="s">
        <v>2108</v>
      </c>
      <c r="D116" s="13" t="s">
        <v>540</v>
      </c>
      <c r="E116" s="14" t="s">
        <v>314</v>
      </c>
      <c r="F116" s="14" t="s">
        <v>11</v>
      </c>
      <c r="G116" s="13">
        <v>2</v>
      </c>
      <c r="H116" s="14">
        <f t="shared" si="1"/>
        <v>2</v>
      </c>
      <c r="J116" s="14">
        <v>2</v>
      </c>
      <c r="K116" s="13" t="s">
        <v>3272</v>
      </c>
      <c r="L116" s="15" t="s">
        <v>110</v>
      </c>
      <c r="M116" s="15">
        <v>87</v>
      </c>
      <c r="N116" s="15">
        <v>1577</v>
      </c>
      <c r="O116" s="15">
        <v>400870</v>
      </c>
      <c r="P116" s="15">
        <v>115770</v>
      </c>
      <c r="Q116" s="15"/>
    </row>
    <row r="117" spans="1:17" ht="25.5" x14ac:dyDescent="0.25">
      <c r="A117" s="11" t="s">
        <v>3751</v>
      </c>
      <c r="B117" s="13" t="s">
        <v>209</v>
      </c>
      <c r="C117" s="16" t="s">
        <v>3808</v>
      </c>
      <c r="D117" s="13" t="s">
        <v>1207</v>
      </c>
      <c r="E117" s="14" t="s">
        <v>3635</v>
      </c>
      <c r="F117" s="14" t="s">
        <v>11</v>
      </c>
      <c r="G117" s="13"/>
      <c r="H117" s="14">
        <f>G117+I117</f>
        <v>1</v>
      </c>
      <c r="I117" s="14">
        <v>1</v>
      </c>
      <c r="J117" s="14">
        <v>1</v>
      </c>
      <c r="K117" s="13" t="s">
        <v>74</v>
      </c>
      <c r="L117" s="15" t="s">
        <v>177</v>
      </c>
      <c r="M117" s="15">
        <v>880</v>
      </c>
      <c r="N117" s="15">
        <v>81</v>
      </c>
      <c r="O117" s="15">
        <v>588000</v>
      </c>
      <c r="P117" s="15">
        <v>208100</v>
      </c>
      <c r="Q117" s="15"/>
    </row>
    <row r="118" spans="1:17" ht="33.75" x14ac:dyDescent="0.25">
      <c r="A118" s="11" t="s">
        <v>3751</v>
      </c>
      <c r="B118" s="13" t="s">
        <v>209</v>
      </c>
      <c r="C118" s="16" t="s">
        <v>823</v>
      </c>
      <c r="D118" s="13" t="s">
        <v>4504</v>
      </c>
      <c r="E118" s="13" t="s">
        <v>282</v>
      </c>
      <c r="F118" s="14" t="s">
        <v>11</v>
      </c>
      <c r="G118" s="13">
        <v>5</v>
      </c>
      <c r="H118" s="14">
        <f t="shared" si="1"/>
        <v>5</v>
      </c>
      <c r="J118" s="14">
        <v>3</v>
      </c>
      <c r="K118" s="13" t="s">
        <v>4517</v>
      </c>
      <c r="L118" s="15" t="s">
        <v>140</v>
      </c>
      <c r="M118" s="15">
        <v>17</v>
      </c>
      <c r="N118" s="15">
        <v>15</v>
      </c>
      <c r="O118" s="15">
        <v>617500</v>
      </c>
      <c r="P118" s="15">
        <v>215500</v>
      </c>
      <c r="Q118" s="15"/>
    </row>
    <row r="119" spans="1:17" x14ac:dyDescent="0.25">
      <c r="A119" s="11" t="s">
        <v>3751</v>
      </c>
      <c r="B119" s="13" t="s">
        <v>209</v>
      </c>
      <c r="C119" s="16" t="s">
        <v>2412</v>
      </c>
      <c r="D119" s="13" t="s">
        <v>39</v>
      </c>
      <c r="E119" s="14" t="s">
        <v>384</v>
      </c>
      <c r="F119" s="14" t="s">
        <v>11</v>
      </c>
      <c r="G119" s="13"/>
      <c r="H119" s="14">
        <f t="shared" si="1"/>
        <v>1</v>
      </c>
      <c r="I119" s="14">
        <v>1</v>
      </c>
      <c r="J119" s="14">
        <v>1</v>
      </c>
      <c r="K119" s="13" t="s">
        <v>1805</v>
      </c>
      <c r="L119" s="15" t="s">
        <v>108</v>
      </c>
      <c r="M119" s="15">
        <v>79</v>
      </c>
      <c r="N119" s="15">
        <v>95</v>
      </c>
      <c r="O119" s="15">
        <v>579000</v>
      </c>
      <c r="P119" s="15">
        <v>195000</v>
      </c>
      <c r="Q119" s="15"/>
    </row>
    <row r="120" spans="1:17" x14ac:dyDescent="0.25">
      <c r="A120" s="11" t="s">
        <v>3751</v>
      </c>
      <c r="B120" s="13" t="s">
        <v>209</v>
      </c>
      <c r="C120" s="16" t="s">
        <v>4498</v>
      </c>
      <c r="D120" s="13" t="s">
        <v>4436</v>
      </c>
      <c r="E120" s="14" t="s">
        <v>384</v>
      </c>
      <c r="F120" s="14" t="s">
        <v>11</v>
      </c>
      <c r="G120" s="13">
        <v>1</v>
      </c>
      <c r="H120" s="14">
        <f>G120+I120</f>
        <v>1</v>
      </c>
      <c r="J120" s="14">
        <v>1</v>
      </c>
      <c r="K120" s="13" t="s">
        <v>4495</v>
      </c>
      <c r="L120" s="15" t="s">
        <v>177</v>
      </c>
      <c r="M120" s="15">
        <v>715</v>
      </c>
      <c r="N120" s="15">
        <v>75</v>
      </c>
      <c r="O120" s="15">
        <v>571500</v>
      </c>
      <c r="P120" s="15">
        <v>207500</v>
      </c>
      <c r="Q120" s="15"/>
    </row>
    <row r="121" spans="1:17" ht="33.75" x14ac:dyDescent="0.25">
      <c r="A121" s="11" t="s">
        <v>3751</v>
      </c>
      <c r="B121" s="13" t="s">
        <v>209</v>
      </c>
      <c r="C121" s="16" t="s">
        <v>4533</v>
      </c>
      <c r="D121" s="13" t="s">
        <v>4504</v>
      </c>
      <c r="E121" s="14" t="s">
        <v>2084</v>
      </c>
      <c r="F121" s="14" t="s">
        <v>11</v>
      </c>
      <c r="G121" s="13">
        <v>2</v>
      </c>
      <c r="H121" s="14">
        <f>G121+I121</f>
        <v>2</v>
      </c>
      <c r="J121" s="14">
        <v>2</v>
      </c>
      <c r="K121" s="13" t="s">
        <v>3272</v>
      </c>
      <c r="L121" s="15" t="s">
        <v>140</v>
      </c>
      <c r="M121" s="15">
        <v>1478</v>
      </c>
      <c r="N121" s="15">
        <v>1280</v>
      </c>
      <c r="O121" s="15">
        <v>614780</v>
      </c>
      <c r="P121" s="15">
        <v>212800</v>
      </c>
      <c r="Q121" s="15"/>
    </row>
    <row r="122" spans="1:17" ht="22.5" x14ac:dyDescent="0.25">
      <c r="A122" s="11" t="s">
        <v>3751</v>
      </c>
      <c r="B122" s="13" t="s">
        <v>209</v>
      </c>
      <c r="C122" s="16" t="s">
        <v>210</v>
      </c>
      <c r="D122" s="13" t="s">
        <v>92</v>
      </c>
      <c r="E122" s="14" t="s">
        <v>211</v>
      </c>
      <c r="F122" s="14" t="s">
        <v>11</v>
      </c>
      <c r="G122" s="13"/>
      <c r="H122" s="14">
        <f t="shared" si="1"/>
        <v>4</v>
      </c>
      <c r="I122" s="14">
        <v>4</v>
      </c>
      <c r="J122" s="14">
        <v>3</v>
      </c>
      <c r="K122" s="13" t="s">
        <v>3967</v>
      </c>
      <c r="L122" s="15" t="s">
        <v>108</v>
      </c>
      <c r="M122" s="15">
        <v>6515</v>
      </c>
      <c r="N122" s="15">
        <v>8055</v>
      </c>
      <c r="O122" s="15">
        <v>565150</v>
      </c>
      <c r="P122" s="15">
        <v>180550</v>
      </c>
      <c r="Q122" s="15"/>
    </row>
    <row r="123" spans="1:17" ht="25.5" x14ac:dyDescent="0.25">
      <c r="A123" s="11" t="s">
        <v>3751</v>
      </c>
      <c r="B123" s="13" t="s">
        <v>209</v>
      </c>
      <c r="C123" s="16" t="s">
        <v>3831</v>
      </c>
      <c r="D123" s="13" t="s">
        <v>1207</v>
      </c>
      <c r="E123" s="14" t="s">
        <v>2084</v>
      </c>
      <c r="F123" s="14" t="s">
        <v>11</v>
      </c>
      <c r="G123" s="13"/>
      <c r="H123" s="14">
        <f>G123+I123</f>
        <v>1</v>
      </c>
      <c r="I123" s="14">
        <v>1</v>
      </c>
      <c r="J123" s="14">
        <v>1</v>
      </c>
      <c r="K123" s="13" t="s">
        <v>1076</v>
      </c>
      <c r="L123" s="15" t="s">
        <v>140</v>
      </c>
      <c r="M123" s="15">
        <v>246</v>
      </c>
      <c r="N123" s="15">
        <v>214</v>
      </c>
      <c r="O123" s="15">
        <v>624600</v>
      </c>
      <c r="P123" s="15">
        <v>221400</v>
      </c>
      <c r="Q123" s="15"/>
    </row>
    <row r="124" spans="1:17" ht="22.5" x14ac:dyDescent="0.25">
      <c r="A124" s="11" t="s">
        <v>3751</v>
      </c>
      <c r="B124" s="13" t="s">
        <v>209</v>
      </c>
      <c r="C124" s="16" t="s">
        <v>3832</v>
      </c>
      <c r="D124" s="13" t="s">
        <v>3833</v>
      </c>
      <c r="E124" s="14" t="s">
        <v>3635</v>
      </c>
      <c r="F124" s="14" t="s">
        <v>11</v>
      </c>
      <c r="G124" s="13"/>
      <c r="H124" s="14">
        <f t="shared" si="1"/>
        <v>1</v>
      </c>
      <c r="I124" s="14">
        <v>1</v>
      </c>
      <c r="J124" s="14">
        <v>1</v>
      </c>
      <c r="K124" s="13" t="s">
        <v>1076</v>
      </c>
      <c r="L124" s="15" t="s">
        <v>177</v>
      </c>
      <c r="M124" s="15">
        <v>901</v>
      </c>
      <c r="N124" s="15">
        <v>72</v>
      </c>
      <c r="O124" s="15">
        <v>590100</v>
      </c>
      <c r="P124" s="15">
        <v>207200</v>
      </c>
      <c r="Q124" s="15"/>
    </row>
    <row r="125" spans="1:17" x14ac:dyDescent="0.25">
      <c r="A125" s="11" t="s">
        <v>3751</v>
      </c>
      <c r="B125" s="13" t="s">
        <v>64</v>
      </c>
      <c r="C125" s="16" t="s">
        <v>721</v>
      </c>
      <c r="D125" s="13" t="s">
        <v>26</v>
      </c>
      <c r="E125" s="14" t="s">
        <v>548</v>
      </c>
      <c r="F125" s="14" t="s">
        <v>11</v>
      </c>
      <c r="G125" s="13"/>
      <c r="H125" s="14">
        <f t="shared" si="1"/>
        <v>3</v>
      </c>
      <c r="I125" s="14">
        <v>3</v>
      </c>
      <c r="J125" s="14">
        <v>2</v>
      </c>
      <c r="K125" s="13" t="s">
        <v>4056</v>
      </c>
      <c r="L125" s="15" t="s">
        <v>111</v>
      </c>
      <c r="M125" s="15">
        <v>2090</v>
      </c>
      <c r="N125" s="15">
        <v>25431</v>
      </c>
      <c r="O125" s="15">
        <v>402090</v>
      </c>
      <c r="P125" s="15">
        <v>225431</v>
      </c>
      <c r="Q125" s="15"/>
    </row>
    <row r="126" spans="1:17" x14ac:dyDescent="0.25">
      <c r="A126" s="11" t="s">
        <v>3751</v>
      </c>
      <c r="B126" s="13" t="s">
        <v>64</v>
      </c>
      <c r="C126" s="16" t="s">
        <v>3181</v>
      </c>
      <c r="D126" s="13" t="s">
        <v>26</v>
      </c>
      <c r="E126" s="14" t="s">
        <v>69</v>
      </c>
      <c r="F126" s="14" t="s">
        <v>11</v>
      </c>
      <c r="G126" s="13">
        <v>1</v>
      </c>
      <c r="H126" s="14">
        <f t="shared" si="1"/>
        <v>1</v>
      </c>
      <c r="J126" s="14">
        <v>1</v>
      </c>
      <c r="K126" s="13" t="s">
        <v>3266</v>
      </c>
      <c r="L126" s="15" t="s">
        <v>111</v>
      </c>
      <c r="M126" s="15">
        <v>104</v>
      </c>
      <c r="N126" s="15">
        <v>161</v>
      </c>
      <c r="O126" s="15">
        <v>410400</v>
      </c>
      <c r="P126" s="15">
        <v>216100</v>
      </c>
      <c r="Q126" s="15"/>
    </row>
    <row r="127" spans="1:17" x14ac:dyDescent="0.25">
      <c r="A127" s="11" t="s">
        <v>3751</v>
      </c>
      <c r="B127" s="13" t="s">
        <v>64</v>
      </c>
      <c r="C127" s="16" t="s">
        <v>4531</v>
      </c>
      <c r="D127" s="13" t="s">
        <v>713</v>
      </c>
      <c r="E127" s="14" t="s">
        <v>723</v>
      </c>
      <c r="F127" s="14" t="s">
        <v>11</v>
      </c>
      <c r="G127" s="13">
        <v>1</v>
      </c>
      <c r="H127" s="14">
        <f>G127+I127</f>
        <v>1</v>
      </c>
      <c r="J127" s="14">
        <v>1</v>
      </c>
      <c r="K127" s="13" t="s">
        <v>3266</v>
      </c>
      <c r="L127" s="15" t="s">
        <v>113</v>
      </c>
      <c r="M127" s="15">
        <v>744</v>
      </c>
      <c r="N127" s="15">
        <v>11</v>
      </c>
      <c r="O127" s="15">
        <v>374400</v>
      </c>
      <c r="P127" s="15">
        <v>201100</v>
      </c>
      <c r="Q127" s="15"/>
    </row>
    <row r="128" spans="1:17" ht="22.5" x14ac:dyDescent="0.25">
      <c r="A128" s="11" t="s">
        <v>3751</v>
      </c>
      <c r="B128" s="13" t="s">
        <v>64</v>
      </c>
      <c r="C128" s="16" t="s">
        <v>542</v>
      </c>
      <c r="D128" s="13" t="s">
        <v>540</v>
      </c>
      <c r="E128" s="14" t="s">
        <v>69</v>
      </c>
      <c r="F128" s="14" t="s">
        <v>11</v>
      </c>
      <c r="G128" s="13"/>
      <c r="H128" s="14">
        <f t="shared" si="1"/>
        <v>1</v>
      </c>
      <c r="I128" s="14">
        <v>1</v>
      </c>
      <c r="J128" s="14">
        <v>1</v>
      </c>
      <c r="K128" s="13" t="s">
        <v>1583</v>
      </c>
      <c r="L128" s="15" t="s">
        <v>111</v>
      </c>
      <c r="M128" s="15">
        <v>148</v>
      </c>
      <c r="N128" s="15">
        <v>290</v>
      </c>
      <c r="O128" s="15">
        <v>414800</v>
      </c>
      <c r="P128" s="15">
        <v>229000</v>
      </c>
      <c r="Q128" s="15"/>
    </row>
    <row r="129" spans="1:17" ht="45" x14ac:dyDescent="0.25">
      <c r="A129" s="11" t="s">
        <v>3751</v>
      </c>
      <c r="B129" s="13" t="s">
        <v>64</v>
      </c>
      <c r="C129" s="16" t="s">
        <v>195</v>
      </c>
      <c r="D129" s="13" t="s">
        <v>3822</v>
      </c>
      <c r="E129" s="14" t="s">
        <v>69</v>
      </c>
      <c r="F129" s="14" t="s">
        <v>11</v>
      </c>
      <c r="G129" s="13"/>
      <c r="H129" s="14">
        <f t="shared" si="1"/>
        <v>10</v>
      </c>
      <c r="I129" s="14">
        <v>10</v>
      </c>
      <c r="J129" s="14">
        <v>7</v>
      </c>
      <c r="K129" s="13" t="s">
        <v>3955</v>
      </c>
      <c r="L129" s="15" t="s">
        <v>113</v>
      </c>
      <c r="M129" s="15">
        <v>9265</v>
      </c>
      <c r="N129" s="15">
        <v>1610</v>
      </c>
      <c r="O129" s="15">
        <v>392650</v>
      </c>
      <c r="P129" s="15">
        <v>216100</v>
      </c>
      <c r="Q129" s="15"/>
    </row>
    <row r="130" spans="1:17" ht="22.5" x14ac:dyDescent="0.25">
      <c r="A130" s="11" t="s">
        <v>3751</v>
      </c>
      <c r="B130" s="13" t="s">
        <v>64</v>
      </c>
      <c r="C130" s="16" t="s">
        <v>3938</v>
      </c>
      <c r="D130" s="13" t="s">
        <v>92</v>
      </c>
      <c r="E130" s="14" t="s">
        <v>69</v>
      </c>
      <c r="F130" s="14" t="s">
        <v>11</v>
      </c>
      <c r="G130" s="13"/>
      <c r="H130" s="14">
        <f>G130+I130</f>
        <v>2</v>
      </c>
      <c r="I130" s="14">
        <v>2</v>
      </c>
      <c r="J130" s="14">
        <v>1</v>
      </c>
      <c r="K130" s="13" t="s">
        <v>456</v>
      </c>
      <c r="L130" s="15" t="s">
        <v>111</v>
      </c>
      <c r="M130" s="15">
        <v>2156</v>
      </c>
      <c r="N130" s="15">
        <v>472</v>
      </c>
      <c r="O130" s="15">
        <v>421560</v>
      </c>
      <c r="P130" s="15">
        <v>204720</v>
      </c>
      <c r="Q130" s="15"/>
    </row>
    <row r="131" spans="1:17" ht="33.75" x14ac:dyDescent="0.25">
      <c r="A131" s="11" t="s">
        <v>3751</v>
      </c>
      <c r="B131" s="13" t="s">
        <v>64</v>
      </c>
      <c r="C131" s="16" t="s">
        <v>1117</v>
      </c>
      <c r="D131" s="13" t="s">
        <v>3668</v>
      </c>
      <c r="E131" s="14" t="s">
        <v>69</v>
      </c>
      <c r="F131" s="14" t="s">
        <v>11</v>
      </c>
      <c r="G131" s="13">
        <v>1</v>
      </c>
      <c r="H131" s="14">
        <f>G131+I131</f>
        <v>9</v>
      </c>
      <c r="I131" s="14">
        <v>8</v>
      </c>
      <c r="J131" s="14">
        <v>6</v>
      </c>
      <c r="K131" s="13" t="s">
        <v>4576</v>
      </c>
      <c r="L131" s="15" t="s">
        <v>111</v>
      </c>
      <c r="M131" s="15">
        <v>72</v>
      </c>
      <c r="N131" s="15">
        <v>188</v>
      </c>
      <c r="O131" s="15">
        <v>407200</v>
      </c>
      <c r="P131" s="15">
        <v>218800</v>
      </c>
      <c r="Q131" s="15"/>
    </row>
    <row r="132" spans="1:17" x14ac:dyDescent="0.25">
      <c r="A132" s="11" t="s">
        <v>3751</v>
      </c>
      <c r="B132" s="13" t="s">
        <v>64</v>
      </c>
      <c r="C132" s="16" t="s">
        <v>63</v>
      </c>
      <c r="D132" s="13" t="s">
        <v>1207</v>
      </c>
      <c r="E132" s="14" t="s">
        <v>69</v>
      </c>
      <c r="F132" s="14" t="s">
        <v>11</v>
      </c>
      <c r="G132" s="13"/>
      <c r="H132" s="14">
        <f>G132+I132</f>
        <v>1</v>
      </c>
      <c r="I132" s="14">
        <v>1</v>
      </c>
      <c r="J132" s="14">
        <v>1</v>
      </c>
      <c r="K132" s="13" t="s">
        <v>74</v>
      </c>
      <c r="L132" s="15" t="s">
        <v>111</v>
      </c>
      <c r="M132" s="15">
        <v>72</v>
      </c>
      <c r="N132" s="15">
        <v>188</v>
      </c>
      <c r="O132" s="15">
        <v>407200</v>
      </c>
      <c r="P132" s="15">
        <v>218800</v>
      </c>
      <c r="Q132" s="15"/>
    </row>
    <row r="133" spans="1:17" x14ac:dyDescent="0.25">
      <c r="A133" s="11" t="s">
        <v>3751</v>
      </c>
      <c r="B133" s="13" t="s">
        <v>64</v>
      </c>
      <c r="C133" s="16" t="s">
        <v>222</v>
      </c>
      <c r="D133" s="13" t="s">
        <v>26</v>
      </c>
      <c r="E133" s="14" t="s">
        <v>69</v>
      </c>
      <c r="F133" s="14" t="s">
        <v>11</v>
      </c>
      <c r="G133" s="13">
        <v>1</v>
      </c>
      <c r="H133" s="14">
        <f t="shared" si="1"/>
        <v>5</v>
      </c>
      <c r="I133" s="14">
        <v>4</v>
      </c>
      <c r="J133" s="14">
        <v>4</v>
      </c>
      <c r="K133" s="13" t="s">
        <v>4063</v>
      </c>
      <c r="L133" s="15" t="s">
        <v>111</v>
      </c>
      <c r="M133" s="15">
        <v>9576</v>
      </c>
      <c r="N133" s="15">
        <v>21203</v>
      </c>
      <c r="O133" s="15">
        <v>409576</v>
      </c>
      <c r="P133" s="15">
        <v>221203</v>
      </c>
      <c r="Q133" s="15"/>
    </row>
    <row r="134" spans="1:17" x14ac:dyDescent="0.25">
      <c r="A134" s="11" t="s">
        <v>3751</v>
      </c>
      <c r="B134" s="13" t="s">
        <v>64</v>
      </c>
      <c r="C134" s="16" t="s">
        <v>337</v>
      </c>
      <c r="D134" s="13" t="s">
        <v>26</v>
      </c>
      <c r="E134" s="14" t="s">
        <v>69</v>
      </c>
      <c r="F134" s="14" t="s">
        <v>11</v>
      </c>
      <c r="G134" s="13">
        <v>1</v>
      </c>
      <c r="H134" s="14">
        <f t="shared" si="1"/>
        <v>3</v>
      </c>
      <c r="I134" s="14">
        <v>2</v>
      </c>
      <c r="J134" s="14">
        <v>3</v>
      </c>
      <c r="K134" s="13" t="s">
        <v>4511</v>
      </c>
      <c r="L134" s="15" t="s">
        <v>113</v>
      </c>
      <c r="M134" s="15">
        <v>79383</v>
      </c>
      <c r="N134" s="15">
        <v>1321</v>
      </c>
      <c r="O134" s="15">
        <v>379383</v>
      </c>
      <c r="P134" s="15">
        <v>201321</v>
      </c>
      <c r="Q134" s="15"/>
    </row>
    <row r="135" spans="1:17" ht="22.5" x14ac:dyDescent="0.25">
      <c r="A135" s="11" t="s">
        <v>3751</v>
      </c>
      <c r="B135" s="13" t="s">
        <v>64</v>
      </c>
      <c r="C135" s="16" t="s">
        <v>4532</v>
      </c>
      <c r="D135" s="13" t="s">
        <v>41</v>
      </c>
      <c r="E135" s="14" t="s">
        <v>69</v>
      </c>
      <c r="F135" s="14" t="s">
        <v>11</v>
      </c>
      <c r="G135" s="13">
        <v>1</v>
      </c>
      <c r="H135" s="14">
        <f>G135+I135</f>
        <v>1</v>
      </c>
      <c r="J135" s="14">
        <v>1</v>
      </c>
      <c r="K135" s="13" t="s">
        <v>3266</v>
      </c>
      <c r="L135" s="15" t="s">
        <v>111</v>
      </c>
      <c r="M135" s="15">
        <v>1673</v>
      </c>
      <c r="N135" s="15">
        <v>2637</v>
      </c>
      <c r="O135" s="15">
        <v>416730</v>
      </c>
      <c r="P135" s="15">
        <v>226370</v>
      </c>
      <c r="Q135" s="15"/>
    </row>
    <row r="136" spans="1:17" x14ac:dyDescent="0.25">
      <c r="A136" s="11" t="s">
        <v>3751</v>
      </c>
      <c r="B136" s="13" t="s">
        <v>64</v>
      </c>
      <c r="C136" s="16" t="s">
        <v>4058</v>
      </c>
      <c r="D136" s="13" t="s">
        <v>26</v>
      </c>
      <c r="E136" s="14" t="s">
        <v>723</v>
      </c>
      <c r="F136" s="14" t="s">
        <v>11</v>
      </c>
      <c r="G136" s="13"/>
      <c r="H136" s="14">
        <f>G136+I136</f>
        <v>1</v>
      </c>
      <c r="I136" s="14">
        <v>1</v>
      </c>
      <c r="J136" s="14">
        <v>1</v>
      </c>
      <c r="K136" s="13" t="s">
        <v>2193</v>
      </c>
      <c r="L136" s="15" t="s">
        <v>113</v>
      </c>
      <c r="M136" s="15">
        <v>8249</v>
      </c>
      <c r="N136" s="15">
        <v>690</v>
      </c>
      <c r="O136" s="15">
        <v>382490</v>
      </c>
      <c r="P136" s="15">
        <v>206900</v>
      </c>
      <c r="Q136" s="15"/>
    </row>
    <row r="137" spans="1:17" x14ac:dyDescent="0.25">
      <c r="A137" s="11" t="s">
        <v>3751</v>
      </c>
      <c r="B137" s="13" t="s">
        <v>64</v>
      </c>
      <c r="C137" s="16" t="s">
        <v>3175</v>
      </c>
      <c r="D137" s="13" t="s">
        <v>26</v>
      </c>
      <c r="E137" s="14" t="s">
        <v>3176</v>
      </c>
      <c r="F137" s="14" t="s">
        <v>11</v>
      </c>
      <c r="G137" s="13"/>
      <c r="H137" s="14">
        <f>G137+I137</f>
        <v>1</v>
      </c>
      <c r="I137" s="14">
        <v>1</v>
      </c>
      <c r="J137" s="14">
        <v>1</v>
      </c>
      <c r="K137" s="13" t="s">
        <v>74</v>
      </c>
      <c r="L137" s="15" t="s">
        <v>111</v>
      </c>
      <c r="M137" s="15">
        <v>487</v>
      </c>
      <c r="N137" s="15">
        <v>1578</v>
      </c>
      <c r="O137" s="15">
        <v>404870</v>
      </c>
      <c r="P137" s="15">
        <v>215780</v>
      </c>
      <c r="Q137" s="15"/>
    </row>
    <row r="138" spans="1:17" ht="45" x14ac:dyDescent="0.25">
      <c r="A138" s="11" t="s">
        <v>3751</v>
      </c>
      <c r="B138" s="13" t="s">
        <v>261</v>
      </c>
      <c r="C138" s="16" t="s">
        <v>3826</v>
      </c>
      <c r="D138" s="13" t="s">
        <v>3827</v>
      </c>
      <c r="E138" s="14" t="s">
        <v>263</v>
      </c>
      <c r="F138" s="14" t="s">
        <v>11</v>
      </c>
      <c r="G138" s="13"/>
      <c r="H138" s="14">
        <f>G138+I138</f>
        <v>1</v>
      </c>
      <c r="I138" s="14">
        <v>1</v>
      </c>
      <c r="J138" s="14">
        <v>1</v>
      </c>
      <c r="K138" s="13" t="s">
        <v>136</v>
      </c>
      <c r="L138" s="15" t="s">
        <v>110</v>
      </c>
      <c r="M138" s="15">
        <v>331</v>
      </c>
      <c r="N138" s="15">
        <v>169</v>
      </c>
      <c r="O138" s="15">
        <v>433100</v>
      </c>
      <c r="P138" s="15">
        <v>116900</v>
      </c>
      <c r="Q138" s="15"/>
    </row>
    <row r="139" spans="1:17" ht="22.5" x14ac:dyDescent="0.25">
      <c r="A139" s="11" t="s">
        <v>3751</v>
      </c>
      <c r="B139" s="13" t="s">
        <v>261</v>
      </c>
      <c r="C139" s="16" t="s">
        <v>602</v>
      </c>
      <c r="D139" s="13" t="s">
        <v>3779</v>
      </c>
      <c r="E139" s="14" t="s">
        <v>601</v>
      </c>
      <c r="F139" s="14" t="s">
        <v>11</v>
      </c>
      <c r="G139" s="13">
        <v>1</v>
      </c>
      <c r="H139" s="14">
        <f t="shared" si="1"/>
        <v>1</v>
      </c>
      <c r="J139" s="14">
        <v>1</v>
      </c>
      <c r="K139" s="13" t="s">
        <v>1016</v>
      </c>
      <c r="L139" s="15" t="s">
        <v>110</v>
      </c>
      <c r="M139" s="15">
        <v>48</v>
      </c>
      <c r="N139" s="15">
        <v>209</v>
      </c>
      <c r="O139" s="15">
        <v>404800</v>
      </c>
      <c r="P139" s="15">
        <v>120900</v>
      </c>
      <c r="Q139" s="15"/>
    </row>
    <row r="140" spans="1:17" x14ac:dyDescent="0.25">
      <c r="A140" s="11" t="s">
        <v>3751</v>
      </c>
      <c r="B140" s="13" t="s">
        <v>261</v>
      </c>
      <c r="C140" s="16" t="s">
        <v>3756</v>
      </c>
      <c r="D140" s="13" t="s">
        <v>158</v>
      </c>
      <c r="E140" s="14" t="s">
        <v>263</v>
      </c>
      <c r="F140" s="14" t="s">
        <v>11</v>
      </c>
      <c r="G140" s="13">
        <v>1</v>
      </c>
      <c r="H140" s="14">
        <f>G140+I140</f>
        <v>1</v>
      </c>
      <c r="J140" s="14">
        <v>1</v>
      </c>
      <c r="K140" s="13" t="s">
        <v>1899</v>
      </c>
      <c r="L140" s="15" t="s">
        <v>110</v>
      </c>
      <c r="M140" s="15">
        <v>252</v>
      </c>
      <c r="N140" s="15">
        <v>388</v>
      </c>
      <c r="O140" s="15">
        <v>425200</v>
      </c>
      <c r="P140" s="15">
        <v>138800</v>
      </c>
      <c r="Q140" s="15"/>
    </row>
    <row r="141" spans="1:17" ht="33.75" x14ac:dyDescent="0.25">
      <c r="A141" s="11" t="s">
        <v>3751</v>
      </c>
      <c r="B141" s="13" t="s">
        <v>261</v>
      </c>
      <c r="C141" s="16" t="s">
        <v>262</v>
      </c>
      <c r="D141" s="13" t="s">
        <v>4010</v>
      </c>
      <c r="E141" s="14" t="s">
        <v>263</v>
      </c>
      <c r="F141" s="14" t="s">
        <v>11</v>
      </c>
      <c r="G141" s="13"/>
      <c r="H141" s="14">
        <f t="shared" si="1"/>
        <v>3</v>
      </c>
      <c r="I141" s="14">
        <v>3</v>
      </c>
      <c r="J141" s="14">
        <v>2</v>
      </c>
      <c r="K141" s="13" t="s">
        <v>1407</v>
      </c>
      <c r="L141" s="15" t="s">
        <v>110</v>
      </c>
      <c r="M141" s="15">
        <v>3310</v>
      </c>
      <c r="N141" s="15">
        <v>4952</v>
      </c>
      <c r="O141" s="15">
        <v>433100</v>
      </c>
      <c r="P141" s="15">
        <v>149520</v>
      </c>
      <c r="Q141" s="15"/>
    </row>
    <row r="142" spans="1:17" ht="22.5" x14ac:dyDescent="0.25">
      <c r="A142" s="11" t="s">
        <v>3751</v>
      </c>
      <c r="B142" s="13" t="s">
        <v>705</v>
      </c>
      <c r="C142" s="16" t="s">
        <v>3392</v>
      </c>
      <c r="D142" s="13" t="s">
        <v>3393</v>
      </c>
      <c r="E142" s="10" t="s">
        <v>2003</v>
      </c>
      <c r="F142" s="14" t="s">
        <v>11</v>
      </c>
      <c r="G142" s="13"/>
      <c r="H142" s="14">
        <f t="shared" si="1"/>
        <v>1</v>
      </c>
      <c r="I142" s="14">
        <v>1</v>
      </c>
      <c r="J142" s="14">
        <v>1</v>
      </c>
      <c r="K142" s="13" t="s">
        <v>74</v>
      </c>
      <c r="L142" s="15" t="s">
        <v>177</v>
      </c>
      <c r="M142" s="15">
        <v>1175</v>
      </c>
      <c r="N142" s="15">
        <v>793</v>
      </c>
      <c r="O142" s="15">
        <v>511750</v>
      </c>
      <c r="P142" s="15">
        <v>207930</v>
      </c>
      <c r="Q142" s="15"/>
    </row>
    <row r="143" spans="1:17" x14ac:dyDescent="0.25">
      <c r="A143" s="11" t="s">
        <v>3751</v>
      </c>
      <c r="B143" s="13" t="s">
        <v>283</v>
      </c>
      <c r="C143" s="16" t="s">
        <v>760</v>
      </c>
      <c r="D143" s="13" t="s">
        <v>26</v>
      </c>
      <c r="E143" s="14" t="s">
        <v>757</v>
      </c>
      <c r="F143" s="14" t="s">
        <v>11</v>
      </c>
      <c r="G143" s="13"/>
      <c r="H143" s="14">
        <f t="shared" si="1"/>
        <v>2</v>
      </c>
      <c r="I143" s="14">
        <v>2</v>
      </c>
      <c r="J143" s="14">
        <v>2</v>
      </c>
      <c r="K143" s="13" t="s">
        <v>4055</v>
      </c>
      <c r="L143" s="15" t="s">
        <v>108</v>
      </c>
      <c r="M143" s="15">
        <v>6533</v>
      </c>
      <c r="N143" s="15">
        <v>5910</v>
      </c>
      <c r="O143" s="15">
        <v>565330</v>
      </c>
      <c r="P143" s="15">
        <v>159100</v>
      </c>
      <c r="Q143" s="15"/>
    </row>
    <row r="144" spans="1:17" ht="22.5" x14ac:dyDescent="0.25">
      <c r="A144" s="11" t="s">
        <v>3751</v>
      </c>
      <c r="B144" s="13" t="s">
        <v>283</v>
      </c>
      <c r="C144" s="16" t="s">
        <v>761</v>
      </c>
      <c r="D144" s="13" t="s">
        <v>41</v>
      </c>
      <c r="E144" s="14" t="s">
        <v>757</v>
      </c>
      <c r="F144" s="14" t="s">
        <v>11</v>
      </c>
      <c r="G144" s="13"/>
      <c r="H144" s="14">
        <f t="shared" si="1"/>
        <v>1</v>
      </c>
      <c r="I144" s="14">
        <v>1</v>
      </c>
      <c r="J144" s="14">
        <v>1</v>
      </c>
      <c r="K144" s="13" t="s">
        <v>1218</v>
      </c>
      <c r="L144" s="15" t="s">
        <v>108</v>
      </c>
      <c r="M144" s="15">
        <v>6544</v>
      </c>
      <c r="N144" s="15">
        <v>6072</v>
      </c>
      <c r="O144" s="15">
        <v>565440</v>
      </c>
      <c r="P144" s="15">
        <v>160720</v>
      </c>
      <c r="Q144" s="15"/>
    </row>
    <row r="145" spans="1:17" ht="33.75" x14ac:dyDescent="0.25">
      <c r="A145" s="11" t="s">
        <v>3751</v>
      </c>
      <c r="B145" s="13" t="s">
        <v>283</v>
      </c>
      <c r="C145" s="16" t="s">
        <v>1388</v>
      </c>
      <c r="D145" s="13" t="s">
        <v>4022</v>
      </c>
      <c r="E145" s="14" t="s">
        <v>1389</v>
      </c>
      <c r="F145" s="14" t="s">
        <v>11</v>
      </c>
      <c r="G145" s="13">
        <v>10</v>
      </c>
      <c r="H145" s="14">
        <f t="shared" si="1"/>
        <v>10</v>
      </c>
      <c r="J145" s="14">
        <v>6</v>
      </c>
      <c r="K145" s="13" t="s">
        <v>4553</v>
      </c>
      <c r="L145" s="15" t="s">
        <v>108</v>
      </c>
      <c r="M145" s="15">
        <v>6159</v>
      </c>
      <c r="N145" s="15">
        <v>7308</v>
      </c>
      <c r="O145" s="15">
        <v>561590</v>
      </c>
      <c r="P145" s="15">
        <v>173080</v>
      </c>
      <c r="Q145" s="15"/>
    </row>
    <row r="146" spans="1:17" ht="22.5" x14ac:dyDescent="0.25">
      <c r="A146" s="11" t="s">
        <v>3751</v>
      </c>
      <c r="B146" s="13" t="s">
        <v>283</v>
      </c>
      <c r="C146" s="16" t="s">
        <v>762</v>
      </c>
      <c r="D146" s="13" t="s">
        <v>41</v>
      </c>
      <c r="E146" s="14" t="s">
        <v>757</v>
      </c>
      <c r="F146" s="14" t="s">
        <v>11</v>
      </c>
      <c r="G146" s="13"/>
      <c r="H146" s="14">
        <f t="shared" si="1"/>
        <v>1</v>
      </c>
      <c r="I146" s="14">
        <v>1</v>
      </c>
      <c r="J146" s="14">
        <v>1</v>
      </c>
      <c r="K146" s="13" t="s">
        <v>1218</v>
      </c>
      <c r="L146" s="15" t="s">
        <v>108</v>
      </c>
      <c r="M146" s="15">
        <v>7452</v>
      </c>
      <c r="N146" s="15">
        <v>6084</v>
      </c>
      <c r="O146" s="15">
        <v>574520</v>
      </c>
      <c r="P146" s="15">
        <v>160840</v>
      </c>
      <c r="Q146" s="15"/>
    </row>
    <row r="147" spans="1:17" x14ac:dyDescent="0.25">
      <c r="A147" s="11" t="s">
        <v>3751</v>
      </c>
      <c r="B147" s="13" t="s">
        <v>283</v>
      </c>
      <c r="C147" s="16" t="s">
        <v>3226</v>
      </c>
      <c r="D147" s="13" t="s">
        <v>1207</v>
      </c>
      <c r="E147" s="14" t="s">
        <v>1958</v>
      </c>
      <c r="F147" s="14" t="s">
        <v>11</v>
      </c>
      <c r="G147" s="13"/>
      <c r="H147" s="14">
        <f t="shared" si="1"/>
        <v>3</v>
      </c>
      <c r="I147" s="14">
        <v>3</v>
      </c>
      <c r="J147" s="14">
        <v>2</v>
      </c>
      <c r="K147" s="13" t="s">
        <v>3834</v>
      </c>
      <c r="L147" s="15" t="s">
        <v>108</v>
      </c>
      <c r="M147" s="15">
        <v>7520</v>
      </c>
      <c r="N147" s="15">
        <v>6240</v>
      </c>
      <c r="O147" s="15">
        <v>575200</v>
      </c>
      <c r="P147" s="15">
        <v>162400</v>
      </c>
      <c r="Q147" s="15"/>
    </row>
    <row r="148" spans="1:17" ht="22.5" x14ac:dyDescent="0.25">
      <c r="A148" s="11" t="s">
        <v>3751</v>
      </c>
      <c r="B148" s="13" t="s">
        <v>328</v>
      </c>
      <c r="C148" s="16" t="s">
        <v>3935</v>
      </c>
      <c r="D148" s="13" t="s">
        <v>1932</v>
      </c>
      <c r="E148" s="14" t="s">
        <v>3936</v>
      </c>
      <c r="F148" s="14" t="s">
        <v>11</v>
      </c>
      <c r="G148" s="13"/>
      <c r="H148" s="14">
        <f>G148+I148</f>
        <v>2</v>
      </c>
      <c r="I148" s="14">
        <v>2</v>
      </c>
      <c r="J148" s="14">
        <v>1</v>
      </c>
      <c r="K148" s="13" t="s">
        <v>414</v>
      </c>
      <c r="L148" s="15" t="s">
        <v>175</v>
      </c>
      <c r="M148" s="15">
        <v>903</v>
      </c>
      <c r="N148" s="15">
        <v>1030</v>
      </c>
      <c r="O148" s="15">
        <v>509030</v>
      </c>
      <c r="P148" s="15">
        <v>310300</v>
      </c>
      <c r="Q148" s="15"/>
    </row>
    <row r="149" spans="1:17" x14ac:dyDescent="0.25">
      <c r="A149" s="11" t="s">
        <v>3751</v>
      </c>
      <c r="B149" s="13" t="s">
        <v>328</v>
      </c>
      <c r="C149" s="16" t="s">
        <v>418</v>
      </c>
      <c r="D149" s="13" t="s">
        <v>26</v>
      </c>
      <c r="E149" s="14" t="s">
        <v>419</v>
      </c>
      <c r="F149" s="14" t="s">
        <v>11</v>
      </c>
      <c r="G149" s="13"/>
      <c r="H149" s="14">
        <f t="shared" si="1"/>
        <v>8</v>
      </c>
      <c r="I149" s="14">
        <v>8</v>
      </c>
      <c r="J149" s="14">
        <v>4</v>
      </c>
      <c r="K149" s="13" t="s">
        <v>4013</v>
      </c>
      <c r="L149" s="15" t="s">
        <v>175</v>
      </c>
      <c r="M149" s="15">
        <v>4278</v>
      </c>
      <c r="N149" s="15">
        <v>7126</v>
      </c>
      <c r="O149" s="15">
        <v>542780</v>
      </c>
      <c r="P149" s="15">
        <v>371260</v>
      </c>
      <c r="Q149" s="15"/>
    </row>
    <row r="150" spans="1:17" ht="22.5" x14ac:dyDescent="0.25">
      <c r="A150" s="11" t="s">
        <v>3751</v>
      </c>
      <c r="B150" s="13" t="s">
        <v>483</v>
      </c>
      <c r="C150" s="16" t="s">
        <v>484</v>
      </c>
      <c r="D150" s="13" t="s">
        <v>41</v>
      </c>
      <c r="E150" s="14" t="s">
        <v>485</v>
      </c>
      <c r="F150" s="14" t="s">
        <v>11</v>
      </c>
      <c r="G150" s="13"/>
      <c r="H150" s="14">
        <f t="shared" si="1"/>
        <v>3</v>
      </c>
      <c r="I150" s="14">
        <v>3</v>
      </c>
      <c r="J150" s="14">
        <v>2</v>
      </c>
      <c r="K150" s="13" t="s">
        <v>4588</v>
      </c>
      <c r="L150" s="15" t="s">
        <v>189</v>
      </c>
      <c r="M150" s="15">
        <v>405</v>
      </c>
      <c r="N150" s="15">
        <v>875</v>
      </c>
      <c r="O150" s="15">
        <v>340500</v>
      </c>
      <c r="P150" s="15">
        <v>387500</v>
      </c>
      <c r="Q150" s="15"/>
    </row>
    <row r="151" spans="1:17" ht="22.5" x14ac:dyDescent="0.25">
      <c r="A151" s="11" t="s">
        <v>3751</v>
      </c>
      <c r="B151" s="13" t="s">
        <v>78</v>
      </c>
      <c r="C151" s="16" t="s">
        <v>392</v>
      </c>
      <c r="D151" s="13" t="s">
        <v>4207</v>
      </c>
      <c r="E151" s="14" t="s">
        <v>141</v>
      </c>
      <c r="F151" s="14" t="s">
        <v>11</v>
      </c>
      <c r="G151" s="13"/>
      <c r="H151" s="14">
        <f t="shared" si="1"/>
        <v>3</v>
      </c>
      <c r="I151" s="14">
        <v>3</v>
      </c>
      <c r="J151" s="14">
        <v>2</v>
      </c>
      <c r="K151" s="13" t="s">
        <v>4253</v>
      </c>
      <c r="L151" s="15" t="s">
        <v>393</v>
      </c>
      <c r="M151" s="15">
        <v>2398</v>
      </c>
      <c r="N151" s="15">
        <v>601</v>
      </c>
      <c r="O151" s="15">
        <v>623980</v>
      </c>
      <c r="P151" s="15">
        <v>306010</v>
      </c>
      <c r="Q151" s="15"/>
    </row>
    <row r="152" spans="1:17" ht="22.5" x14ac:dyDescent="0.25">
      <c r="A152" s="11" t="s">
        <v>3751</v>
      </c>
      <c r="B152" s="13" t="s">
        <v>78</v>
      </c>
      <c r="C152" s="16" t="s">
        <v>77</v>
      </c>
      <c r="D152" s="13" t="s">
        <v>138</v>
      </c>
      <c r="E152" s="14" t="s">
        <v>141</v>
      </c>
      <c r="F152" s="14" t="s">
        <v>11</v>
      </c>
      <c r="G152" s="13">
        <v>3</v>
      </c>
      <c r="H152" s="14">
        <f t="shared" si="1"/>
        <v>3</v>
      </c>
      <c r="J152" s="14">
        <v>3</v>
      </c>
      <c r="K152" s="13" t="s">
        <v>4493</v>
      </c>
      <c r="L152" s="15" t="s">
        <v>140</v>
      </c>
      <c r="M152" s="15">
        <v>343</v>
      </c>
      <c r="N152" s="15">
        <v>911</v>
      </c>
      <c r="O152" s="15">
        <v>634300</v>
      </c>
      <c r="P152" s="15">
        <v>291100</v>
      </c>
      <c r="Q152" s="15"/>
    </row>
    <row r="153" spans="1:17" x14ac:dyDescent="0.25">
      <c r="A153" s="11" t="s">
        <v>3751</v>
      </c>
      <c r="B153" s="13" t="s">
        <v>78</v>
      </c>
      <c r="C153" s="16" t="s">
        <v>565</v>
      </c>
      <c r="D153" s="13" t="s">
        <v>158</v>
      </c>
      <c r="E153" s="14" t="s">
        <v>566</v>
      </c>
      <c r="F153" s="14" t="s">
        <v>11</v>
      </c>
      <c r="G153" s="13">
        <v>8</v>
      </c>
      <c r="H153" s="14">
        <f t="shared" si="1"/>
        <v>18</v>
      </c>
      <c r="I153" s="14">
        <v>10</v>
      </c>
      <c r="J153" s="14">
        <v>14</v>
      </c>
      <c r="K153" s="13" t="s">
        <v>4610</v>
      </c>
      <c r="L153" s="15" t="s">
        <v>177</v>
      </c>
      <c r="M153" s="15">
        <v>81758</v>
      </c>
      <c r="N153" s="15">
        <v>89781</v>
      </c>
      <c r="O153" s="15">
        <v>581758</v>
      </c>
      <c r="P153" s="15">
        <v>289781</v>
      </c>
      <c r="Q153" s="15"/>
    </row>
    <row r="154" spans="1:17" x14ac:dyDescent="0.25">
      <c r="A154" s="11" t="s">
        <v>3751</v>
      </c>
      <c r="B154" s="13" t="s">
        <v>78</v>
      </c>
      <c r="C154" s="16" t="s">
        <v>3893</v>
      </c>
      <c r="D154" s="13" t="s">
        <v>39</v>
      </c>
      <c r="E154" s="14" t="s">
        <v>3894</v>
      </c>
      <c r="F154" s="14" t="s">
        <v>11</v>
      </c>
      <c r="G154" s="13"/>
      <c r="H154" s="14">
        <f>G154+I154</f>
        <v>1</v>
      </c>
      <c r="I154" s="14">
        <v>1</v>
      </c>
      <c r="J154" s="14">
        <v>1</v>
      </c>
      <c r="K154" s="13" t="s">
        <v>217</v>
      </c>
      <c r="L154" s="15" t="s">
        <v>177</v>
      </c>
      <c r="M154" s="15">
        <v>658</v>
      </c>
      <c r="N154" s="15">
        <v>855</v>
      </c>
      <c r="O154" s="15">
        <v>565800</v>
      </c>
      <c r="P154" s="15">
        <v>285500</v>
      </c>
      <c r="Q154" s="15"/>
    </row>
    <row r="155" spans="1:17" ht="22.5" x14ac:dyDescent="0.25">
      <c r="A155" s="11" t="s">
        <v>3751</v>
      </c>
      <c r="B155" s="13" t="s">
        <v>78</v>
      </c>
      <c r="C155" s="16" t="s">
        <v>2028</v>
      </c>
      <c r="D155" s="13" t="s">
        <v>92</v>
      </c>
      <c r="E155" s="14" t="s">
        <v>2029</v>
      </c>
      <c r="F155" s="14" t="s">
        <v>11</v>
      </c>
      <c r="G155" s="13"/>
      <c r="H155" s="14">
        <f t="shared" si="1"/>
        <v>1</v>
      </c>
      <c r="I155" s="14">
        <v>1</v>
      </c>
      <c r="J155" s="14">
        <v>1</v>
      </c>
      <c r="K155" s="13" t="s">
        <v>2503</v>
      </c>
      <c r="L155" s="15" t="s">
        <v>393</v>
      </c>
      <c r="M155" s="15">
        <v>2200</v>
      </c>
      <c r="N155" s="15">
        <v>3534</v>
      </c>
      <c r="O155" s="15">
        <v>622000</v>
      </c>
      <c r="P155" s="15">
        <v>335340</v>
      </c>
      <c r="Q155" s="15"/>
    </row>
    <row r="156" spans="1:17" ht="22.5" x14ac:dyDescent="0.25">
      <c r="A156" s="11" t="s">
        <v>3751</v>
      </c>
      <c r="B156" s="13" t="s">
        <v>206</v>
      </c>
      <c r="C156" s="16" t="s">
        <v>3412</v>
      </c>
      <c r="D156" s="13" t="s">
        <v>138</v>
      </c>
      <c r="E156" s="13" t="s">
        <v>2453</v>
      </c>
      <c r="F156" s="14" t="s">
        <v>11</v>
      </c>
      <c r="G156" s="13"/>
      <c r="H156" s="14">
        <f>G156+I156</f>
        <v>2</v>
      </c>
      <c r="I156" s="14">
        <v>2</v>
      </c>
      <c r="J156" s="14">
        <v>1</v>
      </c>
      <c r="K156" s="13" t="s">
        <v>1195</v>
      </c>
      <c r="L156" s="15" t="s">
        <v>111</v>
      </c>
      <c r="M156" s="15">
        <v>9963</v>
      </c>
      <c r="N156" s="15">
        <v>8031</v>
      </c>
      <c r="O156" s="15">
        <v>499630</v>
      </c>
      <c r="P156" s="15">
        <v>280310</v>
      </c>
      <c r="Q156" s="15"/>
    </row>
    <row r="157" spans="1:17" ht="33.75" x14ac:dyDescent="0.25">
      <c r="A157" s="11" t="s">
        <v>3751</v>
      </c>
      <c r="B157" s="13" t="s">
        <v>206</v>
      </c>
      <c r="C157" s="16" t="s">
        <v>207</v>
      </c>
      <c r="D157" s="13" t="s">
        <v>3848</v>
      </c>
      <c r="E157" s="14" t="s">
        <v>208</v>
      </c>
      <c r="F157" s="14" t="s">
        <v>11</v>
      </c>
      <c r="G157" s="13"/>
      <c r="H157" s="14">
        <f>G157+I157</f>
        <v>4</v>
      </c>
      <c r="I157" s="14">
        <v>4</v>
      </c>
      <c r="J157" s="14">
        <v>3</v>
      </c>
      <c r="K157" s="13" t="s">
        <v>3957</v>
      </c>
      <c r="L157" s="15" t="s">
        <v>111</v>
      </c>
      <c r="M157" s="15">
        <v>7362</v>
      </c>
      <c r="N157" s="15">
        <v>5923</v>
      </c>
      <c r="O157" s="15">
        <v>473620</v>
      </c>
      <c r="P157" s="15">
        <v>259230</v>
      </c>
      <c r="Q157" s="15"/>
    </row>
    <row r="158" spans="1:17" ht="22.5" x14ac:dyDescent="0.25">
      <c r="A158" s="11" t="s">
        <v>3751</v>
      </c>
      <c r="B158" s="13" t="s">
        <v>206</v>
      </c>
      <c r="C158" s="16" t="s">
        <v>2005</v>
      </c>
      <c r="D158" s="13" t="s">
        <v>215</v>
      </c>
      <c r="E158" s="14" t="s">
        <v>2006</v>
      </c>
      <c r="F158" s="14" t="s">
        <v>11</v>
      </c>
      <c r="G158" s="13"/>
      <c r="H158" s="14">
        <f t="shared" ref="H158:H192" si="3">G158+I158</f>
        <v>1</v>
      </c>
      <c r="I158" s="14">
        <v>1</v>
      </c>
      <c r="J158" s="14">
        <v>1</v>
      </c>
      <c r="K158" s="13" t="s">
        <v>866</v>
      </c>
      <c r="L158" s="15" t="s">
        <v>111</v>
      </c>
      <c r="M158" s="15">
        <v>8738</v>
      </c>
      <c r="N158" s="15">
        <v>6188</v>
      </c>
      <c r="O158" s="15">
        <v>487380</v>
      </c>
      <c r="P158" s="15">
        <v>261880</v>
      </c>
      <c r="Q158" s="15"/>
    </row>
    <row r="159" spans="1:17" x14ac:dyDescent="0.25">
      <c r="A159" s="11" t="s">
        <v>3751</v>
      </c>
      <c r="B159" s="13" t="s">
        <v>46</v>
      </c>
      <c r="C159" s="16" t="s">
        <v>2796</v>
      </c>
      <c r="D159" s="13" t="s">
        <v>18</v>
      </c>
      <c r="E159" s="14" t="s">
        <v>45</v>
      </c>
      <c r="F159" s="14" t="s">
        <v>11</v>
      </c>
      <c r="G159" s="13"/>
      <c r="H159" s="14">
        <f t="shared" si="3"/>
        <v>1</v>
      </c>
      <c r="I159" s="14">
        <v>1</v>
      </c>
      <c r="J159" s="14">
        <v>1</v>
      </c>
      <c r="K159" s="13" t="s">
        <v>1583</v>
      </c>
      <c r="L159" s="15" t="s">
        <v>398</v>
      </c>
      <c r="M159" s="15">
        <v>9405</v>
      </c>
      <c r="N159" s="15">
        <v>3307</v>
      </c>
      <c r="O159" s="15">
        <v>394050</v>
      </c>
      <c r="P159" s="15">
        <v>633070</v>
      </c>
      <c r="Q159" s="15"/>
    </row>
    <row r="160" spans="1:17" ht="45" x14ac:dyDescent="0.25">
      <c r="A160" s="11" t="s">
        <v>3751</v>
      </c>
      <c r="B160" s="13" t="s">
        <v>46</v>
      </c>
      <c r="C160" s="16" t="s">
        <v>1420</v>
      </c>
      <c r="D160" s="13" t="s">
        <v>4562</v>
      </c>
      <c r="E160" s="14" t="s">
        <v>1421</v>
      </c>
      <c r="F160" s="14" t="s">
        <v>11</v>
      </c>
      <c r="G160" s="13">
        <v>6</v>
      </c>
      <c r="H160" s="14">
        <f t="shared" si="3"/>
        <v>6</v>
      </c>
      <c r="J160" s="14">
        <v>4</v>
      </c>
      <c r="K160" s="13" t="s">
        <v>4563</v>
      </c>
      <c r="L160" s="15" t="s">
        <v>398</v>
      </c>
      <c r="M160" s="15">
        <v>945</v>
      </c>
      <c r="N160" s="15">
        <v>375</v>
      </c>
      <c r="O160" s="15">
        <v>394500</v>
      </c>
      <c r="P160" s="15">
        <v>637500</v>
      </c>
      <c r="Q160" s="15"/>
    </row>
    <row r="161" spans="1:17" x14ac:dyDescent="0.25">
      <c r="A161" s="11" t="s">
        <v>3751</v>
      </c>
      <c r="B161" s="13" t="s">
        <v>46</v>
      </c>
      <c r="C161" s="16" t="s">
        <v>2424</v>
      </c>
      <c r="D161" s="13" t="s">
        <v>1940</v>
      </c>
      <c r="E161" s="14" t="s">
        <v>45</v>
      </c>
      <c r="F161" s="14" t="s">
        <v>11</v>
      </c>
      <c r="G161" s="13"/>
      <c r="H161" s="14">
        <f t="shared" si="3"/>
        <v>4</v>
      </c>
      <c r="I161" s="14">
        <v>4</v>
      </c>
      <c r="J161" s="14">
        <v>4</v>
      </c>
      <c r="K161" s="13" t="s">
        <v>4251</v>
      </c>
      <c r="L161" s="15" t="s">
        <v>398</v>
      </c>
      <c r="M161" s="15">
        <v>9338</v>
      </c>
      <c r="N161" s="15">
        <v>3490</v>
      </c>
      <c r="O161" s="15">
        <v>393380</v>
      </c>
      <c r="P161" s="15">
        <v>634900</v>
      </c>
      <c r="Q161" s="15"/>
    </row>
    <row r="162" spans="1:17" x14ac:dyDescent="0.25">
      <c r="A162" s="11" t="s">
        <v>3751</v>
      </c>
      <c r="B162" s="13" t="s">
        <v>46</v>
      </c>
      <c r="C162" s="16" t="s">
        <v>2192</v>
      </c>
      <c r="D162" s="13" t="s">
        <v>18</v>
      </c>
      <c r="E162" s="14" t="s">
        <v>45</v>
      </c>
      <c r="F162" s="14" t="s">
        <v>11</v>
      </c>
      <c r="G162" s="13"/>
      <c r="H162" s="14">
        <f t="shared" si="3"/>
        <v>1</v>
      </c>
      <c r="I162" s="14">
        <v>1</v>
      </c>
      <c r="J162" s="14">
        <v>1</v>
      </c>
      <c r="K162" s="13" t="s">
        <v>1609</v>
      </c>
      <c r="L162" s="15" t="s">
        <v>398</v>
      </c>
      <c r="M162" s="15">
        <v>9338</v>
      </c>
      <c r="N162" s="15">
        <v>3490</v>
      </c>
      <c r="O162" s="15">
        <v>393380</v>
      </c>
      <c r="P162" s="15">
        <v>634900</v>
      </c>
      <c r="Q162" s="15"/>
    </row>
    <row r="163" spans="1:17" ht="22.5" x14ac:dyDescent="0.25">
      <c r="A163" s="11" t="s">
        <v>3751</v>
      </c>
      <c r="B163" s="13" t="s">
        <v>46</v>
      </c>
      <c r="C163" s="16" t="s">
        <v>83</v>
      </c>
      <c r="D163" s="13" t="s">
        <v>453</v>
      </c>
      <c r="E163" s="14" t="s">
        <v>45</v>
      </c>
      <c r="F163" s="14" t="s">
        <v>11</v>
      </c>
      <c r="G163" s="13">
        <v>1</v>
      </c>
      <c r="H163" s="14">
        <f t="shared" si="3"/>
        <v>1</v>
      </c>
      <c r="J163" s="14">
        <v>1</v>
      </c>
      <c r="K163" s="13" t="s">
        <v>4484</v>
      </c>
      <c r="L163" s="15" t="s">
        <v>398</v>
      </c>
      <c r="M163" s="15">
        <v>959</v>
      </c>
      <c r="N163" s="15">
        <v>324</v>
      </c>
      <c r="O163" s="15">
        <v>395900</v>
      </c>
      <c r="P163" s="15">
        <v>632400</v>
      </c>
      <c r="Q163" s="15"/>
    </row>
    <row r="164" spans="1:17" ht="33.75" x14ac:dyDescent="0.25">
      <c r="A164" s="11" t="s">
        <v>3751</v>
      </c>
      <c r="B164" s="13" t="s">
        <v>46</v>
      </c>
      <c r="C164" s="16" t="s">
        <v>2440</v>
      </c>
      <c r="D164" s="13" t="s">
        <v>3538</v>
      </c>
      <c r="E164" s="14" t="s">
        <v>45</v>
      </c>
      <c r="F164" s="14" t="s">
        <v>11</v>
      </c>
      <c r="G164" s="13">
        <v>1</v>
      </c>
      <c r="H164" s="14">
        <f t="shared" si="3"/>
        <v>1</v>
      </c>
      <c r="J164" s="14">
        <v>1</v>
      </c>
      <c r="K164" s="13" t="s">
        <v>3271</v>
      </c>
      <c r="L164" s="15" t="s">
        <v>398</v>
      </c>
      <c r="M164" s="15">
        <v>9280</v>
      </c>
      <c r="N164" s="15">
        <v>2931</v>
      </c>
      <c r="O164" s="15">
        <v>392800</v>
      </c>
      <c r="P164" s="15">
        <v>629310</v>
      </c>
      <c r="Q164" s="15"/>
    </row>
    <row r="165" spans="1:17" ht="45" x14ac:dyDescent="0.25">
      <c r="A165" s="11" t="s">
        <v>3751</v>
      </c>
      <c r="B165" s="13" t="s">
        <v>62</v>
      </c>
      <c r="C165" s="16" t="s">
        <v>91</v>
      </c>
      <c r="D165" s="13" t="s">
        <v>4029</v>
      </c>
      <c r="E165" s="13" t="s">
        <v>102</v>
      </c>
      <c r="F165" s="14" t="s">
        <v>11</v>
      </c>
      <c r="G165" s="13">
        <v>10</v>
      </c>
      <c r="H165" s="14">
        <f t="shared" si="3"/>
        <v>15</v>
      </c>
      <c r="I165" s="14">
        <v>5</v>
      </c>
      <c r="J165" s="14">
        <v>10</v>
      </c>
      <c r="K165" s="13" t="s">
        <v>4556</v>
      </c>
      <c r="L165" s="15" t="s">
        <v>110</v>
      </c>
      <c r="M165" s="15">
        <v>5109</v>
      </c>
      <c r="N165" s="15">
        <v>9828</v>
      </c>
      <c r="O165" s="15">
        <v>451090</v>
      </c>
      <c r="P165" s="15">
        <v>198280</v>
      </c>
      <c r="Q165" s="15"/>
    </row>
    <row r="166" spans="1:17" ht="22.5" x14ac:dyDescent="0.25">
      <c r="A166" s="11" t="s">
        <v>3751</v>
      </c>
      <c r="B166" s="13" t="s">
        <v>62</v>
      </c>
      <c r="C166" s="16" t="s">
        <v>1122</v>
      </c>
      <c r="D166" s="13" t="s">
        <v>540</v>
      </c>
      <c r="E166" s="13" t="s">
        <v>102</v>
      </c>
      <c r="F166" s="14" t="s">
        <v>11</v>
      </c>
      <c r="G166" s="13">
        <v>1</v>
      </c>
      <c r="H166" s="14">
        <f t="shared" si="3"/>
        <v>5</v>
      </c>
      <c r="I166" s="14">
        <v>4</v>
      </c>
      <c r="J166" s="14">
        <v>3</v>
      </c>
      <c r="K166" s="13" t="s">
        <v>4519</v>
      </c>
      <c r="L166" s="15" t="s">
        <v>110</v>
      </c>
      <c r="M166" s="15">
        <v>5167</v>
      </c>
      <c r="N166" s="15">
        <v>9830</v>
      </c>
      <c r="O166" s="15">
        <v>451670</v>
      </c>
      <c r="P166" s="15">
        <v>198300</v>
      </c>
      <c r="Q166" s="15"/>
    </row>
    <row r="167" spans="1:17" ht="22.5" x14ac:dyDescent="0.25">
      <c r="A167" s="11" t="s">
        <v>3751</v>
      </c>
      <c r="B167" s="13" t="s">
        <v>62</v>
      </c>
      <c r="C167" s="16" t="s">
        <v>3939</v>
      </c>
      <c r="D167" s="13" t="s">
        <v>92</v>
      </c>
      <c r="E167" s="13" t="s">
        <v>101</v>
      </c>
      <c r="F167" s="14" t="s">
        <v>11</v>
      </c>
      <c r="G167" s="13"/>
      <c r="H167" s="14">
        <f>G167+I167</f>
        <v>2</v>
      </c>
      <c r="I167" s="14">
        <v>2</v>
      </c>
      <c r="J167" s="14">
        <v>1</v>
      </c>
      <c r="K167" s="13" t="s">
        <v>456</v>
      </c>
      <c r="L167" s="15" t="s">
        <v>111</v>
      </c>
      <c r="M167" s="15">
        <v>265</v>
      </c>
      <c r="N167" s="15">
        <v>18</v>
      </c>
      <c r="O167" s="15">
        <v>426500</v>
      </c>
      <c r="P167" s="15">
        <v>201800</v>
      </c>
      <c r="Q167" s="15"/>
    </row>
    <row r="168" spans="1:17" ht="22.5" x14ac:dyDescent="0.25">
      <c r="A168" s="11" t="s">
        <v>3751</v>
      </c>
      <c r="B168" s="13" t="s">
        <v>62</v>
      </c>
      <c r="C168" s="16" t="s">
        <v>365</v>
      </c>
      <c r="D168" s="13" t="s">
        <v>366</v>
      </c>
      <c r="E168" s="13" t="s">
        <v>364</v>
      </c>
      <c r="F168" s="14" t="s">
        <v>11</v>
      </c>
      <c r="G168" s="13"/>
      <c r="H168" s="14">
        <f t="shared" si="3"/>
        <v>3</v>
      </c>
      <c r="I168" s="14">
        <v>3</v>
      </c>
      <c r="J168" s="14">
        <v>2</v>
      </c>
      <c r="K168" s="13" t="s">
        <v>4337</v>
      </c>
      <c r="L168" s="15" t="s">
        <v>111</v>
      </c>
      <c r="M168" s="15">
        <v>411</v>
      </c>
      <c r="N168" s="15">
        <v>48</v>
      </c>
      <c r="O168" s="15">
        <v>441100</v>
      </c>
      <c r="P168" s="15">
        <v>204800</v>
      </c>
      <c r="Q168" s="15"/>
    </row>
    <row r="169" spans="1:17" ht="25.5" x14ac:dyDescent="0.25">
      <c r="A169" s="11" t="s">
        <v>3751</v>
      </c>
      <c r="B169" s="13" t="s">
        <v>62</v>
      </c>
      <c r="C169" s="16" t="s">
        <v>2830</v>
      </c>
      <c r="D169" s="13" t="s">
        <v>865</v>
      </c>
      <c r="E169" s="13" t="s">
        <v>386</v>
      </c>
      <c r="F169" s="14" t="s">
        <v>11</v>
      </c>
      <c r="G169" s="13"/>
      <c r="H169" s="14">
        <f t="shared" si="3"/>
        <v>3</v>
      </c>
      <c r="I169" s="14">
        <v>3</v>
      </c>
      <c r="J169" s="14">
        <v>3</v>
      </c>
      <c r="K169" s="13" t="s">
        <v>3986</v>
      </c>
      <c r="L169" s="15" t="s">
        <v>110</v>
      </c>
      <c r="M169" s="15">
        <v>5738</v>
      </c>
      <c r="N169" s="15">
        <v>9546</v>
      </c>
      <c r="O169" s="15">
        <v>457380</v>
      </c>
      <c r="P169" s="15">
        <v>195460</v>
      </c>
      <c r="Q169" s="15"/>
    </row>
    <row r="170" spans="1:17" ht="22.5" x14ac:dyDescent="0.25">
      <c r="A170" s="11" t="s">
        <v>3751</v>
      </c>
      <c r="B170" s="13" t="s">
        <v>62</v>
      </c>
      <c r="C170" s="16" t="s">
        <v>600</v>
      </c>
      <c r="D170" s="13" t="s">
        <v>215</v>
      </c>
      <c r="E170" s="13" t="s">
        <v>386</v>
      </c>
      <c r="F170" s="14" t="s">
        <v>11</v>
      </c>
      <c r="G170" s="13">
        <v>1</v>
      </c>
      <c r="H170" s="14">
        <f>G170+I170</f>
        <v>1</v>
      </c>
      <c r="J170" s="14">
        <v>1</v>
      </c>
      <c r="K170" s="13" t="s">
        <v>2292</v>
      </c>
      <c r="L170" s="15" t="s">
        <v>110</v>
      </c>
      <c r="M170" s="15">
        <v>570</v>
      </c>
      <c r="N170" s="15">
        <v>957</v>
      </c>
      <c r="O170" s="15">
        <v>457000</v>
      </c>
      <c r="P170" s="15">
        <v>195700</v>
      </c>
      <c r="Q170" s="15"/>
    </row>
    <row r="171" spans="1:17" ht="25.5" x14ac:dyDescent="0.25">
      <c r="A171" s="11" t="s">
        <v>3751</v>
      </c>
      <c r="B171" s="13" t="s">
        <v>62</v>
      </c>
      <c r="C171" s="16" t="s">
        <v>4030</v>
      </c>
      <c r="D171" s="13" t="s">
        <v>278</v>
      </c>
      <c r="E171" s="13" t="s">
        <v>364</v>
      </c>
      <c r="F171" s="14" t="s">
        <v>11</v>
      </c>
      <c r="G171" s="13"/>
      <c r="H171" s="14">
        <f>G171+I171</f>
        <v>1</v>
      </c>
      <c r="I171" s="14">
        <v>1</v>
      </c>
      <c r="J171" s="14">
        <v>1</v>
      </c>
      <c r="K171" s="13" t="s">
        <v>1187</v>
      </c>
      <c r="L171" s="15" t="s">
        <v>111</v>
      </c>
      <c r="M171" s="15">
        <v>4499</v>
      </c>
      <c r="N171" s="15">
        <v>999</v>
      </c>
      <c r="O171" s="15">
        <v>444990</v>
      </c>
      <c r="P171" s="15">
        <v>209990</v>
      </c>
      <c r="Q171" s="15"/>
    </row>
    <row r="172" spans="1:17" ht="25.5" x14ac:dyDescent="0.25">
      <c r="A172" s="11" t="s">
        <v>3751</v>
      </c>
      <c r="B172" s="13" t="s">
        <v>62</v>
      </c>
      <c r="C172" s="16" t="s">
        <v>4310</v>
      </c>
      <c r="D172" s="13" t="s">
        <v>8</v>
      </c>
      <c r="E172" s="13" t="s">
        <v>101</v>
      </c>
      <c r="F172" s="14" t="s">
        <v>11</v>
      </c>
      <c r="G172" s="13">
        <v>1</v>
      </c>
      <c r="H172" s="14">
        <f t="shared" si="3"/>
        <v>4</v>
      </c>
      <c r="I172" s="14">
        <v>3</v>
      </c>
      <c r="J172" s="14">
        <v>3</v>
      </c>
      <c r="K172" s="13" t="s">
        <v>4311</v>
      </c>
      <c r="L172" s="15" t="s">
        <v>111</v>
      </c>
      <c r="M172" s="15">
        <v>297</v>
      </c>
      <c r="N172" s="15">
        <v>308</v>
      </c>
      <c r="O172" s="15">
        <v>429700</v>
      </c>
      <c r="P172" s="15">
        <v>230800</v>
      </c>
      <c r="Q172" s="15"/>
    </row>
    <row r="173" spans="1:17" ht="33.75" x14ac:dyDescent="0.25">
      <c r="A173" s="11" t="s">
        <v>3751</v>
      </c>
      <c r="B173" s="13" t="s">
        <v>62</v>
      </c>
      <c r="C173" s="16" t="s">
        <v>3413</v>
      </c>
      <c r="D173" s="13" t="s">
        <v>4026</v>
      </c>
      <c r="E173" s="13" t="s">
        <v>102</v>
      </c>
      <c r="F173" s="14" t="s">
        <v>11</v>
      </c>
      <c r="G173" s="13"/>
      <c r="H173" s="14">
        <f t="shared" si="3"/>
        <v>1</v>
      </c>
      <c r="I173" s="14">
        <v>1</v>
      </c>
      <c r="J173" s="14">
        <v>1</v>
      </c>
      <c r="K173" s="13" t="s">
        <v>877</v>
      </c>
      <c r="L173" s="15" t="s">
        <v>110</v>
      </c>
      <c r="M173" s="15">
        <v>28090</v>
      </c>
      <c r="N173" s="15">
        <v>85396</v>
      </c>
      <c r="O173" s="15">
        <v>428090</v>
      </c>
      <c r="P173" s="15">
        <v>185396</v>
      </c>
      <c r="Q173" s="15"/>
    </row>
    <row r="174" spans="1:17" ht="22.5" x14ac:dyDescent="0.25">
      <c r="A174" s="11" t="s">
        <v>3751</v>
      </c>
      <c r="B174" s="13" t="s">
        <v>62</v>
      </c>
      <c r="C174" s="16" t="s">
        <v>4027</v>
      </c>
      <c r="D174" s="13" t="s">
        <v>26</v>
      </c>
      <c r="E174" s="13" t="s">
        <v>102</v>
      </c>
      <c r="F174" s="14" t="s">
        <v>11</v>
      </c>
      <c r="G174" s="13">
        <v>1</v>
      </c>
      <c r="H174" s="14">
        <f t="shared" si="3"/>
        <v>8</v>
      </c>
      <c r="I174" s="14">
        <v>7</v>
      </c>
      <c r="J174" s="14">
        <v>6</v>
      </c>
      <c r="K174" s="13" t="s">
        <v>4064</v>
      </c>
      <c r="L174" s="15" t="s">
        <v>110</v>
      </c>
      <c r="M174" s="15">
        <v>28090</v>
      </c>
      <c r="N174" s="15">
        <v>85396</v>
      </c>
      <c r="O174" s="15">
        <v>428090</v>
      </c>
      <c r="P174" s="15">
        <v>185396</v>
      </c>
      <c r="Q174" s="15"/>
    </row>
    <row r="175" spans="1:17" ht="22.5" x14ac:dyDescent="0.25">
      <c r="A175" s="11" t="s">
        <v>3751</v>
      </c>
      <c r="B175" s="13" t="s">
        <v>22</v>
      </c>
      <c r="C175" s="16" t="s">
        <v>293</v>
      </c>
      <c r="D175" s="13" t="s">
        <v>3900</v>
      </c>
      <c r="E175" s="14" t="s">
        <v>3901</v>
      </c>
      <c r="F175" s="14" t="s">
        <v>11</v>
      </c>
      <c r="G175" s="13"/>
      <c r="H175" s="14">
        <f t="shared" si="3"/>
        <v>1</v>
      </c>
      <c r="I175" s="14">
        <v>1</v>
      </c>
      <c r="J175" s="14">
        <v>1</v>
      </c>
      <c r="K175" s="13" t="s">
        <v>224</v>
      </c>
      <c r="L175" s="1" t="s">
        <v>119</v>
      </c>
      <c r="M175" s="1">
        <v>53767</v>
      </c>
      <c r="N175" s="1">
        <v>17001</v>
      </c>
      <c r="O175" s="1">
        <v>353767</v>
      </c>
      <c r="P175" s="1">
        <v>117001</v>
      </c>
      <c r="Q175" s="15"/>
    </row>
    <row r="176" spans="1:17" x14ac:dyDescent="0.25">
      <c r="A176" s="11" t="s">
        <v>3751</v>
      </c>
      <c r="B176" s="13" t="s">
        <v>22</v>
      </c>
      <c r="C176" s="16" t="s">
        <v>4499</v>
      </c>
      <c r="D176" s="13" t="s">
        <v>188</v>
      </c>
      <c r="E176" s="14" t="s">
        <v>3997</v>
      </c>
      <c r="F176" s="14" t="s">
        <v>11</v>
      </c>
      <c r="G176" s="13">
        <v>1</v>
      </c>
      <c r="H176" s="14">
        <f>G176+I176</f>
        <v>1</v>
      </c>
      <c r="J176" s="14">
        <v>1</v>
      </c>
      <c r="K176" s="13" t="s">
        <v>4495</v>
      </c>
      <c r="L176" s="1" t="s">
        <v>119</v>
      </c>
      <c r="M176" s="1">
        <v>463</v>
      </c>
      <c r="N176" s="1">
        <v>544</v>
      </c>
      <c r="O176" s="1">
        <v>346300</v>
      </c>
      <c r="P176" s="1">
        <v>154400</v>
      </c>
      <c r="Q176" s="15"/>
    </row>
    <row r="177" spans="1:17" ht="22.5" x14ac:dyDescent="0.25">
      <c r="A177" s="11" t="s">
        <v>3751</v>
      </c>
      <c r="B177" s="13" t="s">
        <v>22</v>
      </c>
      <c r="C177" s="16" t="s">
        <v>3904</v>
      </c>
      <c r="D177" s="13" t="s">
        <v>3900</v>
      </c>
      <c r="E177" s="14" t="s">
        <v>3901</v>
      </c>
      <c r="F177" s="14" t="s">
        <v>11</v>
      </c>
      <c r="G177" s="13"/>
      <c r="H177" s="14">
        <f t="shared" si="3"/>
        <v>1</v>
      </c>
      <c r="I177" s="14">
        <v>1</v>
      </c>
      <c r="J177" s="14">
        <v>1</v>
      </c>
      <c r="K177" s="13" t="s">
        <v>224</v>
      </c>
      <c r="L177" s="1" t="s">
        <v>119</v>
      </c>
      <c r="M177" s="1">
        <v>4535</v>
      </c>
      <c r="N177" s="1">
        <v>3935</v>
      </c>
      <c r="O177" s="1">
        <v>345350</v>
      </c>
      <c r="P177" s="1">
        <v>139350</v>
      </c>
      <c r="Q177" s="15"/>
    </row>
    <row r="178" spans="1:17" x14ac:dyDescent="0.25">
      <c r="A178" s="11" t="s">
        <v>3751</v>
      </c>
      <c r="B178" s="13" t="s">
        <v>22</v>
      </c>
      <c r="C178" s="16" t="s">
        <v>406</v>
      </c>
      <c r="D178" s="13" t="s">
        <v>18</v>
      </c>
      <c r="E178" s="14" t="s">
        <v>512</v>
      </c>
      <c r="F178" s="14" t="s">
        <v>11</v>
      </c>
      <c r="G178" s="13"/>
      <c r="H178" s="14">
        <f t="shared" si="3"/>
        <v>1</v>
      </c>
      <c r="I178" s="14">
        <v>1</v>
      </c>
      <c r="J178" s="14">
        <v>1</v>
      </c>
      <c r="K178" s="13" t="s">
        <v>1583</v>
      </c>
      <c r="L178" s="15" t="s">
        <v>119</v>
      </c>
      <c r="M178" s="15">
        <v>4842</v>
      </c>
      <c r="N178" s="15">
        <v>5582</v>
      </c>
      <c r="O178" s="15">
        <v>348420</v>
      </c>
      <c r="P178" s="15">
        <v>155820</v>
      </c>
      <c r="Q178" s="15"/>
    </row>
    <row r="179" spans="1:17" ht="22.5" x14ac:dyDescent="0.25">
      <c r="A179" s="11" t="s">
        <v>3751</v>
      </c>
      <c r="B179" s="13" t="s">
        <v>22</v>
      </c>
      <c r="C179" s="16" t="s">
        <v>3902</v>
      </c>
      <c r="D179" s="13" t="s">
        <v>3900</v>
      </c>
      <c r="E179" s="14" t="s">
        <v>3901</v>
      </c>
      <c r="F179" s="14" t="s">
        <v>11</v>
      </c>
      <c r="G179" s="13"/>
      <c r="H179" s="14">
        <f>G179+I179</f>
        <v>1</v>
      </c>
      <c r="I179" s="14">
        <v>1</v>
      </c>
      <c r="J179" s="14">
        <v>1</v>
      </c>
      <c r="K179" s="13" t="s">
        <v>224</v>
      </c>
      <c r="L179" s="1" t="s">
        <v>119</v>
      </c>
      <c r="M179" s="1">
        <v>416</v>
      </c>
      <c r="N179" s="1">
        <v>428</v>
      </c>
      <c r="O179" s="1">
        <v>341600</v>
      </c>
      <c r="P179" s="1">
        <v>142800</v>
      </c>
      <c r="Q179" s="15"/>
    </row>
    <row r="180" spans="1:17" ht="22.5" x14ac:dyDescent="0.25">
      <c r="A180" s="11" t="s">
        <v>3751</v>
      </c>
      <c r="B180" s="13" t="s">
        <v>22</v>
      </c>
      <c r="C180" s="16" t="s">
        <v>1591</v>
      </c>
      <c r="D180" s="13" t="s">
        <v>3889</v>
      </c>
      <c r="E180" s="14" t="s">
        <v>1592</v>
      </c>
      <c r="F180" s="14" t="s">
        <v>11</v>
      </c>
      <c r="G180" s="13"/>
      <c r="H180" s="14">
        <f t="shared" si="3"/>
        <v>1</v>
      </c>
      <c r="I180" s="14">
        <v>1</v>
      </c>
      <c r="J180" s="14">
        <v>1</v>
      </c>
      <c r="K180" s="13" t="s">
        <v>217</v>
      </c>
      <c r="L180" s="15" t="s">
        <v>119</v>
      </c>
      <c r="M180" s="15">
        <v>1962</v>
      </c>
      <c r="N180" s="15">
        <v>2626</v>
      </c>
      <c r="O180" s="15">
        <v>319620</v>
      </c>
      <c r="P180" s="15">
        <v>126260</v>
      </c>
      <c r="Q180" s="15"/>
    </row>
    <row r="181" spans="1:17" ht="25.5" x14ac:dyDescent="0.25">
      <c r="A181" s="11" t="s">
        <v>3751</v>
      </c>
      <c r="B181" s="13" t="s">
        <v>22</v>
      </c>
      <c r="C181" s="16" t="s">
        <v>4007</v>
      </c>
      <c r="D181" s="13" t="s">
        <v>4005</v>
      </c>
      <c r="E181" s="14" t="s">
        <v>512</v>
      </c>
      <c r="F181" s="14" t="s">
        <v>11</v>
      </c>
      <c r="G181" s="13"/>
      <c r="H181" s="14">
        <f>G181+I181</f>
        <v>1</v>
      </c>
      <c r="I181" s="14">
        <v>1</v>
      </c>
      <c r="J181" s="14">
        <v>1</v>
      </c>
      <c r="K181" s="13" t="s">
        <v>1396</v>
      </c>
      <c r="L181" s="15" t="s">
        <v>119</v>
      </c>
      <c r="M181" s="15">
        <v>5633</v>
      </c>
      <c r="N181" s="15">
        <v>4868</v>
      </c>
      <c r="O181" s="15">
        <v>356330</v>
      </c>
      <c r="P181" s="15">
        <v>148680</v>
      </c>
      <c r="Q181" s="15"/>
    </row>
    <row r="182" spans="1:17" x14ac:dyDescent="0.25">
      <c r="A182" s="11" t="s">
        <v>3751</v>
      </c>
      <c r="B182" s="13" t="s">
        <v>22</v>
      </c>
      <c r="C182" s="16" t="s">
        <v>510</v>
      </c>
      <c r="D182" s="13" t="s">
        <v>18</v>
      </c>
      <c r="E182" s="14" t="s">
        <v>512</v>
      </c>
      <c r="F182" s="14" t="s">
        <v>11</v>
      </c>
      <c r="G182" s="13"/>
      <c r="H182" s="14">
        <f t="shared" si="3"/>
        <v>1</v>
      </c>
      <c r="I182" s="14">
        <v>1</v>
      </c>
      <c r="J182" s="14">
        <v>1</v>
      </c>
      <c r="K182" s="13" t="s">
        <v>2301</v>
      </c>
      <c r="L182" s="15" t="s">
        <v>119</v>
      </c>
      <c r="M182" s="15">
        <v>540</v>
      </c>
      <c r="N182" s="15">
        <v>530</v>
      </c>
      <c r="O182" s="15">
        <v>354000</v>
      </c>
      <c r="P182" s="15">
        <v>153000</v>
      </c>
      <c r="Q182" s="15"/>
    </row>
    <row r="183" spans="1:17" x14ac:dyDescent="0.25">
      <c r="A183" s="11" t="s">
        <v>3751</v>
      </c>
      <c r="B183" s="13" t="s">
        <v>22</v>
      </c>
      <c r="C183" s="16" t="s">
        <v>2824</v>
      </c>
      <c r="D183" s="13" t="s">
        <v>18</v>
      </c>
      <c r="E183" s="14" t="s">
        <v>512</v>
      </c>
      <c r="F183" s="14" t="s">
        <v>11</v>
      </c>
      <c r="G183" s="13"/>
      <c r="H183" s="14">
        <f t="shared" si="3"/>
        <v>2</v>
      </c>
      <c r="I183" s="14">
        <v>2</v>
      </c>
      <c r="J183" s="14">
        <v>1</v>
      </c>
      <c r="K183" s="13" t="s">
        <v>1583</v>
      </c>
      <c r="L183" s="15" t="s">
        <v>119</v>
      </c>
      <c r="M183" s="15">
        <v>540</v>
      </c>
      <c r="N183" s="15">
        <v>530</v>
      </c>
      <c r="O183" s="15">
        <v>354000</v>
      </c>
      <c r="P183" s="15">
        <v>153000</v>
      </c>
      <c r="Q183" s="15"/>
    </row>
    <row r="184" spans="1:17" x14ac:dyDescent="0.25">
      <c r="A184" s="11" t="s">
        <v>3751</v>
      </c>
      <c r="B184" s="13" t="s">
        <v>22</v>
      </c>
      <c r="C184" s="16" t="s">
        <v>2825</v>
      </c>
      <c r="D184" s="13" t="s">
        <v>18</v>
      </c>
      <c r="E184" s="14" t="s">
        <v>512</v>
      </c>
      <c r="F184" s="14" t="s">
        <v>11</v>
      </c>
      <c r="G184" s="13"/>
      <c r="H184" s="14">
        <f t="shared" si="3"/>
        <v>2</v>
      </c>
      <c r="I184" s="14">
        <v>2</v>
      </c>
      <c r="J184" s="14">
        <v>1</v>
      </c>
      <c r="K184" s="13" t="s">
        <v>1583</v>
      </c>
      <c r="L184" s="15" t="s">
        <v>119</v>
      </c>
      <c r="M184" s="15">
        <v>540</v>
      </c>
      <c r="N184" s="15">
        <v>530</v>
      </c>
      <c r="O184" s="15">
        <v>354000</v>
      </c>
      <c r="P184" s="15">
        <v>153000</v>
      </c>
      <c r="Q184" s="15"/>
    </row>
    <row r="185" spans="1:17" x14ac:dyDescent="0.25">
      <c r="A185" s="11" t="s">
        <v>3751</v>
      </c>
      <c r="B185" s="13" t="s">
        <v>22</v>
      </c>
      <c r="C185" s="16" t="s">
        <v>149</v>
      </c>
      <c r="D185" s="13" t="s">
        <v>1278</v>
      </c>
      <c r="E185" s="14" t="s">
        <v>149</v>
      </c>
      <c r="F185" s="14" t="s">
        <v>11</v>
      </c>
      <c r="G185" s="13">
        <v>5</v>
      </c>
      <c r="H185" s="14">
        <f>G185+I185</f>
        <v>7</v>
      </c>
      <c r="I185" s="14">
        <v>2</v>
      </c>
      <c r="J185" s="14">
        <v>5</v>
      </c>
      <c r="K185" s="13" t="s">
        <v>4609</v>
      </c>
      <c r="L185" s="1" t="s">
        <v>119</v>
      </c>
      <c r="M185" s="1">
        <v>35170</v>
      </c>
      <c r="N185" s="1">
        <v>29909</v>
      </c>
      <c r="O185" s="1">
        <v>335170</v>
      </c>
      <c r="P185" s="1">
        <v>129909</v>
      </c>
      <c r="Q185" s="15"/>
    </row>
    <row r="186" spans="1:17" ht="33.75" x14ac:dyDescent="0.25">
      <c r="A186" s="11" t="s">
        <v>3751</v>
      </c>
      <c r="B186" s="13" t="s">
        <v>22</v>
      </c>
      <c r="C186" s="16" t="s">
        <v>147</v>
      </c>
      <c r="D186" s="13" t="s">
        <v>148</v>
      </c>
      <c r="E186" s="14" t="s">
        <v>149</v>
      </c>
      <c r="F186" s="14" t="s">
        <v>11</v>
      </c>
      <c r="G186" s="13">
        <v>2</v>
      </c>
      <c r="H186" s="14">
        <f t="shared" si="3"/>
        <v>7</v>
      </c>
      <c r="I186" s="14">
        <v>5</v>
      </c>
      <c r="J186" s="14">
        <v>4</v>
      </c>
      <c r="K186" s="13" t="s">
        <v>4388</v>
      </c>
      <c r="L186" s="15" t="s">
        <v>119</v>
      </c>
      <c r="M186" s="15">
        <v>423</v>
      </c>
      <c r="N186" s="15">
        <v>403</v>
      </c>
      <c r="O186" s="15">
        <v>342300</v>
      </c>
      <c r="P186" s="15">
        <v>140300</v>
      </c>
      <c r="Q186" s="15"/>
    </row>
    <row r="187" spans="1:17" x14ac:dyDescent="0.25">
      <c r="A187" s="11" t="s">
        <v>3751</v>
      </c>
      <c r="B187" s="13" t="s">
        <v>22</v>
      </c>
      <c r="C187" s="16" t="s">
        <v>647</v>
      </c>
      <c r="D187" s="13" t="s">
        <v>648</v>
      </c>
      <c r="E187" s="14" t="s">
        <v>512</v>
      </c>
      <c r="F187" s="14" t="s">
        <v>11</v>
      </c>
      <c r="G187" s="13"/>
      <c r="H187" s="14">
        <f t="shared" si="3"/>
        <v>1</v>
      </c>
      <c r="I187" s="14">
        <v>1</v>
      </c>
      <c r="J187" s="14">
        <v>1</v>
      </c>
      <c r="K187" s="13" t="s">
        <v>224</v>
      </c>
      <c r="L187" s="15" t="s">
        <v>119</v>
      </c>
      <c r="M187" s="15">
        <v>4531</v>
      </c>
      <c r="N187" s="15">
        <v>3907</v>
      </c>
      <c r="O187" s="15">
        <v>345310</v>
      </c>
      <c r="P187" s="15">
        <v>139070</v>
      </c>
      <c r="Q187" s="15"/>
    </row>
    <row r="188" spans="1:17" ht="22.5" x14ac:dyDescent="0.25">
      <c r="A188" s="11" t="s">
        <v>3751</v>
      </c>
      <c r="B188" s="13" t="s">
        <v>446</v>
      </c>
      <c r="C188" s="16" t="s">
        <v>2090</v>
      </c>
      <c r="D188" s="13" t="s">
        <v>3888</v>
      </c>
      <c r="E188" s="14" t="s">
        <v>659</v>
      </c>
      <c r="F188" s="14" t="s">
        <v>11</v>
      </c>
      <c r="G188" s="13"/>
      <c r="H188" s="14">
        <f t="shared" si="3"/>
        <v>1</v>
      </c>
      <c r="I188" s="14">
        <v>1</v>
      </c>
      <c r="J188" s="14">
        <v>1</v>
      </c>
      <c r="K188" s="13" t="s">
        <v>217</v>
      </c>
      <c r="L188" s="15" t="s">
        <v>445</v>
      </c>
      <c r="M188" s="15">
        <v>1971</v>
      </c>
      <c r="N188" s="15">
        <v>1624</v>
      </c>
      <c r="O188" s="15">
        <v>419710</v>
      </c>
      <c r="P188" s="15">
        <v>316240</v>
      </c>
      <c r="Q188" s="15"/>
    </row>
    <row r="189" spans="1:17" ht="25.5" x14ac:dyDescent="0.25">
      <c r="A189" s="11" t="s">
        <v>3751</v>
      </c>
      <c r="B189" s="13" t="s">
        <v>446</v>
      </c>
      <c r="C189" s="16" t="s">
        <v>4041</v>
      </c>
      <c r="D189" s="13" t="s">
        <v>41</v>
      </c>
      <c r="E189" s="13" t="s">
        <v>4042</v>
      </c>
      <c r="F189" s="14" t="s">
        <v>11</v>
      </c>
      <c r="G189" s="13"/>
      <c r="H189" s="14">
        <f>G189+I189</f>
        <v>1</v>
      </c>
      <c r="I189" s="14">
        <v>1</v>
      </c>
      <c r="J189" s="14">
        <v>1</v>
      </c>
      <c r="K189" s="13" t="s">
        <v>887</v>
      </c>
      <c r="L189" s="1" t="s">
        <v>445</v>
      </c>
      <c r="M189" s="1">
        <v>1307</v>
      </c>
      <c r="N189" s="1">
        <v>5646</v>
      </c>
      <c r="O189" s="1">
        <v>413070</v>
      </c>
      <c r="P189" s="1">
        <v>356460</v>
      </c>
      <c r="Q189" s="15"/>
    </row>
    <row r="190" spans="1:17" ht="33.75" x14ac:dyDescent="0.25">
      <c r="A190" s="11" t="s">
        <v>3751</v>
      </c>
      <c r="B190" s="13" t="s">
        <v>609</v>
      </c>
      <c r="C190" s="16" t="s">
        <v>1927</v>
      </c>
      <c r="D190" s="13" t="s">
        <v>1928</v>
      </c>
      <c r="E190" s="14" t="s">
        <v>1929</v>
      </c>
      <c r="F190" s="14" t="s">
        <v>11</v>
      </c>
      <c r="G190" s="13"/>
      <c r="H190" s="14">
        <f t="shared" si="3"/>
        <v>2</v>
      </c>
      <c r="I190" s="14">
        <v>2</v>
      </c>
      <c r="J190" s="14">
        <v>2</v>
      </c>
      <c r="K190" s="13" t="s">
        <v>1145</v>
      </c>
      <c r="L190" s="15" t="s">
        <v>177</v>
      </c>
      <c r="M190" s="15">
        <v>8292</v>
      </c>
      <c r="N190" s="15">
        <v>6867</v>
      </c>
      <c r="O190" s="15">
        <v>582920</v>
      </c>
      <c r="P190" s="15">
        <v>268670</v>
      </c>
    </row>
    <row r="191" spans="1:17" ht="33.75" x14ac:dyDescent="0.25">
      <c r="A191" s="11" t="s">
        <v>3751</v>
      </c>
      <c r="B191" s="13" t="s">
        <v>609</v>
      </c>
      <c r="C191" s="16" t="s">
        <v>3158</v>
      </c>
      <c r="D191" s="13" t="s">
        <v>3159</v>
      </c>
      <c r="E191" s="14" t="s">
        <v>1377</v>
      </c>
      <c r="F191" s="14" t="s">
        <v>11</v>
      </c>
      <c r="G191" s="13">
        <v>5</v>
      </c>
      <c r="H191" s="14">
        <f t="shared" si="3"/>
        <v>7</v>
      </c>
      <c r="I191" s="14">
        <v>2</v>
      </c>
      <c r="J191" s="14">
        <v>7</v>
      </c>
      <c r="K191" s="13" t="s">
        <v>4494</v>
      </c>
      <c r="L191" s="15" t="s">
        <v>111</v>
      </c>
      <c r="M191" s="15">
        <v>8222</v>
      </c>
      <c r="N191" s="15">
        <v>398</v>
      </c>
      <c r="O191" s="15">
        <v>482220</v>
      </c>
      <c r="P191" s="15">
        <v>203980</v>
      </c>
      <c r="Q191" s="15"/>
    </row>
    <row r="192" spans="1:17" ht="33.75" x14ac:dyDescent="0.25">
      <c r="A192" s="11" t="s">
        <v>3751</v>
      </c>
      <c r="B192" s="13" t="s">
        <v>609</v>
      </c>
      <c r="C192" s="16" t="s">
        <v>1377</v>
      </c>
      <c r="D192" s="13" t="s">
        <v>3159</v>
      </c>
      <c r="E192" s="14" t="s">
        <v>1377</v>
      </c>
      <c r="F192" s="14" t="s">
        <v>11</v>
      </c>
      <c r="G192" s="13">
        <v>6</v>
      </c>
      <c r="H192" s="14">
        <f t="shared" si="3"/>
        <v>6</v>
      </c>
      <c r="J192" s="14">
        <v>5</v>
      </c>
      <c r="K192" s="13" t="s">
        <v>4557</v>
      </c>
      <c r="L192" s="15" t="s">
        <v>111</v>
      </c>
      <c r="M192" s="15">
        <v>8222</v>
      </c>
      <c r="N192" s="15">
        <v>398</v>
      </c>
      <c r="O192" s="15">
        <v>482220</v>
      </c>
      <c r="P192" s="15">
        <v>203980</v>
      </c>
      <c r="Q192" s="15"/>
    </row>
    <row r="193" spans="1:17" ht="22.5" x14ac:dyDescent="0.25">
      <c r="A193" s="11" t="s">
        <v>3751</v>
      </c>
      <c r="B193" s="13" t="s">
        <v>699</v>
      </c>
      <c r="C193" s="16" t="s">
        <v>353</v>
      </c>
      <c r="D193" s="13" t="s">
        <v>4009</v>
      </c>
      <c r="E193" s="14" t="s">
        <v>103</v>
      </c>
      <c r="F193" s="14" t="s">
        <v>11</v>
      </c>
      <c r="G193" s="13"/>
      <c r="H193" s="14">
        <f t="shared" ref="H193:H309" si="4">G193+I193</f>
        <v>1</v>
      </c>
      <c r="I193" s="14">
        <v>1</v>
      </c>
      <c r="J193" s="14">
        <v>1</v>
      </c>
      <c r="K193" s="13" t="s">
        <v>2833</v>
      </c>
      <c r="L193" s="15" t="s">
        <v>108</v>
      </c>
      <c r="M193" s="15">
        <v>5097</v>
      </c>
      <c r="N193" s="15">
        <v>358</v>
      </c>
      <c r="O193" s="15">
        <v>550970</v>
      </c>
      <c r="P193" s="15">
        <v>103580</v>
      </c>
      <c r="Q193" s="15"/>
    </row>
    <row r="194" spans="1:17" x14ac:dyDescent="0.25">
      <c r="A194" s="11" t="s">
        <v>3751</v>
      </c>
      <c r="B194" s="13" t="s">
        <v>699</v>
      </c>
      <c r="C194" s="16" t="s">
        <v>2366</v>
      </c>
      <c r="D194" s="13" t="s">
        <v>1940</v>
      </c>
      <c r="E194" s="14" t="s">
        <v>699</v>
      </c>
      <c r="F194" s="14" t="s">
        <v>11</v>
      </c>
      <c r="G194" s="13"/>
      <c r="H194" s="14">
        <f>G194+I194</f>
        <v>1</v>
      </c>
      <c r="I194" s="14">
        <v>1</v>
      </c>
      <c r="J194" s="14">
        <v>1</v>
      </c>
      <c r="K194" s="13" t="s">
        <v>3236</v>
      </c>
      <c r="L194" s="15" t="s">
        <v>108</v>
      </c>
      <c r="M194" s="15">
        <v>45</v>
      </c>
      <c r="N194" s="15">
        <v>715</v>
      </c>
      <c r="O194" s="15">
        <v>504500</v>
      </c>
      <c r="P194" s="15">
        <v>171500</v>
      </c>
      <c r="Q194" s="15"/>
    </row>
    <row r="195" spans="1:17" ht="22.5" x14ac:dyDescent="0.25">
      <c r="A195" s="11" t="s">
        <v>3751</v>
      </c>
      <c r="B195" s="13" t="s">
        <v>699</v>
      </c>
      <c r="C195" s="16" t="s">
        <v>3545</v>
      </c>
      <c r="D195" s="13" t="s">
        <v>1932</v>
      </c>
      <c r="E195" s="14" t="s">
        <v>3547</v>
      </c>
      <c r="F195" s="14" t="s">
        <v>11</v>
      </c>
      <c r="G195" s="13"/>
      <c r="H195" s="14">
        <f>G195+I195</f>
        <v>10</v>
      </c>
      <c r="I195" s="14">
        <v>10</v>
      </c>
      <c r="J195" s="14">
        <v>8</v>
      </c>
      <c r="K195" s="13" t="s">
        <v>3958</v>
      </c>
      <c r="L195" s="15" t="s">
        <v>108</v>
      </c>
      <c r="M195" s="15">
        <v>24</v>
      </c>
      <c r="N195" s="15">
        <v>726</v>
      </c>
      <c r="O195" s="15">
        <v>502400</v>
      </c>
      <c r="P195" s="15">
        <v>172600</v>
      </c>
      <c r="Q195" s="15"/>
    </row>
    <row r="196" spans="1:17" ht="33.75" x14ac:dyDescent="0.25">
      <c r="A196" s="11" t="s">
        <v>3751</v>
      </c>
      <c r="B196" s="13" t="s">
        <v>699</v>
      </c>
      <c r="C196" s="16" t="s">
        <v>1950</v>
      </c>
      <c r="D196" s="13" t="s">
        <v>3401</v>
      </c>
      <c r="E196" s="14" t="s">
        <v>1951</v>
      </c>
      <c r="F196" s="14" t="s">
        <v>11</v>
      </c>
      <c r="G196" s="13"/>
      <c r="H196" s="14">
        <f t="shared" si="4"/>
        <v>1</v>
      </c>
      <c r="I196" s="14">
        <v>1</v>
      </c>
      <c r="J196" s="14">
        <v>1</v>
      </c>
      <c r="K196" s="13" t="s">
        <v>559</v>
      </c>
      <c r="L196" s="15" t="s">
        <v>108</v>
      </c>
      <c r="M196" s="15">
        <v>545</v>
      </c>
      <c r="N196" s="15">
        <v>7431</v>
      </c>
      <c r="O196" s="15">
        <v>505450</v>
      </c>
      <c r="P196" s="15">
        <v>174310</v>
      </c>
      <c r="Q196" s="15"/>
    </row>
    <row r="197" spans="1:17" ht="22.5" x14ac:dyDescent="0.25">
      <c r="A197" s="11" t="s">
        <v>3751</v>
      </c>
      <c r="B197" s="13" t="s">
        <v>93</v>
      </c>
      <c r="C197" s="16" t="s">
        <v>2677</v>
      </c>
      <c r="D197" s="13" t="s">
        <v>92</v>
      </c>
      <c r="E197" s="14" t="s">
        <v>112</v>
      </c>
      <c r="F197" s="14" t="s">
        <v>11</v>
      </c>
      <c r="G197" s="13"/>
      <c r="H197" s="14">
        <f t="shared" si="4"/>
        <v>2</v>
      </c>
      <c r="I197" s="14">
        <v>2</v>
      </c>
      <c r="J197" s="14">
        <v>2</v>
      </c>
      <c r="K197" s="13" t="s">
        <v>3954</v>
      </c>
      <c r="L197" s="15" t="s">
        <v>110</v>
      </c>
      <c r="M197" s="15">
        <v>9758</v>
      </c>
      <c r="N197" s="15">
        <v>1261</v>
      </c>
      <c r="O197" s="15">
        <v>497580</v>
      </c>
      <c r="P197" s="15">
        <v>112610</v>
      </c>
      <c r="Q197" s="15"/>
    </row>
    <row r="198" spans="1:17" x14ac:dyDescent="0.25">
      <c r="A198" s="11" t="s">
        <v>3751</v>
      </c>
      <c r="B198" s="13" t="s">
        <v>93</v>
      </c>
      <c r="C198" s="16" t="s">
        <v>2102</v>
      </c>
      <c r="D198" s="13" t="s">
        <v>39</v>
      </c>
      <c r="E198" s="14" t="s">
        <v>2103</v>
      </c>
      <c r="F198" s="14" t="s">
        <v>11</v>
      </c>
      <c r="G198" s="13"/>
      <c r="H198" s="14">
        <f t="shared" si="4"/>
        <v>1</v>
      </c>
      <c r="I198" s="14">
        <v>1</v>
      </c>
      <c r="J198" s="14">
        <v>1</v>
      </c>
      <c r="K198" s="13" t="s">
        <v>193</v>
      </c>
      <c r="L198" s="15" t="s">
        <v>2104</v>
      </c>
      <c r="M198" s="15">
        <v>5570</v>
      </c>
      <c r="N198" s="15">
        <v>9567</v>
      </c>
      <c r="O198" s="15">
        <v>555700</v>
      </c>
      <c r="P198" s="15">
        <v>95670</v>
      </c>
      <c r="Q198" s="15"/>
    </row>
    <row r="199" spans="1:17" x14ac:dyDescent="0.25">
      <c r="A199" s="11" t="s">
        <v>3751</v>
      </c>
      <c r="B199" s="13" t="s">
        <v>93</v>
      </c>
      <c r="C199" s="16" t="s">
        <v>1372</v>
      </c>
      <c r="D199" s="13" t="s">
        <v>158</v>
      </c>
      <c r="E199" s="14" t="s">
        <v>112</v>
      </c>
      <c r="F199" s="14" t="s">
        <v>11</v>
      </c>
      <c r="G199" s="13">
        <v>1</v>
      </c>
      <c r="H199" s="14">
        <f t="shared" si="4"/>
        <v>2</v>
      </c>
      <c r="I199" s="14">
        <v>1</v>
      </c>
      <c r="J199" s="14">
        <v>2</v>
      </c>
      <c r="K199" s="13" t="s">
        <v>4389</v>
      </c>
      <c r="L199" s="15" t="s">
        <v>108</v>
      </c>
      <c r="M199" s="15">
        <v>94</v>
      </c>
      <c r="N199" s="15">
        <v>89</v>
      </c>
      <c r="O199" s="15">
        <v>509400</v>
      </c>
      <c r="P199" s="15">
        <v>108900</v>
      </c>
      <c r="Q199" s="15"/>
    </row>
    <row r="200" spans="1:17" x14ac:dyDescent="0.25">
      <c r="A200" s="11" t="s">
        <v>3751</v>
      </c>
      <c r="B200" s="13" t="s">
        <v>93</v>
      </c>
      <c r="C200" s="16" t="s">
        <v>159</v>
      </c>
      <c r="D200" s="13" t="s">
        <v>158</v>
      </c>
      <c r="E200" s="14" t="s">
        <v>112</v>
      </c>
      <c r="F200" s="14" t="s">
        <v>11</v>
      </c>
      <c r="G200" s="13">
        <v>1</v>
      </c>
      <c r="H200" s="14">
        <f t="shared" si="4"/>
        <v>2</v>
      </c>
      <c r="I200" s="14">
        <v>1</v>
      </c>
      <c r="J200" s="14">
        <v>2</v>
      </c>
      <c r="K200" s="13" t="s">
        <v>4389</v>
      </c>
      <c r="L200" s="15" t="s">
        <v>108</v>
      </c>
      <c r="M200" s="15">
        <v>1142</v>
      </c>
      <c r="N200" s="15">
        <v>828</v>
      </c>
      <c r="O200" s="15">
        <v>511420</v>
      </c>
      <c r="P200" s="15">
        <v>108280</v>
      </c>
      <c r="Q200" s="15"/>
    </row>
    <row r="201" spans="1:17" x14ac:dyDescent="0.25">
      <c r="A201" s="11" t="s">
        <v>3751</v>
      </c>
      <c r="B201" s="13" t="s">
        <v>93</v>
      </c>
      <c r="C201" s="16" t="s">
        <v>157</v>
      </c>
      <c r="D201" s="13" t="s">
        <v>158</v>
      </c>
      <c r="E201" s="14" t="s">
        <v>112</v>
      </c>
      <c r="F201" s="14" t="s">
        <v>11</v>
      </c>
      <c r="G201" s="13">
        <v>1</v>
      </c>
      <c r="H201" s="14">
        <f t="shared" si="4"/>
        <v>4</v>
      </c>
      <c r="I201" s="14">
        <v>3</v>
      </c>
      <c r="J201" s="14">
        <v>3</v>
      </c>
      <c r="K201" s="13" t="s">
        <v>4390</v>
      </c>
      <c r="L201" s="15" t="s">
        <v>108</v>
      </c>
      <c r="M201" s="15">
        <v>1360</v>
      </c>
      <c r="N201" s="15">
        <v>788</v>
      </c>
      <c r="O201" s="15">
        <v>513600</v>
      </c>
      <c r="P201" s="15">
        <v>107880</v>
      </c>
      <c r="Q201" s="15"/>
    </row>
    <row r="202" spans="1:17" ht="22.5" x14ac:dyDescent="0.25">
      <c r="A202" s="11" t="s">
        <v>3751</v>
      </c>
      <c r="B202" s="13" t="s">
        <v>93</v>
      </c>
      <c r="C202" s="16" t="s">
        <v>203</v>
      </c>
      <c r="D202" s="13" t="s">
        <v>92</v>
      </c>
      <c r="E202" s="14" t="s">
        <v>103</v>
      </c>
      <c r="F202" s="14" t="s">
        <v>11</v>
      </c>
      <c r="G202" s="13">
        <v>1</v>
      </c>
      <c r="H202" s="14">
        <f t="shared" si="4"/>
        <v>1</v>
      </c>
      <c r="J202" s="14">
        <v>1</v>
      </c>
      <c r="K202" s="13" t="s">
        <v>4495</v>
      </c>
      <c r="L202" s="15" t="s">
        <v>108</v>
      </c>
      <c r="M202" s="15">
        <v>5750</v>
      </c>
      <c r="N202" s="15">
        <v>222</v>
      </c>
      <c r="O202" s="15">
        <v>557500</v>
      </c>
      <c r="P202" s="15">
        <v>102220</v>
      </c>
      <c r="Q202" s="15"/>
    </row>
    <row r="203" spans="1:17" ht="22.5" x14ac:dyDescent="0.25">
      <c r="A203" s="11" t="s">
        <v>3751</v>
      </c>
      <c r="B203" s="13" t="s">
        <v>93</v>
      </c>
      <c r="C203" s="16" t="s">
        <v>1953</v>
      </c>
      <c r="D203" s="13" t="s">
        <v>92</v>
      </c>
      <c r="E203" s="14" t="s">
        <v>112</v>
      </c>
      <c r="F203" s="14" t="s">
        <v>11</v>
      </c>
      <c r="G203" s="13"/>
      <c r="H203" s="14">
        <f>G203+I203</f>
        <v>1</v>
      </c>
      <c r="I203" s="14">
        <v>1</v>
      </c>
      <c r="J203" s="14">
        <v>1</v>
      </c>
      <c r="K203" s="13" t="s">
        <v>456</v>
      </c>
      <c r="L203" s="15" t="s">
        <v>110</v>
      </c>
      <c r="M203" s="15">
        <v>8976</v>
      </c>
      <c r="N203" s="15">
        <v>1375</v>
      </c>
      <c r="O203" s="15">
        <v>489760</v>
      </c>
      <c r="P203" s="15">
        <v>113750</v>
      </c>
      <c r="Q203" s="15"/>
    </row>
    <row r="204" spans="1:17" x14ac:dyDescent="0.25">
      <c r="A204" s="11" t="s">
        <v>3751</v>
      </c>
      <c r="B204" s="13" t="s">
        <v>93</v>
      </c>
      <c r="C204" s="16" t="s">
        <v>1785</v>
      </c>
      <c r="D204" s="13" t="s">
        <v>158</v>
      </c>
      <c r="E204" s="14" t="s">
        <v>112</v>
      </c>
      <c r="F204" s="14" t="s">
        <v>11</v>
      </c>
      <c r="G204" s="13">
        <v>1</v>
      </c>
      <c r="H204" s="14">
        <f t="shared" si="4"/>
        <v>4</v>
      </c>
      <c r="I204" s="14">
        <v>3</v>
      </c>
      <c r="J204" s="14">
        <v>3</v>
      </c>
      <c r="K204" s="13" t="s">
        <v>4390</v>
      </c>
      <c r="L204" s="15" t="s">
        <v>108</v>
      </c>
      <c r="M204" s="15">
        <v>82</v>
      </c>
      <c r="N204" s="15">
        <v>100</v>
      </c>
      <c r="O204" s="15">
        <v>508200</v>
      </c>
      <c r="P204" s="15">
        <v>110000</v>
      </c>
      <c r="Q204" s="15"/>
    </row>
    <row r="205" spans="1:17" x14ac:dyDescent="0.25">
      <c r="A205" s="11" t="s">
        <v>3751</v>
      </c>
      <c r="B205" s="13" t="s">
        <v>93</v>
      </c>
      <c r="C205" s="16" t="s">
        <v>2371</v>
      </c>
      <c r="D205" s="13" t="s">
        <v>158</v>
      </c>
      <c r="E205" s="14" t="s">
        <v>112</v>
      </c>
      <c r="F205" s="14" t="s">
        <v>11</v>
      </c>
      <c r="G205" s="13">
        <v>1</v>
      </c>
      <c r="H205" s="14">
        <f t="shared" si="4"/>
        <v>2</v>
      </c>
      <c r="I205" s="14">
        <v>1</v>
      </c>
      <c r="J205" s="14">
        <v>2</v>
      </c>
      <c r="K205" s="13" t="s">
        <v>4389</v>
      </c>
      <c r="L205" s="15" t="s">
        <v>110</v>
      </c>
      <c r="M205" s="15">
        <v>932</v>
      </c>
      <c r="N205" s="15">
        <v>93</v>
      </c>
      <c r="O205" s="15">
        <v>493200</v>
      </c>
      <c r="P205" s="15">
        <v>109300</v>
      </c>
      <c r="Q205" s="15"/>
    </row>
    <row r="206" spans="1:17" ht="22.5" x14ac:dyDescent="0.25">
      <c r="A206" s="11" t="s">
        <v>3751</v>
      </c>
      <c r="B206" s="13" t="s">
        <v>93</v>
      </c>
      <c r="C206" s="16" t="s">
        <v>95</v>
      </c>
      <c r="D206" s="13" t="s">
        <v>92</v>
      </c>
      <c r="E206" s="14" t="s">
        <v>103</v>
      </c>
      <c r="F206" s="14" t="s">
        <v>11</v>
      </c>
      <c r="G206" s="13"/>
      <c r="H206" s="14">
        <f t="shared" si="4"/>
        <v>4</v>
      </c>
      <c r="I206" s="14">
        <v>4</v>
      </c>
      <c r="J206" s="14">
        <v>3</v>
      </c>
      <c r="K206" s="13" t="s">
        <v>3952</v>
      </c>
      <c r="L206" s="15" t="s">
        <v>108</v>
      </c>
      <c r="M206" s="15">
        <v>3990</v>
      </c>
      <c r="N206" s="15">
        <v>1177</v>
      </c>
      <c r="O206" s="15">
        <v>539900</v>
      </c>
      <c r="P206" s="15">
        <v>111770</v>
      </c>
      <c r="Q206" s="15"/>
    </row>
    <row r="207" spans="1:17" ht="22.5" x14ac:dyDescent="0.25">
      <c r="A207" s="11" t="s">
        <v>3751</v>
      </c>
      <c r="B207" s="13" t="s">
        <v>93</v>
      </c>
      <c r="C207" s="16" t="s">
        <v>613</v>
      </c>
      <c r="D207" s="13" t="s">
        <v>616</v>
      </c>
      <c r="E207" s="14" t="s">
        <v>103</v>
      </c>
      <c r="F207" s="14" t="s">
        <v>11</v>
      </c>
      <c r="G207" s="13"/>
      <c r="H207" s="14">
        <f t="shared" si="4"/>
        <v>1</v>
      </c>
      <c r="I207" s="14">
        <v>1</v>
      </c>
      <c r="J207" s="14">
        <v>1</v>
      </c>
      <c r="K207" s="13" t="s">
        <v>180</v>
      </c>
      <c r="L207" s="15" t="s">
        <v>108</v>
      </c>
      <c r="M207" s="15">
        <v>925</v>
      </c>
      <c r="N207" s="15">
        <v>226</v>
      </c>
      <c r="O207" s="15">
        <v>592500</v>
      </c>
      <c r="P207" s="15">
        <v>122600</v>
      </c>
      <c r="Q207" s="15"/>
    </row>
    <row r="208" spans="1:17" ht="22.5" x14ac:dyDescent="0.25">
      <c r="A208" s="11" t="s">
        <v>3751</v>
      </c>
      <c r="B208" s="13" t="s">
        <v>93</v>
      </c>
      <c r="C208" s="16" t="s">
        <v>199</v>
      </c>
      <c r="D208" s="13" t="s">
        <v>92</v>
      </c>
      <c r="E208" s="14" t="s">
        <v>112</v>
      </c>
      <c r="F208" s="14" t="s">
        <v>11</v>
      </c>
      <c r="G208" s="13"/>
      <c r="H208" s="14">
        <f t="shared" si="4"/>
        <v>3</v>
      </c>
      <c r="I208" s="14">
        <v>3</v>
      </c>
      <c r="J208" s="14">
        <v>3</v>
      </c>
      <c r="K208" s="13" t="s">
        <v>3953</v>
      </c>
      <c r="L208" s="15" t="s">
        <v>110</v>
      </c>
      <c r="M208" s="15">
        <v>877</v>
      </c>
      <c r="N208" s="15">
        <v>110</v>
      </c>
      <c r="O208" s="15">
        <v>487700</v>
      </c>
      <c r="P208" s="15">
        <v>111000</v>
      </c>
      <c r="Q208" s="15"/>
    </row>
    <row r="209" spans="1:17" ht="45" x14ac:dyDescent="0.25">
      <c r="A209" s="11" t="s">
        <v>3751</v>
      </c>
      <c r="B209" s="13" t="s">
        <v>93</v>
      </c>
      <c r="C209" s="16" t="s">
        <v>3951</v>
      </c>
      <c r="D209" s="13" t="s">
        <v>3950</v>
      </c>
      <c r="E209" s="13" t="s">
        <v>205</v>
      </c>
      <c r="F209" s="14" t="s">
        <v>11</v>
      </c>
      <c r="G209" s="13">
        <v>8</v>
      </c>
      <c r="H209" s="14">
        <f t="shared" si="4"/>
        <v>11</v>
      </c>
      <c r="I209" s="14">
        <v>3</v>
      </c>
      <c r="J209" s="14">
        <v>8</v>
      </c>
      <c r="K209" s="13" t="s">
        <v>4549</v>
      </c>
      <c r="L209" s="15" t="s">
        <v>108</v>
      </c>
      <c r="M209" s="15">
        <v>3303</v>
      </c>
      <c r="N209" s="15">
        <v>477</v>
      </c>
      <c r="O209" s="15">
        <v>533030</v>
      </c>
      <c r="P209" s="15">
        <v>104770</v>
      </c>
      <c r="Q209" s="15"/>
    </row>
    <row r="210" spans="1:17" ht="45" x14ac:dyDescent="0.25">
      <c r="A210" s="11" t="s">
        <v>3751</v>
      </c>
      <c r="B210" s="13" t="s">
        <v>1731</v>
      </c>
      <c r="C210" s="16" t="s">
        <v>4222</v>
      </c>
      <c r="D210" s="13" t="s">
        <v>4221</v>
      </c>
      <c r="E210" s="13" t="s">
        <v>4223</v>
      </c>
      <c r="F210" s="14" t="s">
        <v>11</v>
      </c>
      <c r="G210" s="13"/>
      <c r="H210" s="14">
        <f>G210+I210</f>
        <v>1</v>
      </c>
      <c r="I210" s="14">
        <v>1</v>
      </c>
      <c r="J210" s="14">
        <v>1</v>
      </c>
      <c r="K210" s="13" t="s">
        <v>1583</v>
      </c>
      <c r="L210" s="15" t="s">
        <v>218</v>
      </c>
      <c r="M210" s="15">
        <v>3555</v>
      </c>
      <c r="N210" s="15">
        <v>5381</v>
      </c>
      <c r="O210" s="15">
        <v>435550</v>
      </c>
      <c r="P210" s="15">
        <v>553810</v>
      </c>
      <c r="Q210" s="15"/>
    </row>
    <row r="211" spans="1:17" ht="33.75" x14ac:dyDescent="0.25">
      <c r="A211" s="11" t="s">
        <v>3751</v>
      </c>
      <c r="B211" s="13" t="s">
        <v>50</v>
      </c>
      <c r="C211" s="16" t="s">
        <v>390</v>
      </c>
      <c r="D211" s="13" t="s">
        <v>3937</v>
      </c>
      <c r="E211" s="13" t="s">
        <v>391</v>
      </c>
      <c r="F211" s="14" t="s">
        <v>11</v>
      </c>
      <c r="G211" s="13"/>
      <c r="H211" s="14">
        <f t="shared" si="4"/>
        <v>4</v>
      </c>
      <c r="I211" s="14">
        <v>4</v>
      </c>
      <c r="J211" s="14">
        <v>4</v>
      </c>
      <c r="K211" s="13" t="s">
        <v>4016</v>
      </c>
      <c r="L211" s="15" t="s">
        <v>111</v>
      </c>
      <c r="M211" s="15">
        <v>28313</v>
      </c>
      <c r="N211" s="15">
        <v>62000</v>
      </c>
      <c r="O211" s="15">
        <v>428313</v>
      </c>
      <c r="P211" s="15">
        <v>262000</v>
      </c>
      <c r="Q211" s="15"/>
    </row>
    <row r="212" spans="1:17" x14ac:dyDescent="0.25">
      <c r="A212" s="11" t="s">
        <v>3751</v>
      </c>
      <c r="B212" s="13" t="s">
        <v>50</v>
      </c>
      <c r="C212" s="16" t="s">
        <v>3805</v>
      </c>
      <c r="D212" s="13" t="s">
        <v>1207</v>
      </c>
      <c r="E212" s="13" t="s">
        <v>3806</v>
      </c>
      <c r="F212" s="14" t="s">
        <v>11</v>
      </c>
      <c r="G212" s="13"/>
      <c r="H212" s="14">
        <f>G212+I212</f>
        <v>1</v>
      </c>
      <c r="I212" s="14">
        <v>1</v>
      </c>
      <c r="J212" s="14">
        <v>1</v>
      </c>
      <c r="K212" s="13" t="s">
        <v>74</v>
      </c>
      <c r="L212" s="15" t="s">
        <v>111</v>
      </c>
      <c r="M212" s="15">
        <v>214</v>
      </c>
      <c r="N212" s="15">
        <v>382</v>
      </c>
      <c r="O212" s="15">
        <v>421400</v>
      </c>
      <c r="P212" s="15">
        <v>238200</v>
      </c>
      <c r="Q212" s="15"/>
    </row>
    <row r="213" spans="1:17" ht="22.5" x14ac:dyDescent="0.25">
      <c r="A213" s="11" t="s">
        <v>3751</v>
      </c>
      <c r="B213" s="13" t="s">
        <v>24</v>
      </c>
      <c r="C213" s="16" t="s">
        <v>4008</v>
      </c>
      <c r="D213" s="13" t="s">
        <v>4005</v>
      </c>
      <c r="E213" s="14" t="s">
        <v>21</v>
      </c>
      <c r="F213" s="14" t="s">
        <v>11</v>
      </c>
      <c r="G213" s="13"/>
      <c r="H213" s="14">
        <f>G213+I213</f>
        <v>1</v>
      </c>
      <c r="I213" s="14">
        <v>1</v>
      </c>
      <c r="J213" s="14">
        <v>1</v>
      </c>
      <c r="K213" s="13" t="s">
        <v>1396</v>
      </c>
      <c r="L213" s="15" t="s">
        <v>110</v>
      </c>
      <c r="M213" s="15">
        <v>1124</v>
      </c>
      <c r="N213" s="15">
        <v>6340</v>
      </c>
      <c r="O213" s="15">
        <v>411240</v>
      </c>
      <c r="P213" s="15">
        <v>163400</v>
      </c>
      <c r="Q213" s="15"/>
    </row>
    <row r="214" spans="1:17" ht="22.5" x14ac:dyDescent="0.25">
      <c r="A214" s="11" t="s">
        <v>3751</v>
      </c>
      <c r="B214" s="13" t="s">
        <v>24</v>
      </c>
      <c r="C214" s="16" t="s">
        <v>23</v>
      </c>
      <c r="D214" s="13" t="s">
        <v>124</v>
      </c>
      <c r="E214" s="14" t="s">
        <v>21</v>
      </c>
      <c r="F214" s="14" t="s">
        <v>11</v>
      </c>
      <c r="G214" s="13">
        <v>16</v>
      </c>
      <c r="H214" s="14">
        <f t="shared" si="4"/>
        <v>34</v>
      </c>
      <c r="I214" s="14">
        <v>18</v>
      </c>
      <c r="J214" s="14">
        <v>22</v>
      </c>
      <c r="K214" s="13" t="s">
        <v>4461</v>
      </c>
      <c r="L214" s="15" t="s">
        <v>110</v>
      </c>
      <c r="M214" s="15">
        <v>1026</v>
      </c>
      <c r="N214" s="15">
        <v>6996</v>
      </c>
      <c r="O214" s="15">
        <v>410260</v>
      </c>
      <c r="P214" s="15">
        <v>169960</v>
      </c>
      <c r="Q214" s="15"/>
    </row>
    <row r="215" spans="1:17" x14ac:dyDescent="0.25">
      <c r="A215" s="11" t="s">
        <v>3751</v>
      </c>
      <c r="B215" s="13" t="s">
        <v>24</v>
      </c>
      <c r="C215" s="16" t="s">
        <v>2174</v>
      </c>
      <c r="D215" s="13" t="s">
        <v>2843</v>
      </c>
      <c r="E215" s="14" t="s">
        <v>23</v>
      </c>
      <c r="F215" s="14" t="s">
        <v>11</v>
      </c>
      <c r="G215" s="13"/>
      <c r="H215" s="14">
        <f t="shared" si="4"/>
        <v>2</v>
      </c>
      <c r="I215" s="14">
        <v>2</v>
      </c>
      <c r="J215" s="14">
        <v>2</v>
      </c>
      <c r="K215" s="13" t="s">
        <v>4306</v>
      </c>
      <c r="L215" s="15" t="s">
        <v>110</v>
      </c>
      <c r="M215" s="15">
        <v>1026</v>
      </c>
      <c r="N215" s="15">
        <v>6996</v>
      </c>
      <c r="O215" s="15">
        <v>410260</v>
      </c>
      <c r="P215" s="15">
        <v>169960</v>
      </c>
      <c r="Q215" s="15"/>
    </row>
    <row r="216" spans="1:17" x14ac:dyDescent="0.25">
      <c r="A216" s="11" t="s">
        <v>3751</v>
      </c>
      <c r="B216" s="13" t="s">
        <v>24</v>
      </c>
      <c r="C216" s="16" t="s">
        <v>2175</v>
      </c>
      <c r="D216" s="13" t="s">
        <v>2843</v>
      </c>
      <c r="E216" s="14" t="s">
        <v>23</v>
      </c>
      <c r="F216" s="14" t="s">
        <v>11</v>
      </c>
      <c r="G216" s="13"/>
      <c r="H216" s="14">
        <f t="shared" si="4"/>
        <v>1</v>
      </c>
      <c r="I216" s="14">
        <v>1</v>
      </c>
      <c r="J216" s="14">
        <v>1</v>
      </c>
      <c r="K216" s="13" t="s">
        <v>1673</v>
      </c>
      <c r="L216" s="15" t="s">
        <v>110</v>
      </c>
      <c r="M216" s="15">
        <v>1026</v>
      </c>
      <c r="N216" s="15">
        <v>6996</v>
      </c>
      <c r="O216" s="15">
        <v>410260</v>
      </c>
      <c r="P216" s="15">
        <v>169960</v>
      </c>
      <c r="Q216" s="15"/>
    </row>
    <row r="217" spans="1:17" x14ac:dyDescent="0.25">
      <c r="A217" s="11" t="s">
        <v>3751</v>
      </c>
      <c r="B217" s="13" t="s">
        <v>24</v>
      </c>
      <c r="C217" s="16" t="s">
        <v>146</v>
      </c>
      <c r="D217" s="13" t="s">
        <v>26</v>
      </c>
      <c r="E217" s="14" t="s">
        <v>21</v>
      </c>
      <c r="F217" s="14" t="s">
        <v>11</v>
      </c>
      <c r="G217" s="13">
        <v>1</v>
      </c>
      <c r="H217" s="14">
        <f t="shared" si="4"/>
        <v>1</v>
      </c>
      <c r="J217" s="14">
        <v>1</v>
      </c>
      <c r="K217" s="13" t="s">
        <v>958</v>
      </c>
      <c r="L217" s="15" t="s">
        <v>110</v>
      </c>
      <c r="M217" s="15">
        <v>66</v>
      </c>
      <c r="N217" s="15">
        <v>677</v>
      </c>
      <c r="O217" s="15">
        <v>406600</v>
      </c>
      <c r="P217" s="15">
        <v>167700</v>
      </c>
      <c r="Q217" s="15"/>
    </row>
    <row r="218" spans="1:17" x14ac:dyDescent="0.25">
      <c r="A218" s="11" t="s">
        <v>3751</v>
      </c>
      <c r="B218" s="13" t="s">
        <v>24</v>
      </c>
      <c r="C218" s="16" t="s">
        <v>1171</v>
      </c>
      <c r="D218" s="13" t="s">
        <v>18</v>
      </c>
      <c r="E218" s="14" t="s">
        <v>21</v>
      </c>
      <c r="F218" s="14" t="s">
        <v>11</v>
      </c>
      <c r="G218" s="13"/>
      <c r="H218" s="14">
        <f t="shared" si="4"/>
        <v>1</v>
      </c>
      <c r="I218" s="14">
        <v>1</v>
      </c>
      <c r="J218" s="14">
        <v>1</v>
      </c>
      <c r="K218" s="13" t="s">
        <v>4364</v>
      </c>
      <c r="L218" s="15" t="s">
        <v>110</v>
      </c>
      <c r="M218" s="15">
        <v>134</v>
      </c>
      <c r="N218" s="15">
        <v>416</v>
      </c>
      <c r="O218" s="15">
        <v>413400</v>
      </c>
      <c r="P218" s="15">
        <v>141600</v>
      </c>
      <c r="Q218" s="15"/>
    </row>
    <row r="219" spans="1:17" ht="22.5" x14ac:dyDescent="0.25">
      <c r="A219" s="11" t="s">
        <v>3751</v>
      </c>
      <c r="B219" s="13" t="s">
        <v>24</v>
      </c>
      <c r="C219" s="16" t="s">
        <v>3918</v>
      </c>
      <c r="D219" s="13" t="s">
        <v>19</v>
      </c>
      <c r="E219" s="13" t="s">
        <v>3919</v>
      </c>
      <c r="F219" s="14" t="s">
        <v>11</v>
      </c>
      <c r="G219" s="13"/>
      <c r="H219" s="14">
        <f>G219+I219</f>
        <v>4</v>
      </c>
      <c r="I219" s="14">
        <v>4</v>
      </c>
      <c r="J219" s="14">
        <v>2</v>
      </c>
      <c r="K219" s="13" t="s">
        <v>3930</v>
      </c>
      <c r="L219" s="15" t="s">
        <v>110</v>
      </c>
      <c r="M219" s="15">
        <v>2633</v>
      </c>
      <c r="N219" s="15">
        <v>6259</v>
      </c>
      <c r="O219" s="15">
        <v>426330</v>
      </c>
      <c r="P219" s="15">
        <v>162590</v>
      </c>
      <c r="Q219" s="15"/>
    </row>
    <row r="220" spans="1:17" ht="33.75" x14ac:dyDescent="0.25">
      <c r="A220" s="11" t="s">
        <v>3751</v>
      </c>
      <c r="B220" s="13" t="s">
        <v>24</v>
      </c>
      <c r="C220" s="16" t="s">
        <v>3245</v>
      </c>
      <c r="D220" s="13" t="s">
        <v>3847</v>
      </c>
      <c r="E220" s="14" t="s">
        <v>3246</v>
      </c>
      <c r="F220" s="14" t="s">
        <v>11</v>
      </c>
      <c r="G220" s="13"/>
      <c r="H220" s="14">
        <f t="shared" si="4"/>
        <v>1</v>
      </c>
      <c r="I220" s="14">
        <v>1</v>
      </c>
      <c r="J220" s="14">
        <v>1</v>
      </c>
      <c r="K220" s="13" t="s">
        <v>193</v>
      </c>
      <c r="L220" s="15" t="s">
        <v>110</v>
      </c>
      <c r="M220" s="15">
        <v>180</v>
      </c>
      <c r="N220" s="15">
        <v>215</v>
      </c>
      <c r="O220" s="15">
        <v>418000</v>
      </c>
      <c r="P220" s="15">
        <v>121500</v>
      </c>
      <c r="Q220" s="15"/>
    </row>
    <row r="221" spans="1:17" ht="22.5" x14ac:dyDescent="0.25">
      <c r="A221" s="11" t="s">
        <v>3751</v>
      </c>
      <c r="B221" s="13" t="s">
        <v>24</v>
      </c>
      <c r="C221" s="16" t="s">
        <v>15</v>
      </c>
      <c r="D221" s="13" t="s">
        <v>4522</v>
      </c>
      <c r="E221" s="14" t="s">
        <v>21</v>
      </c>
      <c r="F221" s="14" t="s">
        <v>11</v>
      </c>
      <c r="G221" s="13">
        <v>11</v>
      </c>
      <c r="H221" s="14">
        <f t="shared" si="4"/>
        <v>19</v>
      </c>
      <c r="I221" s="14">
        <v>8</v>
      </c>
      <c r="J221" s="14">
        <v>15</v>
      </c>
      <c r="K221" s="13" t="s">
        <v>4544</v>
      </c>
      <c r="L221" s="15" t="s">
        <v>110</v>
      </c>
      <c r="M221" s="15">
        <v>1501</v>
      </c>
      <c r="N221" s="15">
        <v>4375</v>
      </c>
      <c r="O221" s="15">
        <v>415010</v>
      </c>
      <c r="P221" s="15">
        <v>143750</v>
      </c>
      <c r="Q221" s="15"/>
    </row>
    <row r="222" spans="1:17" x14ac:dyDescent="0.25">
      <c r="A222" s="11" t="s">
        <v>3751</v>
      </c>
      <c r="B222" s="13" t="s">
        <v>24</v>
      </c>
      <c r="C222" s="16" t="s">
        <v>3843</v>
      </c>
      <c r="D222" s="13" t="s">
        <v>1207</v>
      </c>
      <c r="E222" s="14" t="s">
        <v>21</v>
      </c>
      <c r="F222" s="14" t="s">
        <v>11</v>
      </c>
      <c r="G222" s="13"/>
      <c r="H222" s="14">
        <f>G222+I222</f>
        <v>1</v>
      </c>
      <c r="I222" s="14">
        <v>1</v>
      </c>
      <c r="J222" s="14">
        <v>1</v>
      </c>
      <c r="K222" s="13" t="s">
        <v>193</v>
      </c>
      <c r="L222" s="15" t="s">
        <v>110</v>
      </c>
      <c r="M222" s="15">
        <v>1501</v>
      </c>
      <c r="N222" s="15">
        <v>4375</v>
      </c>
      <c r="O222" s="15">
        <v>415010</v>
      </c>
      <c r="P222" s="15">
        <v>143750</v>
      </c>
      <c r="Q222" s="15"/>
    </row>
    <row r="223" spans="1:17" ht="22.5" x14ac:dyDescent="0.25">
      <c r="A223" s="11" t="s">
        <v>3751</v>
      </c>
      <c r="B223" s="13" t="s">
        <v>24</v>
      </c>
      <c r="C223" s="16" t="s">
        <v>2174</v>
      </c>
      <c r="D223" s="13" t="s">
        <v>3809</v>
      </c>
      <c r="E223" s="13" t="s">
        <v>15</v>
      </c>
      <c r="F223" s="14" t="s">
        <v>11</v>
      </c>
      <c r="G223" s="13"/>
      <c r="H223" s="14">
        <f t="shared" si="4"/>
        <v>2</v>
      </c>
      <c r="I223" s="14">
        <v>2</v>
      </c>
      <c r="J223" s="14">
        <v>2</v>
      </c>
      <c r="K223" s="13" t="s">
        <v>4237</v>
      </c>
      <c r="L223" s="15" t="s">
        <v>110</v>
      </c>
      <c r="M223" s="15">
        <v>1501</v>
      </c>
      <c r="N223" s="15">
        <v>4375</v>
      </c>
      <c r="O223" s="15">
        <v>415010</v>
      </c>
      <c r="P223" s="15">
        <v>143750</v>
      </c>
      <c r="Q223" s="15"/>
    </row>
    <row r="224" spans="1:17" ht="22.5" x14ac:dyDescent="0.25">
      <c r="A224" s="11" t="s">
        <v>3751</v>
      </c>
      <c r="B224" s="13" t="s">
        <v>24</v>
      </c>
      <c r="C224" s="16" t="s">
        <v>2175</v>
      </c>
      <c r="D224" s="13" t="s">
        <v>3809</v>
      </c>
      <c r="E224" s="13" t="s">
        <v>15</v>
      </c>
      <c r="F224" s="14" t="s">
        <v>11</v>
      </c>
      <c r="G224" s="13"/>
      <c r="H224" s="14">
        <f t="shared" si="4"/>
        <v>4</v>
      </c>
      <c r="I224" s="14">
        <v>4</v>
      </c>
      <c r="J224" s="14">
        <v>2</v>
      </c>
      <c r="K224" s="13" t="s">
        <v>4238</v>
      </c>
      <c r="L224" s="15" t="s">
        <v>110</v>
      </c>
      <c r="M224" s="15">
        <v>1501</v>
      </c>
      <c r="N224" s="15">
        <v>4375</v>
      </c>
      <c r="O224" s="15">
        <v>415010</v>
      </c>
      <c r="P224" s="15">
        <v>143750</v>
      </c>
      <c r="Q224" s="15"/>
    </row>
    <row r="225" spans="1:17" x14ac:dyDescent="0.25">
      <c r="A225" s="11" t="s">
        <v>3751</v>
      </c>
      <c r="B225" s="13" t="s">
        <v>24</v>
      </c>
      <c r="C225" s="16" t="s">
        <v>3771</v>
      </c>
      <c r="D225" s="13" t="s">
        <v>26</v>
      </c>
      <c r="E225" s="14" t="s">
        <v>21</v>
      </c>
      <c r="F225" s="14" t="s">
        <v>11</v>
      </c>
      <c r="G225" s="13">
        <v>1</v>
      </c>
      <c r="H225" s="14">
        <f>G225+I225</f>
        <v>1</v>
      </c>
      <c r="J225" s="14">
        <v>1</v>
      </c>
      <c r="K225" s="13" t="s">
        <v>958</v>
      </c>
      <c r="L225" s="15" t="s">
        <v>110</v>
      </c>
      <c r="M225" s="15">
        <v>1163</v>
      </c>
      <c r="N225" s="15">
        <v>6685</v>
      </c>
      <c r="O225" s="15">
        <v>411630</v>
      </c>
      <c r="P225" s="15">
        <v>166850</v>
      </c>
      <c r="Q225" s="15"/>
    </row>
    <row r="226" spans="1:17" x14ac:dyDescent="0.25">
      <c r="A226" s="11" t="s">
        <v>3751</v>
      </c>
      <c r="B226" s="13" t="s">
        <v>24</v>
      </c>
      <c r="C226" s="16" t="s">
        <v>4422</v>
      </c>
      <c r="D226" s="13" t="s">
        <v>4423</v>
      </c>
      <c r="E226" s="14" t="s">
        <v>21</v>
      </c>
      <c r="F226" s="14" t="s">
        <v>11</v>
      </c>
      <c r="G226" s="13">
        <v>1</v>
      </c>
      <c r="H226" s="14">
        <f>G226+I226</f>
        <v>1</v>
      </c>
      <c r="J226" s="14">
        <v>1</v>
      </c>
      <c r="K226" s="13" t="s">
        <v>3189</v>
      </c>
      <c r="L226" s="15" t="s">
        <v>119</v>
      </c>
      <c r="M226" s="15">
        <v>879</v>
      </c>
      <c r="N226" s="15">
        <v>304</v>
      </c>
      <c r="O226" s="15">
        <v>387900</v>
      </c>
      <c r="P226" s="15">
        <v>130400</v>
      </c>
      <c r="Q226" s="15"/>
    </row>
    <row r="227" spans="1:17" ht="22.5" x14ac:dyDescent="0.25">
      <c r="A227" s="11" t="s">
        <v>3751</v>
      </c>
      <c r="B227" s="13" t="s">
        <v>24</v>
      </c>
      <c r="C227" s="16" t="s">
        <v>691</v>
      </c>
      <c r="D227" s="13" t="s">
        <v>854</v>
      </c>
      <c r="E227" s="14" t="s">
        <v>21</v>
      </c>
      <c r="F227" s="14" t="s">
        <v>11</v>
      </c>
      <c r="G227" s="13">
        <v>1</v>
      </c>
      <c r="H227" s="14">
        <f t="shared" si="4"/>
        <v>2</v>
      </c>
      <c r="I227" s="14">
        <v>1</v>
      </c>
      <c r="J227" s="14">
        <v>2</v>
      </c>
      <c r="K227" s="13" t="s">
        <v>4389</v>
      </c>
      <c r="L227" s="15" t="s">
        <v>110</v>
      </c>
      <c r="M227" s="15">
        <v>2342</v>
      </c>
      <c r="N227" s="15">
        <v>3579</v>
      </c>
      <c r="O227" s="15">
        <v>423420</v>
      </c>
      <c r="P227" s="15">
        <v>135790</v>
      </c>
      <c r="Q227" s="15"/>
    </row>
    <row r="228" spans="1:17" x14ac:dyDescent="0.25">
      <c r="A228" s="11" t="s">
        <v>3751</v>
      </c>
      <c r="B228" s="13" t="s">
        <v>24</v>
      </c>
      <c r="C228" s="16" t="s">
        <v>997</v>
      </c>
      <c r="D228" s="13" t="s">
        <v>26</v>
      </c>
      <c r="E228" s="14" t="s">
        <v>21</v>
      </c>
      <c r="F228" s="14" t="s">
        <v>11</v>
      </c>
      <c r="G228" s="13"/>
      <c r="H228" s="14">
        <f t="shared" si="4"/>
        <v>4</v>
      </c>
      <c r="I228" s="14">
        <v>4</v>
      </c>
      <c r="J228" s="14">
        <v>4</v>
      </c>
      <c r="K228" s="13" t="s">
        <v>4025</v>
      </c>
      <c r="L228" s="15" t="s">
        <v>110</v>
      </c>
      <c r="M228" s="15">
        <v>1918</v>
      </c>
      <c r="N228" s="15">
        <v>3247</v>
      </c>
      <c r="O228" s="15">
        <v>419180</v>
      </c>
      <c r="P228" s="15">
        <v>132470</v>
      </c>
      <c r="Q228" s="15"/>
    </row>
    <row r="229" spans="1:17" x14ac:dyDescent="0.25">
      <c r="A229" s="11" t="s">
        <v>3751</v>
      </c>
      <c r="B229" s="13" t="s">
        <v>24</v>
      </c>
      <c r="C229" s="16" t="s">
        <v>3768</v>
      </c>
      <c r="D229" s="13" t="s">
        <v>39</v>
      </c>
      <c r="E229" s="14" t="s">
        <v>21</v>
      </c>
      <c r="F229" s="14" t="s">
        <v>11</v>
      </c>
      <c r="G229" s="13">
        <v>1</v>
      </c>
      <c r="H229" s="14">
        <f>G229+I229</f>
        <v>1</v>
      </c>
      <c r="J229" s="14">
        <v>1</v>
      </c>
      <c r="K229" s="13" t="s">
        <v>958</v>
      </c>
      <c r="L229" s="15" t="s">
        <v>110</v>
      </c>
      <c r="M229" s="15">
        <v>118</v>
      </c>
      <c r="N229" s="15">
        <v>693</v>
      </c>
      <c r="O229" s="15">
        <v>411800</v>
      </c>
      <c r="P229" s="15">
        <v>169300</v>
      </c>
      <c r="Q229" s="15"/>
    </row>
    <row r="230" spans="1:17" x14ac:dyDescent="0.25">
      <c r="A230" s="11" t="s">
        <v>3751</v>
      </c>
      <c r="B230" s="13" t="s">
        <v>24</v>
      </c>
      <c r="C230" s="16" t="s">
        <v>89</v>
      </c>
      <c r="D230" s="13" t="s">
        <v>90</v>
      </c>
      <c r="E230" s="14" t="s">
        <v>21</v>
      </c>
      <c r="F230" s="14" t="s">
        <v>11</v>
      </c>
      <c r="G230" s="13">
        <v>2</v>
      </c>
      <c r="H230" s="14">
        <f t="shared" si="4"/>
        <v>2</v>
      </c>
      <c r="J230" s="14">
        <v>1</v>
      </c>
      <c r="K230" s="13" t="s">
        <v>958</v>
      </c>
      <c r="L230" s="15" t="s">
        <v>110</v>
      </c>
      <c r="M230" s="15">
        <v>685</v>
      </c>
      <c r="N230" s="15">
        <v>6733</v>
      </c>
      <c r="O230" s="15">
        <v>406850</v>
      </c>
      <c r="P230" s="15">
        <v>167330</v>
      </c>
      <c r="Q230" s="15"/>
    </row>
    <row r="231" spans="1:17" x14ac:dyDescent="0.25">
      <c r="A231" s="11" t="s">
        <v>3751</v>
      </c>
      <c r="B231" s="13" t="s">
        <v>24</v>
      </c>
      <c r="C231" s="16" t="s">
        <v>268</v>
      </c>
      <c r="D231" s="13" t="s">
        <v>26</v>
      </c>
      <c r="E231" s="14" t="s">
        <v>21</v>
      </c>
      <c r="F231" s="14" t="s">
        <v>11</v>
      </c>
      <c r="G231" s="13">
        <v>2</v>
      </c>
      <c r="H231" s="14">
        <f t="shared" si="4"/>
        <v>2</v>
      </c>
      <c r="J231" s="14">
        <v>1</v>
      </c>
      <c r="K231" s="13" t="s">
        <v>958</v>
      </c>
      <c r="L231" s="15" t="s">
        <v>110</v>
      </c>
      <c r="M231" s="15">
        <v>86</v>
      </c>
      <c r="N231" s="15">
        <v>705</v>
      </c>
      <c r="O231" s="15">
        <v>408600</v>
      </c>
      <c r="P231" s="15">
        <v>170500</v>
      </c>
      <c r="Q231" s="15"/>
    </row>
    <row r="232" spans="1:17" ht="22.5" x14ac:dyDescent="0.25">
      <c r="A232" s="11" t="s">
        <v>3751</v>
      </c>
      <c r="B232" s="13" t="s">
        <v>24</v>
      </c>
      <c r="C232" s="16" t="s">
        <v>987</v>
      </c>
      <c r="D232" s="13" t="s">
        <v>540</v>
      </c>
      <c r="E232" s="14" t="s">
        <v>21</v>
      </c>
      <c r="F232" s="14" t="s">
        <v>11</v>
      </c>
      <c r="G232" s="13">
        <v>1</v>
      </c>
      <c r="H232" s="14">
        <f t="shared" si="4"/>
        <v>2</v>
      </c>
      <c r="I232" s="14">
        <v>1</v>
      </c>
      <c r="J232" s="14">
        <v>2</v>
      </c>
      <c r="K232" s="13" t="s">
        <v>4369</v>
      </c>
      <c r="L232" s="15" t="s">
        <v>110</v>
      </c>
      <c r="M232" s="15">
        <v>137</v>
      </c>
      <c r="N232" s="15">
        <v>423</v>
      </c>
      <c r="O232" s="15">
        <v>413700</v>
      </c>
      <c r="P232" s="15">
        <v>142300</v>
      </c>
      <c r="Q232" s="15"/>
    </row>
    <row r="233" spans="1:17" ht="22.5" x14ac:dyDescent="0.25">
      <c r="A233" s="11" t="s">
        <v>3751</v>
      </c>
      <c r="B233" s="13" t="s">
        <v>24</v>
      </c>
      <c r="C233" s="16" t="s">
        <v>88</v>
      </c>
      <c r="D233" s="13" t="s">
        <v>19</v>
      </c>
      <c r="E233" s="14" t="s">
        <v>21</v>
      </c>
      <c r="F233" s="14" t="s">
        <v>11</v>
      </c>
      <c r="G233" s="13"/>
      <c r="H233" s="14">
        <f t="shared" si="4"/>
        <v>5</v>
      </c>
      <c r="I233" s="14">
        <v>5</v>
      </c>
      <c r="J233" s="14">
        <v>4</v>
      </c>
      <c r="K233" s="13" t="s">
        <v>3932</v>
      </c>
      <c r="L233" s="15" t="s">
        <v>110</v>
      </c>
      <c r="M233" s="15">
        <v>1210</v>
      </c>
      <c r="N233" s="15">
        <v>6365</v>
      </c>
      <c r="O233" s="15">
        <v>412100</v>
      </c>
      <c r="P233" s="15">
        <v>163650</v>
      </c>
      <c r="Q233" s="15"/>
    </row>
    <row r="234" spans="1:17" x14ac:dyDescent="0.25">
      <c r="A234" s="11" t="s">
        <v>3751</v>
      </c>
      <c r="B234" s="13" t="s">
        <v>24</v>
      </c>
      <c r="C234" s="16" t="s">
        <v>341</v>
      </c>
      <c r="D234" s="13" t="s">
        <v>26</v>
      </c>
      <c r="E234" s="14" t="s">
        <v>21</v>
      </c>
      <c r="F234" s="14" t="s">
        <v>11</v>
      </c>
      <c r="G234" s="13"/>
      <c r="H234" s="14">
        <f t="shared" si="4"/>
        <v>7</v>
      </c>
      <c r="I234" s="14">
        <v>7</v>
      </c>
      <c r="J234" s="14">
        <v>5</v>
      </c>
      <c r="K234" s="13" t="s">
        <v>4024</v>
      </c>
      <c r="L234" s="15" t="s">
        <v>119</v>
      </c>
      <c r="M234" s="15">
        <v>8773</v>
      </c>
      <c r="N234" s="15">
        <v>7472</v>
      </c>
      <c r="O234" s="15">
        <v>387730</v>
      </c>
      <c r="P234" s="15">
        <v>174720</v>
      </c>
      <c r="Q234" s="15"/>
    </row>
    <row r="235" spans="1:17" ht="25.5" x14ac:dyDescent="0.25">
      <c r="A235" s="11" t="s">
        <v>3751</v>
      </c>
      <c r="B235" s="13" t="s">
        <v>24</v>
      </c>
      <c r="C235" s="16" t="s">
        <v>4000</v>
      </c>
      <c r="D235" s="13" t="s">
        <v>26</v>
      </c>
      <c r="E235" s="14" t="s">
        <v>21</v>
      </c>
      <c r="F235" s="14" t="s">
        <v>11</v>
      </c>
      <c r="G235" s="13"/>
      <c r="H235" s="14">
        <f>G235+I235</f>
        <v>5</v>
      </c>
      <c r="I235" s="14">
        <v>5</v>
      </c>
      <c r="J235" s="14">
        <v>4</v>
      </c>
      <c r="K235" s="13" t="s">
        <v>4061</v>
      </c>
      <c r="L235" s="15" t="s">
        <v>119</v>
      </c>
      <c r="M235" s="15">
        <v>823</v>
      </c>
      <c r="N235" s="15">
        <v>830</v>
      </c>
      <c r="O235" s="15">
        <v>382300</v>
      </c>
      <c r="P235" s="15">
        <v>183000</v>
      </c>
      <c r="Q235" s="15"/>
    </row>
    <row r="236" spans="1:17" ht="33.75" x14ac:dyDescent="0.25">
      <c r="A236" s="11" t="s">
        <v>3751</v>
      </c>
      <c r="B236" s="13" t="s">
        <v>24</v>
      </c>
      <c r="C236" s="16" t="s">
        <v>403</v>
      </c>
      <c r="D236" s="13" t="s">
        <v>3887</v>
      </c>
      <c r="E236" s="14" t="s">
        <v>21</v>
      </c>
      <c r="F236" s="14" t="s">
        <v>11</v>
      </c>
      <c r="G236" s="13">
        <v>3</v>
      </c>
      <c r="H236" s="14">
        <f t="shared" si="4"/>
        <v>9</v>
      </c>
      <c r="I236" s="14">
        <v>6</v>
      </c>
      <c r="J236" s="14">
        <v>7</v>
      </c>
      <c r="K236" s="13" t="s">
        <v>4242</v>
      </c>
      <c r="L236" s="15" t="s">
        <v>110</v>
      </c>
      <c r="M236" s="15">
        <v>908</v>
      </c>
      <c r="N236" s="15">
        <v>5820</v>
      </c>
      <c r="O236" s="15">
        <v>409080</v>
      </c>
      <c r="P236" s="15">
        <v>158200</v>
      </c>
      <c r="Q236" s="15"/>
    </row>
    <row r="237" spans="1:17" x14ac:dyDescent="0.25">
      <c r="A237" s="11" t="s">
        <v>3751</v>
      </c>
      <c r="B237" s="13" t="s">
        <v>24</v>
      </c>
      <c r="C237" s="16" t="s">
        <v>4208</v>
      </c>
      <c r="D237" s="13" t="s">
        <v>90</v>
      </c>
      <c r="E237" s="14" t="s">
        <v>4209</v>
      </c>
      <c r="F237" s="14" t="s">
        <v>11</v>
      </c>
      <c r="G237" s="13"/>
      <c r="H237" s="14">
        <f>G237+I237</f>
        <v>2</v>
      </c>
      <c r="I237" s="14">
        <v>2</v>
      </c>
      <c r="J237" s="14">
        <v>2</v>
      </c>
      <c r="K237" s="13" t="s">
        <v>4239</v>
      </c>
      <c r="L237" s="15" t="s">
        <v>110</v>
      </c>
      <c r="M237" s="15">
        <v>908</v>
      </c>
      <c r="N237" s="15">
        <v>5820</v>
      </c>
      <c r="O237" s="15">
        <v>409080</v>
      </c>
      <c r="P237" s="15">
        <v>158200</v>
      </c>
      <c r="Q237" s="15"/>
    </row>
    <row r="238" spans="1:17" ht="22.5" x14ac:dyDescent="0.25">
      <c r="A238" s="11" t="s">
        <v>3751</v>
      </c>
      <c r="B238" s="13" t="s">
        <v>24</v>
      </c>
      <c r="C238" s="16" t="s">
        <v>2441</v>
      </c>
      <c r="D238" s="13" t="s">
        <v>125</v>
      </c>
      <c r="E238" s="14" t="s">
        <v>21</v>
      </c>
      <c r="F238" s="14" t="s">
        <v>11</v>
      </c>
      <c r="G238" s="13"/>
      <c r="H238" s="14">
        <f t="shared" si="4"/>
        <v>1</v>
      </c>
      <c r="I238" s="14">
        <v>1</v>
      </c>
      <c r="J238" s="14">
        <v>1</v>
      </c>
      <c r="K238" s="13" t="s">
        <v>1583</v>
      </c>
      <c r="L238" s="15" t="s">
        <v>110</v>
      </c>
      <c r="M238" s="15">
        <v>1837</v>
      </c>
      <c r="N238" s="15">
        <v>6866</v>
      </c>
      <c r="O238" s="15">
        <v>418370</v>
      </c>
      <c r="P238" s="15">
        <v>168660</v>
      </c>
      <c r="Q238" s="15"/>
    </row>
    <row r="239" spans="1:17" ht="25.5" x14ac:dyDescent="0.25">
      <c r="A239" s="11" t="s">
        <v>3751</v>
      </c>
      <c r="B239" s="13" t="s">
        <v>24</v>
      </c>
      <c r="C239" s="16" t="s">
        <v>2267</v>
      </c>
      <c r="D239" s="13" t="s">
        <v>540</v>
      </c>
      <c r="E239" s="14" t="s">
        <v>21</v>
      </c>
      <c r="F239" s="14" t="s">
        <v>11</v>
      </c>
      <c r="G239" s="13"/>
      <c r="H239" s="14">
        <f t="shared" si="4"/>
        <v>1</v>
      </c>
      <c r="I239" s="14">
        <v>1</v>
      </c>
      <c r="J239" s="14">
        <v>1</v>
      </c>
      <c r="K239" s="13" t="s">
        <v>866</v>
      </c>
      <c r="L239" s="15" t="s">
        <v>110</v>
      </c>
      <c r="M239" s="15">
        <v>116</v>
      </c>
      <c r="N239" s="15">
        <v>413</v>
      </c>
      <c r="O239" s="15">
        <v>411600</v>
      </c>
      <c r="P239" s="15">
        <v>141300</v>
      </c>
      <c r="Q239" s="15"/>
    </row>
    <row r="240" spans="1:17" ht="25.5" x14ac:dyDescent="0.25">
      <c r="A240" s="11" t="s">
        <v>3751</v>
      </c>
      <c r="B240" s="13" t="s">
        <v>24</v>
      </c>
      <c r="C240" s="16" t="s">
        <v>3778</v>
      </c>
      <c r="D240" s="13" t="s">
        <v>1278</v>
      </c>
      <c r="E240" s="14" t="s">
        <v>21</v>
      </c>
      <c r="F240" s="14" t="s">
        <v>11</v>
      </c>
      <c r="G240" s="13">
        <v>2</v>
      </c>
      <c r="H240" s="14">
        <f t="shared" si="4"/>
        <v>3</v>
      </c>
      <c r="I240" s="14">
        <v>1</v>
      </c>
      <c r="J240" s="14">
        <v>3</v>
      </c>
      <c r="K240" s="13" t="s">
        <v>4278</v>
      </c>
      <c r="L240" s="15" t="s">
        <v>110</v>
      </c>
      <c r="M240" s="15">
        <v>125</v>
      </c>
      <c r="N240" s="15">
        <v>708</v>
      </c>
      <c r="O240" s="15">
        <v>412500</v>
      </c>
      <c r="P240" s="15">
        <v>170800</v>
      </c>
      <c r="Q240" s="15"/>
    </row>
    <row r="241" spans="1:17" ht="22.5" x14ac:dyDescent="0.25">
      <c r="A241" s="11" t="s">
        <v>3751</v>
      </c>
      <c r="B241" s="13" t="s">
        <v>24</v>
      </c>
      <c r="C241" s="16" t="s">
        <v>16</v>
      </c>
      <c r="D241" s="13" t="s">
        <v>19</v>
      </c>
      <c r="E241" s="14" t="s">
        <v>21</v>
      </c>
      <c r="F241" s="14" t="s">
        <v>11</v>
      </c>
      <c r="G241" s="13">
        <v>4</v>
      </c>
      <c r="H241" s="14">
        <f t="shared" si="4"/>
        <v>8</v>
      </c>
      <c r="I241" s="14">
        <v>4</v>
      </c>
      <c r="J241" s="14">
        <v>4</v>
      </c>
      <c r="K241" s="13" t="s">
        <v>4363</v>
      </c>
      <c r="L241" s="15" t="s">
        <v>110</v>
      </c>
      <c r="M241" s="15">
        <v>1022</v>
      </c>
      <c r="N241" s="15">
        <v>4594</v>
      </c>
      <c r="O241" s="15">
        <v>410220</v>
      </c>
      <c r="P241" s="15">
        <v>145940</v>
      </c>
      <c r="Q241" s="15"/>
    </row>
    <row r="242" spans="1:17" ht="22.5" x14ac:dyDescent="0.25">
      <c r="A242" s="11" t="s">
        <v>3751</v>
      </c>
      <c r="B242" s="13" t="s">
        <v>24</v>
      </c>
      <c r="C242" s="16" t="s">
        <v>1960</v>
      </c>
      <c r="D242" s="13" t="s">
        <v>19</v>
      </c>
      <c r="E242" s="14" t="s">
        <v>21</v>
      </c>
      <c r="F242" s="14" t="s">
        <v>11</v>
      </c>
      <c r="G242" s="13"/>
      <c r="H242" s="14">
        <f>G242+I242</f>
        <v>2</v>
      </c>
      <c r="I242" s="14">
        <v>2</v>
      </c>
      <c r="J242" s="14">
        <v>1</v>
      </c>
      <c r="K242" s="13" t="s">
        <v>338</v>
      </c>
      <c r="L242" s="15" t="s">
        <v>110</v>
      </c>
      <c r="M242" s="15">
        <v>847</v>
      </c>
      <c r="N242" s="15">
        <v>6372</v>
      </c>
      <c r="O242" s="15">
        <v>408470</v>
      </c>
      <c r="P242" s="15">
        <v>163720</v>
      </c>
      <c r="Q242" s="15"/>
    </row>
    <row r="243" spans="1:17" ht="33.75" x14ac:dyDescent="0.25">
      <c r="A243" s="11" t="s">
        <v>3751</v>
      </c>
      <c r="B243" s="13" t="s">
        <v>24</v>
      </c>
      <c r="C243" s="16" t="s">
        <v>122</v>
      </c>
      <c r="D243" s="13" t="s">
        <v>3886</v>
      </c>
      <c r="E243" s="14" t="s">
        <v>21</v>
      </c>
      <c r="F243" s="14" t="s">
        <v>11</v>
      </c>
      <c r="G243" s="13">
        <v>3</v>
      </c>
      <c r="H243" s="14">
        <f t="shared" si="4"/>
        <v>9</v>
      </c>
      <c r="I243" s="14">
        <v>6</v>
      </c>
      <c r="J243" s="14">
        <v>6</v>
      </c>
      <c r="K243" s="13" t="s">
        <v>4277</v>
      </c>
      <c r="L243" s="15" t="s">
        <v>110</v>
      </c>
      <c r="M243" s="15">
        <v>1184</v>
      </c>
      <c r="N243" s="15">
        <v>6802</v>
      </c>
      <c r="O243" s="15">
        <v>411840</v>
      </c>
      <c r="P243" s="15">
        <v>168020</v>
      </c>
      <c r="Q243" s="15"/>
    </row>
    <row r="244" spans="1:17" ht="22.5" x14ac:dyDescent="0.25">
      <c r="A244" s="11" t="s">
        <v>3751</v>
      </c>
      <c r="B244" s="13" t="s">
        <v>24</v>
      </c>
      <c r="C244" s="16" t="s">
        <v>27</v>
      </c>
      <c r="D244" s="13" t="s">
        <v>125</v>
      </c>
      <c r="E244" s="14" t="s">
        <v>21</v>
      </c>
      <c r="F244" s="14" t="s">
        <v>11</v>
      </c>
      <c r="G244" s="13">
        <v>3</v>
      </c>
      <c r="H244" s="14">
        <f t="shared" si="4"/>
        <v>8</v>
      </c>
      <c r="I244" s="14">
        <v>5</v>
      </c>
      <c r="J244" s="14">
        <v>6</v>
      </c>
      <c r="K244" s="13" t="s">
        <v>4339</v>
      </c>
      <c r="L244" s="15" t="s">
        <v>110</v>
      </c>
      <c r="M244" s="15">
        <v>1001</v>
      </c>
      <c r="N244" s="15">
        <v>6853</v>
      </c>
      <c r="O244" s="15">
        <v>410010</v>
      </c>
      <c r="P244" s="15">
        <v>168530</v>
      </c>
      <c r="Q244" s="15"/>
    </row>
    <row r="245" spans="1:17" x14ac:dyDescent="0.25">
      <c r="A245" s="11" t="s">
        <v>3751</v>
      </c>
      <c r="B245" s="13" t="s">
        <v>24</v>
      </c>
      <c r="C245" s="16" t="s">
        <v>60</v>
      </c>
      <c r="D245" s="13" t="s">
        <v>26</v>
      </c>
      <c r="E245" s="14" t="s">
        <v>21</v>
      </c>
      <c r="F245" s="14" t="s">
        <v>11</v>
      </c>
      <c r="G245" s="13">
        <v>4</v>
      </c>
      <c r="H245" s="14">
        <f t="shared" si="4"/>
        <v>9</v>
      </c>
      <c r="I245" s="14">
        <v>5</v>
      </c>
      <c r="J245" s="14">
        <v>6</v>
      </c>
      <c r="K245" s="13" t="s">
        <v>4539</v>
      </c>
      <c r="L245" s="15" t="s">
        <v>110</v>
      </c>
      <c r="M245" s="15">
        <v>900</v>
      </c>
      <c r="N245" s="15">
        <v>6927</v>
      </c>
      <c r="O245" s="15">
        <v>409000</v>
      </c>
      <c r="P245" s="15">
        <v>169270</v>
      </c>
      <c r="Q245" s="15"/>
    </row>
    <row r="246" spans="1:17" ht="22.5" x14ac:dyDescent="0.25">
      <c r="A246" s="11" t="s">
        <v>3751</v>
      </c>
      <c r="B246" s="13" t="s">
        <v>24</v>
      </c>
      <c r="C246" s="16" t="s">
        <v>13</v>
      </c>
      <c r="D246" s="13" t="s">
        <v>511</v>
      </c>
      <c r="E246" s="14" t="s">
        <v>21</v>
      </c>
      <c r="F246" s="14" t="s">
        <v>11</v>
      </c>
      <c r="G246" s="13">
        <v>25</v>
      </c>
      <c r="H246" s="14">
        <f t="shared" si="4"/>
        <v>63</v>
      </c>
      <c r="I246" s="14">
        <v>38</v>
      </c>
      <c r="J246" s="14">
        <v>29</v>
      </c>
      <c r="K246" s="13" t="s">
        <v>4613</v>
      </c>
      <c r="L246" s="15" t="s">
        <v>110</v>
      </c>
      <c r="M246" s="15">
        <v>1224</v>
      </c>
      <c r="N246" s="15">
        <v>4128</v>
      </c>
      <c r="O246" s="15">
        <v>412240</v>
      </c>
      <c r="P246" s="15">
        <v>141280</v>
      </c>
      <c r="Q246" s="15"/>
    </row>
    <row r="247" spans="1:17" ht="22.5" x14ac:dyDescent="0.25">
      <c r="A247" s="11" t="s">
        <v>3751</v>
      </c>
      <c r="B247" s="13" t="s">
        <v>24</v>
      </c>
      <c r="C247" s="16" t="s">
        <v>2221</v>
      </c>
      <c r="D247" s="13" t="s">
        <v>1447</v>
      </c>
      <c r="E247" s="14" t="s">
        <v>21</v>
      </c>
      <c r="F247" s="14" t="s">
        <v>11</v>
      </c>
      <c r="G247" s="13">
        <v>1</v>
      </c>
      <c r="H247" s="14">
        <f t="shared" si="4"/>
        <v>3</v>
      </c>
      <c r="I247" s="14">
        <v>2</v>
      </c>
      <c r="J247" s="14">
        <v>3</v>
      </c>
      <c r="K247" s="13" t="s">
        <v>4254</v>
      </c>
      <c r="L247" s="15" t="s">
        <v>110</v>
      </c>
      <c r="M247" s="15">
        <v>1224</v>
      </c>
      <c r="N247" s="15">
        <v>4128</v>
      </c>
      <c r="O247" s="15">
        <v>412240</v>
      </c>
      <c r="P247" s="15">
        <v>141280</v>
      </c>
      <c r="Q247" s="15"/>
    </row>
    <row r="248" spans="1:17" x14ac:dyDescent="0.25">
      <c r="A248" s="11" t="s">
        <v>3751</v>
      </c>
      <c r="B248" s="13" t="s">
        <v>24</v>
      </c>
      <c r="C248" s="16" t="s">
        <v>13</v>
      </c>
      <c r="D248" s="13" t="s">
        <v>4258</v>
      </c>
      <c r="E248" s="14" t="s">
        <v>21</v>
      </c>
      <c r="F248" s="14" t="s">
        <v>11</v>
      </c>
      <c r="G248" s="13"/>
      <c r="H248" s="14">
        <f>G248+I248</f>
        <v>3</v>
      </c>
      <c r="I248" s="14">
        <v>3</v>
      </c>
      <c r="J248" s="14">
        <v>3</v>
      </c>
      <c r="K248" s="13" t="s">
        <v>4365</v>
      </c>
      <c r="L248" s="15" t="s">
        <v>110</v>
      </c>
      <c r="M248" s="15">
        <v>1224</v>
      </c>
      <c r="N248" s="15">
        <v>4128</v>
      </c>
      <c r="O248" s="15">
        <v>412240</v>
      </c>
      <c r="P248" s="15">
        <v>141280</v>
      </c>
      <c r="Q248" s="15"/>
    </row>
    <row r="249" spans="1:17" x14ac:dyDescent="0.25">
      <c r="A249" s="11" t="s">
        <v>3751</v>
      </c>
      <c r="B249" s="13" t="s">
        <v>24</v>
      </c>
      <c r="C249" s="16" t="s">
        <v>2849</v>
      </c>
      <c r="D249" s="13" t="s">
        <v>1153</v>
      </c>
      <c r="E249" s="14" t="s">
        <v>21</v>
      </c>
      <c r="F249" s="14" t="s">
        <v>11</v>
      </c>
      <c r="G249" s="13"/>
      <c r="H249" s="14">
        <f t="shared" si="4"/>
        <v>1</v>
      </c>
      <c r="I249" s="14">
        <v>1</v>
      </c>
      <c r="J249" s="14">
        <v>1</v>
      </c>
      <c r="K249" s="13" t="s">
        <v>1635</v>
      </c>
      <c r="L249" s="15" t="s">
        <v>110</v>
      </c>
      <c r="M249" s="15">
        <v>1224</v>
      </c>
      <c r="N249" s="15">
        <v>4128</v>
      </c>
      <c r="O249" s="15">
        <v>412240</v>
      </c>
      <c r="P249" s="15">
        <v>141280</v>
      </c>
      <c r="Q249" s="15"/>
    </row>
    <row r="250" spans="1:17" x14ac:dyDescent="0.25">
      <c r="A250" s="11" t="s">
        <v>3751</v>
      </c>
      <c r="B250" s="13" t="s">
        <v>24</v>
      </c>
      <c r="C250" s="16" t="s">
        <v>1172</v>
      </c>
      <c r="D250" s="13" t="s">
        <v>1173</v>
      </c>
      <c r="E250" s="14" t="s">
        <v>21</v>
      </c>
      <c r="F250" s="14" t="s">
        <v>11</v>
      </c>
      <c r="G250" s="13"/>
      <c r="H250" s="14">
        <f t="shared" si="4"/>
        <v>3</v>
      </c>
      <c r="I250" s="14">
        <v>3</v>
      </c>
      <c r="J250" s="14">
        <v>3</v>
      </c>
      <c r="K250" s="13" t="s">
        <v>4367</v>
      </c>
      <c r="L250" s="15" t="s">
        <v>110</v>
      </c>
      <c r="M250" s="15">
        <v>1224</v>
      </c>
      <c r="N250" s="15">
        <v>4128</v>
      </c>
      <c r="O250" s="15">
        <v>412240</v>
      </c>
      <c r="P250" s="15">
        <v>141280</v>
      </c>
      <c r="Q250" s="15"/>
    </row>
    <row r="251" spans="1:17" x14ac:dyDescent="0.25">
      <c r="A251" s="11" t="s">
        <v>3751</v>
      </c>
      <c r="B251" s="13" t="s">
        <v>24</v>
      </c>
      <c r="C251" s="16" t="s">
        <v>2846</v>
      </c>
      <c r="D251" s="13" t="s">
        <v>8</v>
      </c>
      <c r="E251" s="14" t="s">
        <v>21</v>
      </c>
      <c r="F251" s="14" t="s">
        <v>11</v>
      </c>
      <c r="G251" s="13"/>
      <c r="H251" s="14">
        <f t="shared" si="4"/>
        <v>4</v>
      </c>
      <c r="I251" s="14">
        <v>4</v>
      </c>
      <c r="J251" s="14">
        <v>3</v>
      </c>
      <c r="K251" s="13" t="s">
        <v>4368</v>
      </c>
      <c r="L251" s="15" t="s">
        <v>110</v>
      </c>
      <c r="M251" s="15">
        <v>1224</v>
      </c>
      <c r="N251" s="15">
        <v>4128</v>
      </c>
      <c r="O251" s="15">
        <v>412240</v>
      </c>
      <c r="P251" s="15">
        <v>141280</v>
      </c>
      <c r="Q251" s="15"/>
    </row>
    <row r="252" spans="1:17" x14ac:dyDescent="0.25">
      <c r="A252" s="11" t="s">
        <v>3751</v>
      </c>
      <c r="B252" s="13" t="s">
        <v>24</v>
      </c>
      <c r="C252" s="16" t="s">
        <v>2845</v>
      </c>
      <c r="D252" s="13" t="s">
        <v>8</v>
      </c>
      <c r="E252" s="14" t="s">
        <v>21</v>
      </c>
      <c r="F252" s="14" t="s">
        <v>11</v>
      </c>
      <c r="G252" s="13"/>
      <c r="H252" s="14">
        <f t="shared" si="4"/>
        <v>4</v>
      </c>
      <c r="I252" s="14">
        <v>4</v>
      </c>
      <c r="J252" s="14">
        <v>2</v>
      </c>
      <c r="K252" s="13" t="s">
        <v>4366</v>
      </c>
      <c r="L252" s="15" t="s">
        <v>110</v>
      </c>
      <c r="M252" s="15">
        <v>1224</v>
      </c>
      <c r="N252" s="15">
        <v>4128</v>
      </c>
      <c r="O252" s="15">
        <v>412240</v>
      </c>
      <c r="P252" s="15">
        <v>141280</v>
      </c>
      <c r="Q252" s="15"/>
    </row>
    <row r="253" spans="1:17" x14ac:dyDescent="0.25">
      <c r="A253" s="11" t="s">
        <v>3751</v>
      </c>
      <c r="B253" s="13" t="s">
        <v>24</v>
      </c>
      <c r="C253" s="16" t="s">
        <v>2848</v>
      </c>
      <c r="D253" s="13" t="s">
        <v>8</v>
      </c>
      <c r="E253" s="14" t="s">
        <v>21</v>
      </c>
      <c r="F253" s="14" t="s">
        <v>11</v>
      </c>
      <c r="G253" s="13"/>
      <c r="H253" s="14">
        <f t="shared" si="4"/>
        <v>2</v>
      </c>
      <c r="I253" s="14">
        <v>2</v>
      </c>
      <c r="J253" s="14">
        <v>2</v>
      </c>
      <c r="K253" s="13" t="s">
        <v>4366</v>
      </c>
      <c r="L253" s="15" t="s">
        <v>110</v>
      </c>
      <c r="M253" s="15">
        <v>1224</v>
      </c>
      <c r="N253" s="15">
        <v>4128</v>
      </c>
      <c r="O253" s="15">
        <v>412240</v>
      </c>
      <c r="P253" s="15">
        <v>141280</v>
      </c>
      <c r="Q253" s="15"/>
    </row>
    <row r="254" spans="1:17" x14ac:dyDescent="0.25">
      <c r="A254" s="11" t="s">
        <v>3751</v>
      </c>
      <c r="B254" s="13" t="s">
        <v>24</v>
      </c>
      <c r="C254" s="16" t="s">
        <v>1177</v>
      </c>
      <c r="D254" s="13" t="s">
        <v>1179</v>
      </c>
      <c r="E254" s="14" t="s">
        <v>21</v>
      </c>
      <c r="F254" s="14" t="s">
        <v>11</v>
      </c>
      <c r="G254" s="13"/>
      <c r="H254" s="14">
        <f t="shared" si="4"/>
        <v>1</v>
      </c>
      <c r="I254" s="14">
        <v>1</v>
      </c>
      <c r="J254" s="14">
        <v>1</v>
      </c>
      <c r="K254" s="13" t="s">
        <v>645</v>
      </c>
      <c r="L254" s="15" t="s">
        <v>110</v>
      </c>
      <c r="M254" s="15">
        <v>1224</v>
      </c>
      <c r="N254" s="15">
        <v>4128</v>
      </c>
      <c r="O254" s="15">
        <v>412240</v>
      </c>
      <c r="P254" s="15">
        <v>141280</v>
      </c>
      <c r="Q254" s="15"/>
    </row>
    <row r="255" spans="1:17" x14ac:dyDescent="0.25">
      <c r="A255" s="11" t="s">
        <v>3751</v>
      </c>
      <c r="B255" s="13" t="s">
        <v>24</v>
      </c>
      <c r="C255" s="16" t="s">
        <v>3776</v>
      </c>
      <c r="D255" s="13" t="s">
        <v>1173</v>
      </c>
      <c r="E255" s="14" t="s">
        <v>21</v>
      </c>
      <c r="F255" s="14" t="s">
        <v>11</v>
      </c>
      <c r="G255" s="13">
        <v>1</v>
      </c>
      <c r="H255" s="14">
        <f>G255+I255</f>
        <v>1</v>
      </c>
      <c r="J255" s="14">
        <v>1</v>
      </c>
      <c r="K255" s="13" t="s">
        <v>952</v>
      </c>
      <c r="L255" s="15" t="s">
        <v>110</v>
      </c>
      <c r="M255" s="15">
        <v>1224</v>
      </c>
      <c r="N255" s="15">
        <v>4128</v>
      </c>
      <c r="O255" s="15">
        <v>412240</v>
      </c>
      <c r="P255" s="15">
        <v>141280</v>
      </c>
      <c r="Q255" s="15"/>
    </row>
    <row r="256" spans="1:17" x14ac:dyDescent="0.25">
      <c r="A256" s="11" t="s">
        <v>3751</v>
      </c>
      <c r="B256" s="13" t="s">
        <v>24</v>
      </c>
      <c r="C256" s="16" t="s">
        <v>1178</v>
      </c>
      <c r="D256" s="13" t="s">
        <v>1179</v>
      </c>
      <c r="E256" s="14" t="s">
        <v>21</v>
      </c>
      <c r="F256" s="14" t="s">
        <v>11</v>
      </c>
      <c r="G256" s="13"/>
      <c r="H256" s="14">
        <f t="shared" si="4"/>
        <v>1</v>
      </c>
      <c r="I256" s="14">
        <v>1</v>
      </c>
      <c r="J256" s="14">
        <v>1</v>
      </c>
      <c r="K256" s="13" t="s">
        <v>1635</v>
      </c>
      <c r="L256" s="15" t="s">
        <v>110</v>
      </c>
      <c r="M256" s="15">
        <v>1224</v>
      </c>
      <c r="N256" s="15">
        <v>4128</v>
      </c>
      <c r="O256" s="15">
        <v>412240</v>
      </c>
      <c r="P256" s="15">
        <v>141280</v>
      </c>
      <c r="Q256" s="15"/>
    </row>
    <row r="257" spans="1:17" x14ac:dyDescent="0.25">
      <c r="A257" s="11" t="s">
        <v>3751</v>
      </c>
      <c r="B257" s="13" t="s">
        <v>24</v>
      </c>
      <c r="C257" s="16" t="s">
        <v>2857</v>
      </c>
      <c r="D257" s="13" t="s">
        <v>1173</v>
      </c>
      <c r="E257" s="14" t="s">
        <v>21</v>
      </c>
      <c r="F257" s="14" t="s">
        <v>11</v>
      </c>
      <c r="G257" s="13"/>
      <c r="H257" s="14">
        <f t="shared" si="4"/>
        <v>1</v>
      </c>
      <c r="I257" s="14">
        <v>1</v>
      </c>
      <c r="J257" s="14">
        <v>1</v>
      </c>
      <c r="K257" s="13" t="s">
        <v>4364</v>
      </c>
      <c r="L257" s="15" t="s">
        <v>110</v>
      </c>
      <c r="M257" s="15">
        <v>1224</v>
      </c>
      <c r="N257" s="15">
        <v>4128</v>
      </c>
      <c r="O257" s="15">
        <v>412240</v>
      </c>
      <c r="P257" s="15">
        <v>141280</v>
      </c>
      <c r="Q257" s="15"/>
    </row>
    <row r="258" spans="1:17" x14ac:dyDescent="0.25">
      <c r="A258" s="11" t="s">
        <v>3751</v>
      </c>
      <c r="B258" s="13" t="s">
        <v>24</v>
      </c>
      <c r="C258" s="16" t="s">
        <v>1183</v>
      </c>
      <c r="D258" s="13" t="s">
        <v>1173</v>
      </c>
      <c r="E258" s="14" t="s">
        <v>21</v>
      </c>
      <c r="F258" s="14" t="s">
        <v>11</v>
      </c>
      <c r="G258" s="13"/>
      <c r="H258" s="14">
        <f t="shared" si="4"/>
        <v>2</v>
      </c>
      <c r="I258" s="14">
        <v>2</v>
      </c>
      <c r="J258" s="14">
        <v>2</v>
      </c>
      <c r="K258" s="13" t="s">
        <v>4366</v>
      </c>
      <c r="L258" s="15" t="s">
        <v>110</v>
      </c>
      <c r="M258" s="15">
        <v>1224</v>
      </c>
      <c r="N258" s="15">
        <v>4128</v>
      </c>
      <c r="O258" s="15">
        <v>412240</v>
      </c>
      <c r="P258" s="15">
        <v>141280</v>
      </c>
      <c r="Q258" s="15"/>
    </row>
    <row r="259" spans="1:17" x14ac:dyDescent="0.25">
      <c r="A259" s="11" t="s">
        <v>3751</v>
      </c>
      <c r="B259" s="13" t="s">
        <v>24</v>
      </c>
      <c r="C259" s="16" t="s">
        <v>4259</v>
      </c>
      <c r="D259" s="13" t="s">
        <v>90</v>
      </c>
      <c r="E259" s="14" t="s">
        <v>21</v>
      </c>
      <c r="F259" s="14" t="s">
        <v>11</v>
      </c>
      <c r="G259" s="13"/>
      <c r="H259" s="14">
        <f>G259+I259</f>
        <v>1</v>
      </c>
      <c r="I259" s="14">
        <v>1</v>
      </c>
      <c r="J259" s="14">
        <v>1</v>
      </c>
      <c r="K259" s="13" t="s">
        <v>1635</v>
      </c>
      <c r="L259" s="15" t="s">
        <v>110</v>
      </c>
      <c r="M259" s="15">
        <v>1224</v>
      </c>
      <c r="N259" s="15">
        <v>4128</v>
      </c>
      <c r="O259" s="15">
        <v>412240</v>
      </c>
      <c r="P259" s="15">
        <v>141280</v>
      </c>
      <c r="Q259" s="15"/>
    </row>
    <row r="260" spans="1:17" x14ac:dyDescent="0.25">
      <c r="A260" s="11" t="s">
        <v>3751</v>
      </c>
      <c r="B260" s="13" t="s">
        <v>24</v>
      </c>
      <c r="C260" s="16" t="s">
        <v>1188</v>
      </c>
      <c r="D260" s="13" t="s">
        <v>1189</v>
      </c>
      <c r="E260" s="14" t="s">
        <v>21</v>
      </c>
      <c r="F260" s="14" t="s">
        <v>11</v>
      </c>
      <c r="G260" s="13">
        <v>4</v>
      </c>
      <c r="H260" s="14">
        <f t="shared" si="4"/>
        <v>11</v>
      </c>
      <c r="I260" s="14">
        <v>7</v>
      </c>
      <c r="J260" s="14">
        <v>7</v>
      </c>
      <c r="K260" s="13" t="s">
        <v>4361</v>
      </c>
      <c r="L260" s="15" t="s">
        <v>110</v>
      </c>
      <c r="M260" s="15">
        <v>122</v>
      </c>
      <c r="N260" s="15">
        <v>412</v>
      </c>
      <c r="O260" s="15">
        <v>412200</v>
      </c>
      <c r="P260" s="15">
        <v>141200</v>
      </c>
      <c r="Q260" s="15"/>
    </row>
    <row r="261" spans="1:17" x14ac:dyDescent="0.25">
      <c r="A261" s="11" t="s">
        <v>3751</v>
      </c>
      <c r="B261" s="13" t="s">
        <v>24</v>
      </c>
      <c r="C261" s="16" t="s">
        <v>1190</v>
      </c>
      <c r="D261" s="13" t="s">
        <v>1189</v>
      </c>
      <c r="E261" s="14" t="s">
        <v>21</v>
      </c>
      <c r="F261" s="14" t="s">
        <v>11</v>
      </c>
      <c r="G261" s="13">
        <v>3</v>
      </c>
      <c r="H261" s="14">
        <f t="shared" si="4"/>
        <v>7</v>
      </c>
      <c r="I261" s="14">
        <v>4</v>
      </c>
      <c r="J261" s="14">
        <v>5</v>
      </c>
      <c r="K261" s="13" t="s">
        <v>4362</v>
      </c>
      <c r="L261" s="15" t="s">
        <v>110</v>
      </c>
      <c r="M261" s="15">
        <v>122</v>
      </c>
      <c r="N261" s="15">
        <v>412</v>
      </c>
      <c r="O261" s="15">
        <v>412200</v>
      </c>
      <c r="P261" s="15">
        <v>141200</v>
      </c>
      <c r="Q261" s="15"/>
    </row>
    <row r="262" spans="1:17" x14ac:dyDescent="0.25">
      <c r="A262" s="11" t="s">
        <v>3751</v>
      </c>
      <c r="B262" s="13" t="s">
        <v>24</v>
      </c>
      <c r="C262" s="16" t="s">
        <v>3769</v>
      </c>
      <c r="D262" s="13" t="s">
        <v>3770</v>
      </c>
      <c r="E262" s="14" t="s">
        <v>21</v>
      </c>
      <c r="F262" s="14" t="s">
        <v>11</v>
      </c>
      <c r="G262" s="13">
        <v>1</v>
      </c>
      <c r="H262" s="14">
        <f t="shared" si="4"/>
        <v>1</v>
      </c>
      <c r="J262" s="14">
        <v>1</v>
      </c>
      <c r="K262" s="13" t="s">
        <v>958</v>
      </c>
      <c r="L262" s="15" t="s">
        <v>110</v>
      </c>
      <c r="M262" s="15">
        <v>115</v>
      </c>
      <c r="N262" s="15">
        <v>695</v>
      </c>
      <c r="O262" s="15">
        <v>411500</v>
      </c>
      <c r="P262" s="15">
        <v>169500</v>
      </c>
      <c r="Q262" s="15"/>
    </row>
    <row r="263" spans="1:17" ht="22.5" x14ac:dyDescent="0.25">
      <c r="A263" s="11" t="s">
        <v>3751</v>
      </c>
      <c r="B263" s="13" t="s">
        <v>24</v>
      </c>
      <c r="C263" s="16" t="s">
        <v>25</v>
      </c>
      <c r="D263" s="13" t="s">
        <v>26</v>
      </c>
      <c r="E263" s="14" t="s">
        <v>21</v>
      </c>
      <c r="F263" s="14" t="s">
        <v>11</v>
      </c>
      <c r="G263" s="13">
        <v>6</v>
      </c>
      <c r="H263" s="14">
        <f t="shared" si="4"/>
        <v>23</v>
      </c>
      <c r="I263" s="14">
        <v>17</v>
      </c>
      <c r="J263" s="14">
        <v>16</v>
      </c>
      <c r="K263" s="13" t="s">
        <v>4578</v>
      </c>
      <c r="L263" s="15" t="s">
        <v>110</v>
      </c>
      <c r="M263" s="15">
        <v>1046</v>
      </c>
      <c r="N263" s="15">
        <v>6774</v>
      </c>
      <c r="O263" s="15">
        <v>410460</v>
      </c>
      <c r="P263" s="15">
        <v>167740</v>
      </c>
      <c r="Q263" s="15"/>
    </row>
    <row r="264" spans="1:17" x14ac:dyDescent="0.25">
      <c r="A264" s="11" t="s">
        <v>3751</v>
      </c>
      <c r="B264" s="13" t="s">
        <v>24</v>
      </c>
      <c r="C264" s="16" t="s">
        <v>4235</v>
      </c>
      <c r="D264" s="13" t="s">
        <v>4236</v>
      </c>
      <c r="E264" s="14" t="s">
        <v>21</v>
      </c>
      <c r="F264" s="14" t="s">
        <v>11</v>
      </c>
      <c r="G264" s="13"/>
      <c r="H264" s="14">
        <f>G264+I264</f>
        <v>3</v>
      </c>
      <c r="I264" s="14">
        <v>3</v>
      </c>
      <c r="J264" s="14">
        <v>2</v>
      </c>
      <c r="K264" s="13" t="s">
        <v>4464</v>
      </c>
      <c r="L264" s="15" t="s">
        <v>110</v>
      </c>
      <c r="M264" s="15">
        <v>1046</v>
      </c>
      <c r="N264" s="15">
        <v>6774</v>
      </c>
      <c r="O264" s="15">
        <v>410460</v>
      </c>
      <c r="P264" s="15">
        <v>167740</v>
      </c>
      <c r="Q264" s="15"/>
    </row>
    <row r="265" spans="1:17" x14ac:dyDescent="0.25">
      <c r="A265" s="11" t="s">
        <v>3751</v>
      </c>
      <c r="B265" s="13" t="s">
        <v>24</v>
      </c>
      <c r="C265" s="16" t="s">
        <v>1154</v>
      </c>
      <c r="D265" s="13" t="s">
        <v>121</v>
      </c>
      <c r="E265" s="14" t="s">
        <v>21</v>
      </c>
      <c r="F265" s="14" t="s">
        <v>11</v>
      </c>
      <c r="G265" s="13">
        <v>1</v>
      </c>
      <c r="H265" s="14">
        <f t="shared" si="4"/>
        <v>4</v>
      </c>
      <c r="I265" s="14">
        <v>3</v>
      </c>
      <c r="J265" s="14">
        <v>4</v>
      </c>
      <c r="K265" s="13" t="s">
        <v>4463</v>
      </c>
      <c r="L265" s="15" t="s">
        <v>110</v>
      </c>
      <c r="M265" s="15">
        <v>1196</v>
      </c>
      <c r="N265" s="15">
        <v>6835</v>
      </c>
      <c r="O265" s="15">
        <v>411960</v>
      </c>
      <c r="P265" s="15">
        <v>168350</v>
      </c>
      <c r="Q265" s="15"/>
    </row>
    <row r="266" spans="1:17" ht="22.5" x14ac:dyDescent="0.25">
      <c r="A266" s="11" t="s">
        <v>3751</v>
      </c>
      <c r="B266" s="13" t="s">
        <v>24</v>
      </c>
      <c r="C266" s="16" t="s">
        <v>2367</v>
      </c>
      <c r="D266" s="13" t="s">
        <v>1932</v>
      </c>
      <c r="E266" s="14" t="s">
        <v>21</v>
      </c>
      <c r="F266" s="14" t="s">
        <v>11</v>
      </c>
      <c r="G266" s="13"/>
      <c r="H266" s="14">
        <f t="shared" si="4"/>
        <v>3</v>
      </c>
      <c r="I266" s="14">
        <v>3</v>
      </c>
      <c r="J266" s="14">
        <v>3</v>
      </c>
      <c r="K266" s="13" t="s">
        <v>3931</v>
      </c>
      <c r="L266" s="15" t="s">
        <v>119</v>
      </c>
      <c r="M266" s="15">
        <v>803</v>
      </c>
      <c r="N266" s="15">
        <v>346</v>
      </c>
      <c r="O266" s="15">
        <v>380300</v>
      </c>
      <c r="P266" s="15">
        <v>134600</v>
      </c>
      <c r="Q266" s="15"/>
    </row>
    <row r="267" spans="1:17" ht="22.5" x14ac:dyDescent="0.25">
      <c r="A267" s="11" t="s">
        <v>3751</v>
      </c>
      <c r="B267" s="13" t="s">
        <v>24</v>
      </c>
      <c r="C267" s="16" t="s">
        <v>549</v>
      </c>
      <c r="D267" s="13" t="s">
        <v>540</v>
      </c>
      <c r="E267" s="14" t="s">
        <v>21</v>
      </c>
      <c r="F267" s="14" t="s">
        <v>11</v>
      </c>
      <c r="G267" s="13"/>
      <c r="H267" s="14">
        <f t="shared" si="4"/>
        <v>1</v>
      </c>
      <c r="I267" s="14">
        <v>1</v>
      </c>
      <c r="J267" s="14">
        <v>1</v>
      </c>
      <c r="K267" s="13" t="s">
        <v>4364</v>
      </c>
      <c r="L267" s="15" t="s">
        <v>110</v>
      </c>
      <c r="M267" s="15">
        <v>1192</v>
      </c>
      <c r="N267" s="15">
        <v>3979</v>
      </c>
      <c r="O267" s="15">
        <v>411920</v>
      </c>
      <c r="P267" s="15">
        <v>139790</v>
      </c>
      <c r="Q267" s="15"/>
    </row>
    <row r="268" spans="1:17" ht="33.75" x14ac:dyDescent="0.25">
      <c r="A268" s="11" t="s">
        <v>3751</v>
      </c>
      <c r="B268" s="13" t="s">
        <v>24</v>
      </c>
      <c r="C268" s="16" t="s">
        <v>28</v>
      </c>
      <c r="D268" s="13" t="s">
        <v>3167</v>
      </c>
      <c r="E268" s="14" t="s">
        <v>21</v>
      </c>
      <c r="F268" s="14" t="s">
        <v>11</v>
      </c>
      <c r="G268" s="13">
        <v>13</v>
      </c>
      <c r="H268" s="14">
        <f t="shared" si="4"/>
        <v>13</v>
      </c>
      <c r="J268" s="14">
        <v>10</v>
      </c>
      <c r="K268" s="13" t="s">
        <v>4555</v>
      </c>
      <c r="L268" s="15" t="s">
        <v>110</v>
      </c>
      <c r="M268" s="15">
        <v>86</v>
      </c>
      <c r="N268" s="15">
        <v>714</v>
      </c>
      <c r="O268" s="15">
        <v>408600</v>
      </c>
      <c r="P268" s="15">
        <v>171400</v>
      </c>
      <c r="Q268" s="15"/>
    </row>
    <row r="269" spans="1:17" ht="22.5" x14ac:dyDescent="0.25">
      <c r="A269" s="11" t="s">
        <v>3751</v>
      </c>
      <c r="B269" s="13" t="s">
        <v>24</v>
      </c>
      <c r="C269" s="16" t="s">
        <v>28</v>
      </c>
      <c r="D269" s="13" t="s">
        <v>19</v>
      </c>
      <c r="E269" s="14" t="s">
        <v>21</v>
      </c>
      <c r="F269" s="14" t="s">
        <v>11</v>
      </c>
      <c r="G269" s="13">
        <v>5</v>
      </c>
      <c r="H269" s="14">
        <f t="shared" si="4"/>
        <v>24</v>
      </c>
      <c r="I269" s="14">
        <v>19</v>
      </c>
      <c r="J269" s="14">
        <v>16</v>
      </c>
      <c r="K269" s="13" t="s">
        <v>4468</v>
      </c>
      <c r="L269" s="15" t="s">
        <v>110</v>
      </c>
      <c r="M269" s="15">
        <v>86</v>
      </c>
      <c r="N269" s="15">
        <v>714</v>
      </c>
      <c r="O269" s="15">
        <v>408600</v>
      </c>
      <c r="P269" s="15">
        <v>171400</v>
      </c>
      <c r="Q269" s="15"/>
    </row>
    <row r="270" spans="1:17" x14ac:dyDescent="0.25">
      <c r="A270" s="11" t="s">
        <v>3751</v>
      </c>
      <c r="B270" s="13" t="s">
        <v>24</v>
      </c>
      <c r="C270" s="16" t="s">
        <v>28</v>
      </c>
      <c r="D270" s="13" t="s">
        <v>1207</v>
      </c>
      <c r="E270" s="14" t="s">
        <v>21</v>
      </c>
      <c r="F270" s="14" t="s">
        <v>11</v>
      </c>
      <c r="G270" s="13"/>
      <c r="H270" s="14">
        <f>G270+I270</f>
        <v>2</v>
      </c>
      <c r="I270" s="14">
        <v>2</v>
      </c>
      <c r="J270" s="14">
        <v>2</v>
      </c>
      <c r="K270" s="13" t="s">
        <v>3821</v>
      </c>
      <c r="L270" s="15" t="s">
        <v>110</v>
      </c>
      <c r="M270" s="15">
        <v>86</v>
      </c>
      <c r="N270" s="15">
        <v>714</v>
      </c>
      <c r="O270" s="15">
        <v>408600</v>
      </c>
      <c r="P270" s="15">
        <v>171400</v>
      </c>
      <c r="Q270" s="15"/>
    </row>
    <row r="271" spans="1:17" x14ac:dyDescent="0.25">
      <c r="A271" s="11" t="s">
        <v>3751</v>
      </c>
      <c r="B271" s="13" t="s">
        <v>24</v>
      </c>
      <c r="C271" s="16" t="s">
        <v>14</v>
      </c>
      <c r="D271" s="13" t="s">
        <v>17</v>
      </c>
      <c r="E271" s="14" t="s">
        <v>21</v>
      </c>
      <c r="F271" s="14" t="s">
        <v>11</v>
      </c>
      <c r="G271" s="13">
        <v>7</v>
      </c>
      <c r="H271" s="14">
        <f t="shared" si="4"/>
        <v>16</v>
      </c>
      <c r="I271" s="14">
        <v>9</v>
      </c>
      <c r="J271" s="14">
        <v>12</v>
      </c>
      <c r="K271" s="13" t="s">
        <v>4505</v>
      </c>
      <c r="L271" s="15" t="s">
        <v>110</v>
      </c>
      <c r="M271" s="15">
        <v>1506</v>
      </c>
      <c r="N271" s="15">
        <v>4337</v>
      </c>
      <c r="O271" s="15">
        <v>415060</v>
      </c>
      <c r="P271" s="15">
        <v>143370</v>
      </c>
      <c r="Q271" s="15"/>
    </row>
    <row r="272" spans="1:17" x14ac:dyDescent="0.25">
      <c r="A272" s="11" t="s">
        <v>3751</v>
      </c>
      <c r="B272" s="13" t="s">
        <v>139</v>
      </c>
      <c r="C272" s="16" t="s">
        <v>4530</v>
      </c>
      <c r="D272" s="13" t="s">
        <v>4436</v>
      </c>
      <c r="E272" s="14" t="s">
        <v>272</v>
      </c>
      <c r="F272" s="14" t="s">
        <v>11</v>
      </c>
      <c r="G272" s="13">
        <v>1</v>
      </c>
      <c r="H272" s="14">
        <f t="shared" si="4"/>
        <v>1</v>
      </c>
      <c r="J272" s="14">
        <v>1</v>
      </c>
      <c r="K272" s="13" t="s">
        <v>3266</v>
      </c>
      <c r="L272" s="15" t="s">
        <v>137</v>
      </c>
      <c r="M272" s="15">
        <v>1570</v>
      </c>
      <c r="N272" s="15">
        <v>7043</v>
      </c>
      <c r="O272" s="15">
        <v>515700</v>
      </c>
      <c r="P272" s="15">
        <v>470430</v>
      </c>
      <c r="Q272" s="15"/>
    </row>
    <row r="273" spans="1:17" x14ac:dyDescent="0.25">
      <c r="A273" s="11" t="s">
        <v>3751</v>
      </c>
      <c r="B273" s="13" t="s">
        <v>139</v>
      </c>
      <c r="C273" s="16" t="s">
        <v>4529</v>
      </c>
      <c r="D273" s="13" t="s">
        <v>4436</v>
      </c>
      <c r="E273" s="14" t="s">
        <v>272</v>
      </c>
      <c r="F273" s="14" t="s">
        <v>11</v>
      </c>
      <c r="G273" s="13">
        <v>1</v>
      </c>
      <c r="H273" s="14">
        <f>G273+I273</f>
        <v>1</v>
      </c>
      <c r="J273" s="14">
        <v>1</v>
      </c>
      <c r="K273" s="13" t="s">
        <v>3271</v>
      </c>
      <c r="L273" s="15" t="s">
        <v>137</v>
      </c>
      <c r="M273" s="15">
        <v>105</v>
      </c>
      <c r="N273" s="15">
        <v>659</v>
      </c>
      <c r="O273" s="15">
        <v>510500</v>
      </c>
      <c r="P273" s="15">
        <v>465900</v>
      </c>
      <c r="Q273" s="15"/>
    </row>
    <row r="274" spans="1:17" ht="33.75" x14ac:dyDescent="0.25">
      <c r="A274" s="11" t="s">
        <v>3751</v>
      </c>
      <c r="B274" s="13" t="s">
        <v>139</v>
      </c>
      <c r="C274" s="16" t="s">
        <v>1124</v>
      </c>
      <c r="D274" s="13" t="s">
        <v>2925</v>
      </c>
      <c r="E274" s="14" t="s">
        <v>272</v>
      </c>
      <c r="F274" s="14" t="s">
        <v>11</v>
      </c>
      <c r="G274" s="13"/>
      <c r="H274" s="14">
        <f t="shared" si="4"/>
        <v>1</v>
      </c>
      <c r="I274" s="14">
        <v>1</v>
      </c>
      <c r="J274" s="14">
        <v>1</v>
      </c>
      <c r="K274" s="13" t="s">
        <v>3278</v>
      </c>
      <c r="L274" s="15" t="s">
        <v>271</v>
      </c>
      <c r="M274" s="15">
        <v>8282</v>
      </c>
      <c r="N274" s="15">
        <v>5620</v>
      </c>
      <c r="O274" s="15">
        <v>482820</v>
      </c>
      <c r="P274" s="15">
        <v>456200</v>
      </c>
      <c r="Q274" s="15"/>
    </row>
    <row r="275" spans="1:17" ht="33.75" x14ac:dyDescent="0.25">
      <c r="A275" s="11" t="s">
        <v>3751</v>
      </c>
      <c r="B275" s="13" t="s">
        <v>139</v>
      </c>
      <c r="C275" s="16" t="s">
        <v>3424</v>
      </c>
      <c r="D275" s="13" t="s">
        <v>2925</v>
      </c>
      <c r="E275" s="14" t="s">
        <v>272</v>
      </c>
      <c r="F275" s="14" t="s">
        <v>11</v>
      </c>
      <c r="G275" s="13"/>
      <c r="H275" s="14">
        <f t="shared" si="4"/>
        <v>2</v>
      </c>
      <c r="I275" s="14">
        <v>2</v>
      </c>
      <c r="J275" s="14">
        <v>2</v>
      </c>
      <c r="K275" s="13" t="s">
        <v>4028</v>
      </c>
      <c r="L275" s="15" t="s">
        <v>271</v>
      </c>
      <c r="M275" s="15">
        <v>8282</v>
      </c>
      <c r="N275" s="15">
        <v>5620</v>
      </c>
      <c r="O275" s="15">
        <v>482820</v>
      </c>
      <c r="P275" s="15">
        <v>456200</v>
      </c>
      <c r="Q275" s="15"/>
    </row>
    <row r="276" spans="1:17" x14ac:dyDescent="0.25">
      <c r="A276" s="11" t="s">
        <v>3751</v>
      </c>
      <c r="B276" s="13" t="s">
        <v>139</v>
      </c>
      <c r="C276" s="16" t="s">
        <v>3801</v>
      </c>
      <c r="D276" s="13" t="s">
        <v>1207</v>
      </c>
      <c r="E276" s="14" t="s">
        <v>675</v>
      </c>
      <c r="F276" s="14" t="s">
        <v>11</v>
      </c>
      <c r="G276" s="13"/>
      <c r="H276" s="14">
        <f>G276+I276</f>
        <v>1</v>
      </c>
      <c r="I276" s="14">
        <v>1</v>
      </c>
      <c r="J276" s="14">
        <v>1</v>
      </c>
      <c r="K276" s="13" t="s">
        <v>74</v>
      </c>
      <c r="L276" s="15" t="s">
        <v>137</v>
      </c>
      <c r="M276" s="15">
        <v>23</v>
      </c>
      <c r="N276" s="15">
        <v>577</v>
      </c>
      <c r="O276" s="15">
        <v>502300</v>
      </c>
      <c r="P276" s="15">
        <v>457700</v>
      </c>
      <c r="Q276" s="15"/>
    </row>
    <row r="277" spans="1:17" x14ac:dyDescent="0.25">
      <c r="A277" s="11" t="s">
        <v>3751</v>
      </c>
      <c r="B277" s="13" t="s">
        <v>139</v>
      </c>
      <c r="C277" s="16" t="s">
        <v>2661</v>
      </c>
      <c r="D277" s="13" t="s">
        <v>39</v>
      </c>
      <c r="E277" s="14" t="s">
        <v>2662</v>
      </c>
      <c r="F277" s="14" t="s">
        <v>11</v>
      </c>
      <c r="G277" s="13">
        <v>1</v>
      </c>
      <c r="H277" s="14">
        <f t="shared" si="4"/>
        <v>1</v>
      </c>
      <c r="J277" s="14">
        <v>1</v>
      </c>
      <c r="K277" s="13" t="s">
        <v>3271</v>
      </c>
      <c r="L277" s="15" t="s">
        <v>137</v>
      </c>
      <c r="M277" s="15">
        <v>22</v>
      </c>
      <c r="N277" s="15">
        <v>69</v>
      </c>
      <c r="O277" s="15">
        <v>522000</v>
      </c>
      <c r="P277" s="15">
        <v>469000</v>
      </c>
      <c r="Q277" s="15"/>
    </row>
    <row r="278" spans="1:17" x14ac:dyDescent="0.25">
      <c r="A278" s="11" t="s">
        <v>3751</v>
      </c>
      <c r="B278" s="13" t="s">
        <v>139</v>
      </c>
      <c r="C278" s="16" t="s">
        <v>1834</v>
      </c>
      <c r="D278" s="13" t="s">
        <v>90</v>
      </c>
      <c r="E278" s="14" t="s">
        <v>272</v>
      </c>
      <c r="F278" s="14" t="s">
        <v>11</v>
      </c>
      <c r="G278" s="13"/>
      <c r="H278" s="14">
        <f>G278+I278</f>
        <v>3</v>
      </c>
      <c r="I278" s="14">
        <v>3</v>
      </c>
      <c r="J278" s="14">
        <v>2</v>
      </c>
      <c r="K278" s="13" t="s">
        <v>4606</v>
      </c>
      <c r="L278" s="15" t="s">
        <v>137</v>
      </c>
      <c r="M278" s="15">
        <v>59</v>
      </c>
      <c r="N278" s="15">
        <v>778</v>
      </c>
      <c r="O278" s="15">
        <v>505900</v>
      </c>
      <c r="P278" s="15">
        <v>477800</v>
      </c>
      <c r="Q278" s="15"/>
    </row>
    <row r="279" spans="1:17" ht="22.5" x14ac:dyDescent="0.25">
      <c r="A279" s="11" t="s">
        <v>3751</v>
      </c>
      <c r="B279" s="13" t="s">
        <v>139</v>
      </c>
      <c r="C279" s="16" t="s">
        <v>1618</v>
      </c>
      <c r="D279" s="13" t="s">
        <v>540</v>
      </c>
      <c r="E279" s="14" t="s">
        <v>272</v>
      </c>
      <c r="F279" s="14" t="s">
        <v>11</v>
      </c>
      <c r="G279" s="13">
        <v>2</v>
      </c>
      <c r="H279" s="14">
        <f t="shared" si="4"/>
        <v>2</v>
      </c>
      <c r="J279" s="14">
        <v>2</v>
      </c>
      <c r="K279" s="13" t="s">
        <v>4524</v>
      </c>
      <c r="L279" s="15" t="s">
        <v>271</v>
      </c>
      <c r="M279" s="15">
        <v>9790</v>
      </c>
      <c r="N279" s="15">
        <v>5755</v>
      </c>
      <c r="O279" s="15">
        <v>497900</v>
      </c>
      <c r="P279" s="15">
        <v>457550</v>
      </c>
      <c r="Q279" s="15"/>
    </row>
    <row r="280" spans="1:17" x14ac:dyDescent="0.25">
      <c r="A280" s="11" t="s">
        <v>3751</v>
      </c>
      <c r="B280" s="13" t="s">
        <v>139</v>
      </c>
      <c r="C280" s="16" t="s">
        <v>1618</v>
      </c>
      <c r="D280" s="13" t="s">
        <v>90</v>
      </c>
      <c r="E280" s="14" t="s">
        <v>272</v>
      </c>
      <c r="F280" s="14" t="s">
        <v>11</v>
      </c>
      <c r="G280" s="13">
        <v>1</v>
      </c>
      <c r="H280" s="14">
        <f>G280+I280</f>
        <v>1</v>
      </c>
      <c r="J280" s="14">
        <v>1</v>
      </c>
      <c r="K280" s="13" t="s">
        <v>3266</v>
      </c>
      <c r="L280" s="15" t="s">
        <v>271</v>
      </c>
      <c r="M280" s="15">
        <v>9790</v>
      </c>
      <c r="N280" s="15">
        <v>5755</v>
      </c>
      <c r="O280" s="15">
        <v>497900</v>
      </c>
      <c r="P280" s="15">
        <v>457550</v>
      </c>
      <c r="Q280" s="15"/>
    </row>
    <row r="281" spans="1:17" ht="22.5" x14ac:dyDescent="0.25">
      <c r="A281" s="11" t="s">
        <v>3751</v>
      </c>
      <c r="B281" s="13" t="s">
        <v>139</v>
      </c>
      <c r="C281" s="16" t="s">
        <v>2650</v>
      </c>
      <c r="D281" s="13" t="s">
        <v>2651</v>
      </c>
      <c r="E281" s="14" t="s">
        <v>455</v>
      </c>
      <c r="F281" s="14" t="s">
        <v>11</v>
      </c>
      <c r="G281" s="13"/>
      <c r="H281" s="14">
        <f t="shared" si="4"/>
        <v>1</v>
      </c>
      <c r="I281" s="14">
        <v>1</v>
      </c>
      <c r="J281" s="14">
        <v>1</v>
      </c>
      <c r="K281" s="13" t="s">
        <v>74</v>
      </c>
      <c r="L281" s="15" t="s">
        <v>271</v>
      </c>
      <c r="M281" s="15">
        <v>9616</v>
      </c>
      <c r="N281" s="15">
        <v>6628</v>
      </c>
      <c r="O281" s="15">
        <v>496160</v>
      </c>
      <c r="P281" s="15">
        <v>466280</v>
      </c>
      <c r="Q281" s="15"/>
    </row>
    <row r="282" spans="1:17" x14ac:dyDescent="0.25">
      <c r="A282" s="11" t="s">
        <v>3751</v>
      </c>
      <c r="B282" s="13" t="s">
        <v>139</v>
      </c>
      <c r="C282" s="16" t="s">
        <v>135</v>
      </c>
      <c r="D282" s="13" t="s">
        <v>26</v>
      </c>
      <c r="E282" s="14" t="s">
        <v>134</v>
      </c>
      <c r="F282" s="14" t="s">
        <v>11</v>
      </c>
      <c r="G282" s="13">
        <v>1</v>
      </c>
      <c r="H282" s="14">
        <f t="shared" si="4"/>
        <v>2</v>
      </c>
      <c r="I282" s="14">
        <v>1</v>
      </c>
      <c r="J282" s="14">
        <v>2</v>
      </c>
      <c r="K282" s="13" t="s">
        <v>4485</v>
      </c>
      <c r="L282" s="15" t="s">
        <v>137</v>
      </c>
      <c r="M282" s="15">
        <v>560</v>
      </c>
      <c r="N282" s="15">
        <v>6732</v>
      </c>
      <c r="O282" s="15">
        <v>505600</v>
      </c>
      <c r="P282" s="15">
        <v>467320</v>
      </c>
      <c r="Q282" s="15"/>
    </row>
    <row r="283" spans="1:17" x14ac:dyDescent="0.25">
      <c r="A283" s="11" t="s">
        <v>3751</v>
      </c>
      <c r="B283" s="13" t="s">
        <v>139</v>
      </c>
      <c r="C283" s="16" t="s">
        <v>608</v>
      </c>
      <c r="D283" s="13" t="s">
        <v>39</v>
      </c>
      <c r="E283" s="14" t="s">
        <v>134</v>
      </c>
      <c r="F283" s="14" t="s">
        <v>11</v>
      </c>
      <c r="G283" s="13">
        <v>3</v>
      </c>
      <c r="H283" s="14">
        <f t="shared" si="4"/>
        <v>3</v>
      </c>
      <c r="J283" s="14">
        <v>2</v>
      </c>
      <c r="K283" s="13" t="s">
        <v>4525</v>
      </c>
      <c r="L283" s="15" t="s">
        <v>137</v>
      </c>
      <c r="M283" s="15">
        <v>14</v>
      </c>
      <c r="N283" s="15">
        <v>66</v>
      </c>
      <c r="O283" s="15">
        <v>514000</v>
      </c>
      <c r="P283" s="15">
        <v>466000</v>
      </c>
      <c r="Q283" s="15"/>
    </row>
    <row r="284" spans="1:17" ht="45" x14ac:dyDescent="0.25">
      <c r="A284" s="11" t="s">
        <v>3751</v>
      </c>
      <c r="B284" s="13" t="s">
        <v>139</v>
      </c>
      <c r="C284" s="16" t="s">
        <v>454</v>
      </c>
      <c r="D284" s="13" t="s">
        <v>4560</v>
      </c>
      <c r="E284" s="14" t="s">
        <v>455</v>
      </c>
      <c r="F284" s="14" t="s">
        <v>11</v>
      </c>
      <c r="G284" s="13">
        <v>7</v>
      </c>
      <c r="H284" s="14">
        <f t="shared" si="4"/>
        <v>11</v>
      </c>
      <c r="I284" s="14">
        <v>4</v>
      </c>
      <c r="J284" s="14">
        <v>5</v>
      </c>
      <c r="K284" s="13" t="s">
        <v>4561</v>
      </c>
      <c r="L284" s="15" t="s">
        <v>137</v>
      </c>
      <c r="M284" s="15">
        <v>99</v>
      </c>
      <c r="N284" s="15">
        <v>657</v>
      </c>
      <c r="O284" s="15">
        <v>509900</v>
      </c>
      <c r="P284" s="15">
        <v>465700</v>
      </c>
      <c r="Q284" s="15"/>
    </row>
    <row r="285" spans="1:17" x14ac:dyDescent="0.25">
      <c r="A285" s="11" t="s">
        <v>3751</v>
      </c>
      <c r="B285" s="13" t="s">
        <v>139</v>
      </c>
      <c r="C285" s="16" t="s">
        <v>1371</v>
      </c>
      <c r="D285" s="13" t="s">
        <v>26</v>
      </c>
      <c r="E285" s="14" t="s">
        <v>455</v>
      </c>
      <c r="F285" s="14" t="s">
        <v>11</v>
      </c>
      <c r="G285" s="13"/>
      <c r="H285" s="14">
        <f t="shared" si="4"/>
        <v>4</v>
      </c>
      <c r="I285" s="14">
        <v>4</v>
      </c>
      <c r="J285" s="14">
        <v>2</v>
      </c>
      <c r="K285" s="13" t="s">
        <v>4012</v>
      </c>
      <c r="L285" s="15" t="s">
        <v>137</v>
      </c>
      <c r="M285" s="15">
        <v>29</v>
      </c>
      <c r="N285" s="15">
        <v>761</v>
      </c>
      <c r="O285" s="15">
        <v>502900</v>
      </c>
      <c r="P285" s="15">
        <v>476100</v>
      </c>
      <c r="Q285" s="15"/>
    </row>
    <row r="286" spans="1:17" ht="45" x14ac:dyDescent="0.25">
      <c r="A286" s="11" t="s">
        <v>3751</v>
      </c>
      <c r="B286" s="13" t="s">
        <v>269</v>
      </c>
      <c r="C286" s="16" t="s">
        <v>439</v>
      </c>
      <c r="D286" s="13" t="s">
        <v>3914</v>
      </c>
      <c r="E286" s="14" t="s">
        <v>437</v>
      </c>
      <c r="F286" s="14" t="s">
        <v>11</v>
      </c>
      <c r="G286" s="13">
        <v>7</v>
      </c>
      <c r="H286" s="14">
        <f>G286+I286</f>
        <v>17</v>
      </c>
      <c r="I286" s="14">
        <v>10</v>
      </c>
      <c r="J286" s="14">
        <v>12</v>
      </c>
      <c r="K286" s="13" t="s">
        <v>4536</v>
      </c>
      <c r="L286" s="15" t="s">
        <v>271</v>
      </c>
      <c r="M286" s="15">
        <v>8804</v>
      </c>
      <c r="N286" s="15">
        <v>6688</v>
      </c>
      <c r="O286" s="15">
        <v>488040</v>
      </c>
      <c r="P286" s="15">
        <v>466880</v>
      </c>
      <c r="Q286" s="15"/>
    </row>
    <row r="287" spans="1:17" x14ac:dyDescent="0.25">
      <c r="A287" s="11" t="s">
        <v>3751</v>
      </c>
      <c r="B287" s="13" t="s">
        <v>269</v>
      </c>
      <c r="C287" s="16" t="s">
        <v>270</v>
      </c>
      <c r="D287" s="13" t="s">
        <v>26</v>
      </c>
      <c r="E287" s="14" t="s">
        <v>272</v>
      </c>
      <c r="F287" s="14" t="s">
        <v>11</v>
      </c>
      <c r="G287" s="13"/>
      <c r="H287" s="14">
        <f t="shared" si="4"/>
        <v>4</v>
      </c>
      <c r="I287" s="14">
        <v>4</v>
      </c>
      <c r="J287" s="14">
        <v>2</v>
      </c>
      <c r="K287" s="13" t="s">
        <v>4012</v>
      </c>
      <c r="L287" s="15" t="s">
        <v>271</v>
      </c>
      <c r="M287" s="15">
        <v>9382</v>
      </c>
      <c r="N287" s="15">
        <v>7523</v>
      </c>
      <c r="O287" s="15">
        <v>493820</v>
      </c>
      <c r="P287" s="15">
        <v>475230</v>
      </c>
      <c r="Q287" s="15"/>
    </row>
    <row r="288" spans="1:17" ht="33.75" x14ac:dyDescent="0.25">
      <c r="A288" s="11" t="s">
        <v>3751</v>
      </c>
      <c r="B288" s="13" t="s">
        <v>269</v>
      </c>
      <c r="C288" s="16" t="s">
        <v>3500</v>
      </c>
      <c r="D288" s="13" t="s">
        <v>3504</v>
      </c>
      <c r="E288" s="14" t="s">
        <v>437</v>
      </c>
      <c r="F288" s="14" t="s">
        <v>11</v>
      </c>
      <c r="G288" s="13">
        <v>11</v>
      </c>
      <c r="H288" s="14">
        <f t="shared" si="4"/>
        <v>11</v>
      </c>
      <c r="J288" s="14">
        <v>5</v>
      </c>
      <c r="K288" s="13" t="s">
        <v>4548</v>
      </c>
      <c r="L288" s="15" t="s">
        <v>271</v>
      </c>
      <c r="M288" s="15">
        <v>8082</v>
      </c>
      <c r="N288" s="15">
        <v>6088</v>
      </c>
      <c r="O288" s="15">
        <v>480820</v>
      </c>
      <c r="P288" s="15">
        <v>460880</v>
      </c>
      <c r="Q288" s="15"/>
    </row>
    <row r="289" spans="1:17" ht="22.5" x14ac:dyDescent="0.25">
      <c r="A289" s="11" t="s">
        <v>3751</v>
      </c>
      <c r="B289" s="13" t="s">
        <v>269</v>
      </c>
      <c r="C289" s="16" t="s">
        <v>2686</v>
      </c>
      <c r="D289" s="13" t="s">
        <v>3496</v>
      </c>
      <c r="E289" s="14" t="s">
        <v>437</v>
      </c>
      <c r="F289" s="14" t="s">
        <v>11</v>
      </c>
      <c r="G289" s="13">
        <v>1</v>
      </c>
      <c r="H289" s="14">
        <f t="shared" si="4"/>
        <v>1</v>
      </c>
      <c r="J289" s="14">
        <v>1</v>
      </c>
      <c r="K289" s="13" t="s">
        <v>4484</v>
      </c>
      <c r="L289" s="15" t="s">
        <v>271</v>
      </c>
      <c r="M289" s="15">
        <v>8082</v>
      </c>
      <c r="N289" s="15">
        <v>6088</v>
      </c>
      <c r="O289" s="15">
        <v>480820</v>
      </c>
      <c r="P289" s="15">
        <v>460880</v>
      </c>
      <c r="Q289" s="15"/>
    </row>
    <row r="290" spans="1:17" x14ac:dyDescent="0.25">
      <c r="A290" s="11" t="s">
        <v>3751</v>
      </c>
      <c r="B290" s="13" t="s">
        <v>269</v>
      </c>
      <c r="C290" s="16" t="s">
        <v>449</v>
      </c>
      <c r="D290" s="13" t="s">
        <v>20</v>
      </c>
      <c r="E290" s="14" t="s">
        <v>450</v>
      </c>
      <c r="F290" s="14" t="s">
        <v>11</v>
      </c>
      <c r="G290" s="13"/>
      <c r="H290" s="14">
        <f>G290+I290</f>
        <v>1</v>
      </c>
      <c r="I290" s="14">
        <v>1</v>
      </c>
      <c r="J290" s="14">
        <v>1</v>
      </c>
      <c r="K290" s="13" t="s">
        <v>559</v>
      </c>
      <c r="L290" s="15" t="s">
        <v>218</v>
      </c>
      <c r="M290" s="15">
        <v>234</v>
      </c>
      <c r="N290" s="15">
        <v>10</v>
      </c>
      <c r="O290" s="15">
        <v>423400</v>
      </c>
      <c r="P290" s="15">
        <v>501000</v>
      </c>
      <c r="Q290" s="15"/>
    </row>
    <row r="291" spans="1:17" x14ac:dyDescent="0.25">
      <c r="A291" s="11" t="s">
        <v>3751</v>
      </c>
      <c r="B291" s="13" t="s">
        <v>269</v>
      </c>
      <c r="C291" s="16" t="s">
        <v>1127</v>
      </c>
      <c r="D291" s="13" t="s">
        <v>2049</v>
      </c>
      <c r="E291" s="14" t="s">
        <v>405</v>
      </c>
      <c r="F291" s="14" t="s">
        <v>11</v>
      </c>
      <c r="G291" s="13"/>
      <c r="H291" s="14">
        <f t="shared" si="4"/>
        <v>6</v>
      </c>
      <c r="I291" s="14">
        <v>6</v>
      </c>
      <c r="J291" s="14">
        <v>6</v>
      </c>
      <c r="K291" s="13" t="s">
        <v>4326</v>
      </c>
      <c r="L291" s="15" t="s">
        <v>271</v>
      </c>
      <c r="M291" s="15">
        <v>2854</v>
      </c>
      <c r="N291" s="15">
        <v>7946</v>
      </c>
      <c r="O291" s="15">
        <v>428540</v>
      </c>
      <c r="P291" s="15">
        <v>479460</v>
      </c>
      <c r="Q291" s="15"/>
    </row>
    <row r="292" spans="1:17" ht="22.5" x14ac:dyDescent="0.25">
      <c r="A292" s="11" t="s">
        <v>3751</v>
      </c>
      <c r="B292" s="13" t="s">
        <v>269</v>
      </c>
      <c r="C292" s="16" t="s">
        <v>4329</v>
      </c>
      <c r="D292" s="13" t="s">
        <v>4330</v>
      </c>
      <c r="E292" s="14" t="s">
        <v>405</v>
      </c>
      <c r="F292" s="14" t="s">
        <v>11</v>
      </c>
      <c r="G292" s="13"/>
      <c r="H292" s="14">
        <f>G292+I292</f>
        <v>1</v>
      </c>
      <c r="I292" s="14">
        <v>1</v>
      </c>
      <c r="J292" s="14">
        <v>1</v>
      </c>
      <c r="K292" s="13" t="s">
        <v>4331</v>
      </c>
      <c r="L292" s="15" t="s">
        <v>271</v>
      </c>
      <c r="M292" s="15">
        <v>2854</v>
      </c>
      <c r="N292" s="15">
        <v>7946</v>
      </c>
      <c r="O292" s="15">
        <v>428540</v>
      </c>
      <c r="P292" s="15">
        <v>479460</v>
      </c>
      <c r="Q292" s="15"/>
    </row>
    <row r="293" spans="1:17" ht="45" x14ac:dyDescent="0.25">
      <c r="A293" s="11" t="s">
        <v>3751</v>
      </c>
      <c r="B293" s="13" t="s">
        <v>269</v>
      </c>
      <c r="C293" s="16" t="s">
        <v>4417</v>
      </c>
      <c r="D293" s="13" t="s">
        <v>4418</v>
      </c>
      <c r="E293" s="14" t="s">
        <v>272</v>
      </c>
      <c r="F293" s="14" t="s">
        <v>11</v>
      </c>
      <c r="G293" s="13">
        <v>8</v>
      </c>
      <c r="H293" s="14">
        <f>G293+I293</f>
        <v>8</v>
      </c>
      <c r="J293" s="14">
        <v>6</v>
      </c>
      <c r="K293" s="13" t="s">
        <v>4558</v>
      </c>
      <c r="L293" s="15" t="s">
        <v>271</v>
      </c>
      <c r="M293" s="15">
        <v>8981</v>
      </c>
      <c r="N293" s="15">
        <v>6495</v>
      </c>
      <c r="O293" s="15">
        <v>489810</v>
      </c>
      <c r="P293" s="15">
        <v>464950</v>
      </c>
      <c r="Q293" s="15"/>
    </row>
    <row r="294" spans="1:17" ht="33.75" x14ac:dyDescent="0.25">
      <c r="A294" s="11" t="s">
        <v>3751</v>
      </c>
      <c r="B294" s="13" t="s">
        <v>269</v>
      </c>
      <c r="C294" s="16" t="s">
        <v>3499</v>
      </c>
      <c r="D294" s="13" t="s">
        <v>3504</v>
      </c>
      <c r="E294" s="14" t="s">
        <v>272</v>
      </c>
      <c r="F294" s="14" t="s">
        <v>11</v>
      </c>
      <c r="G294" s="13">
        <v>7</v>
      </c>
      <c r="H294" s="14">
        <f>G294+I294</f>
        <v>7</v>
      </c>
      <c r="J294" s="14">
        <v>4</v>
      </c>
      <c r="K294" s="13" t="s">
        <v>4559</v>
      </c>
      <c r="L294" s="15" t="s">
        <v>271</v>
      </c>
      <c r="M294" s="15">
        <v>9305</v>
      </c>
      <c r="N294" s="15">
        <v>7625</v>
      </c>
      <c r="O294" s="15">
        <v>493050</v>
      </c>
      <c r="P294" s="15">
        <v>476250</v>
      </c>
      <c r="Q294" s="15"/>
    </row>
    <row r="295" spans="1:17" ht="22.5" x14ac:dyDescent="0.25">
      <c r="A295" s="11" t="s">
        <v>3751</v>
      </c>
      <c r="B295" s="13" t="s">
        <v>269</v>
      </c>
      <c r="C295" s="16" t="s">
        <v>436</v>
      </c>
      <c r="D295" s="13" t="s">
        <v>438</v>
      </c>
      <c r="E295" s="14" t="s">
        <v>437</v>
      </c>
      <c r="F295" s="14" t="s">
        <v>11</v>
      </c>
      <c r="G295" s="13"/>
      <c r="H295" s="14">
        <f t="shared" si="4"/>
        <v>1</v>
      </c>
      <c r="I295" s="14">
        <v>1</v>
      </c>
      <c r="J295" s="14">
        <v>1</v>
      </c>
      <c r="K295" s="13" t="s">
        <v>1195</v>
      </c>
      <c r="L295" s="15" t="s">
        <v>271</v>
      </c>
      <c r="M295" s="15">
        <v>7825</v>
      </c>
      <c r="N295" s="15">
        <v>6824</v>
      </c>
      <c r="O295" s="15">
        <v>478250</v>
      </c>
      <c r="P295" s="15">
        <v>468240</v>
      </c>
      <c r="Q295" s="15"/>
    </row>
    <row r="296" spans="1:17" x14ac:dyDescent="0.25">
      <c r="A296" s="11" t="s">
        <v>3751</v>
      </c>
      <c r="B296" s="13" t="s">
        <v>718</v>
      </c>
      <c r="C296" s="16" t="s">
        <v>1965</v>
      </c>
      <c r="D296" s="13" t="s">
        <v>39</v>
      </c>
      <c r="E296" s="14" t="s">
        <v>1966</v>
      </c>
      <c r="F296" s="14" t="s">
        <v>718</v>
      </c>
      <c r="G296" s="13"/>
      <c r="H296" s="14">
        <f t="shared" si="4"/>
        <v>2</v>
      </c>
      <c r="I296" s="14">
        <v>2</v>
      </c>
      <c r="J296" s="14">
        <v>2</v>
      </c>
      <c r="K296" s="13" t="s">
        <v>3924</v>
      </c>
      <c r="L296" s="15" t="s">
        <v>740</v>
      </c>
      <c r="M296" s="15">
        <v>2602</v>
      </c>
      <c r="N296" s="15">
        <v>6960</v>
      </c>
      <c r="O296" s="15">
        <v>226020</v>
      </c>
      <c r="P296" s="15">
        <v>469600</v>
      </c>
      <c r="Q296" s="15"/>
    </row>
    <row r="297" spans="1:17" ht="33.75" x14ac:dyDescent="0.25">
      <c r="A297" s="11" t="s">
        <v>3751</v>
      </c>
      <c r="B297" s="13" t="s">
        <v>718</v>
      </c>
      <c r="C297" s="16" t="s">
        <v>738</v>
      </c>
      <c r="D297" s="13" t="s">
        <v>741</v>
      </c>
      <c r="E297" s="14" t="s">
        <v>718</v>
      </c>
      <c r="F297" s="14" t="s">
        <v>739</v>
      </c>
      <c r="G297" s="13">
        <v>2</v>
      </c>
      <c r="H297" s="14">
        <f>G297+I297</f>
        <v>4</v>
      </c>
      <c r="I297" s="14">
        <v>2</v>
      </c>
      <c r="J297" s="14">
        <v>3</v>
      </c>
      <c r="K297" s="13" t="s">
        <v>4564</v>
      </c>
      <c r="L297" s="15" t="s">
        <v>740</v>
      </c>
      <c r="M297" s="15">
        <v>277</v>
      </c>
      <c r="N297" s="15">
        <v>688</v>
      </c>
      <c r="O297" s="15">
        <v>227700</v>
      </c>
      <c r="P297" s="15">
        <v>468800</v>
      </c>
      <c r="Q297" s="15"/>
    </row>
    <row r="298" spans="1:17" ht="22.5" x14ac:dyDescent="0.25">
      <c r="A298" s="11" t="s">
        <v>3751</v>
      </c>
      <c r="B298" s="13" t="s">
        <v>742</v>
      </c>
      <c r="C298" s="16" t="s">
        <v>4053</v>
      </c>
      <c r="D298" s="13" t="s">
        <v>41</v>
      </c>
      <c r="E298" s="14" t="s">
        <v>4054</v>
      </c>
      <c r="F298" s="14" t="s">
        <v>11</v>
      </c>
      <c r="G298" s="13"/>
      <c r="H298" s="14">
        <f>G298+I298</f>
        <v>3</v>
      </c>
      <c r="I298" s="14">
        <v>3</v>
      </c>
      <c r="J298" s="14">
        <v>2</v>
      </c>
      <c r="K298" s="13" t="s">
        <v>4225</v>
      </c>
      <c r="L298" s="15" t="s">
        <v>2526</v>
      </c>
      <c r="M298" s="15">
        <v>877</v>
      </c>
      <c r="N298" s="15">
        <v>131</v>
      </c>
      <c r="O298" s="15">
        <v>87700</v>
      </c>
      <c r="P298" s="15">
        <v>13100</v>
      </c>
      <c r="Q298" s="15"/>
    </row>
    <row r="299" spans="1:17" x14ac:dyDescent="0.25">
      <c r="A299" s="11" t="s">
        <v>3751</v>
      </c>
      <c r="B299" s="13" t="s">
        <v>742</v>
      </c>
      <c r="C299" s="16" t="s">
        <v>4051</v>
      </c>
      <c r="D299" s="13" t="s">
        <v>4052</v>
      </c>
      <c r="E299" s="14" t="s">
        <v>2632</v>
      </c>
      <c r="F299" s="14" t="s">
        <v>11</v>
      </c>
      <c r="G299" s="13"/>
      <c r="H299" s="14">
        <f>G299+I299</f>
        <v>2</v>
      </c>
      <c r="I299" s="14">
        <v>2</v>
      </c>
      <c r="J299" s="14">
        <v>2</v>
      </c>
      <c r="K299" s="13" t="s">
        <v>4225</v>
      </c>
      <c r="L299" s="15" t="s">
        <v>2526</v>
      </c>
      <c r="M299" s="15">
        <v>928</v>
      </c>
      <c r="N299" s="15">
        <v>107</v>
      </c>
      <c r="O299" s="15">
        <v>92800</v>
      </c>
      <c r="P299" s="15">
        <v>10700</v>
      </c>
      <c r="Q299" s="15"/>
    </row>
    <row r="300" spans="1:17" ht="22.5" x14ac:dyDescent="0.25">
      <c r="A300" s="11" t="s">
        <v>3751</v>
      </c>
      <c r="B300" s="13" t="s">
        <v>742</v>
      </c>
      <c r="C300" s="16" t="s">
        <v>4050</v>
      </c>
      <c r="D300" s="13" t="s">
        <v>41</v>
      </c>
      <c r="E300" s="14" t="s">
        <v>2632</v>
      </c>
      <c r="F300" s="14" t="s">
        <v>11</v>
      </c>
      <c r="G300" s="13"/>
      <c r="H300" s="14">
        <f t="shared" si="4"/>
        <v>1</v>
      </c>
      <c r="I300" s="14">
        <v>1</v>
      </c>
      <c r="J300" s="14">
        <v>1</v>
      </c>
      <c r="K300" s="13" t="s">
        <v>1211</v>
      </c>
      <c r="L300" s="15" t="s">
        <v>2526</v>
      </c>
      <c r="M300" s="15">
        <v>606</v>
      </c>
      <c r="N300" s="15">
        <v>96</v>
      </c>
      <c r="O300" s="15">
        <v>60600</v>
      </c>
      <c r="P300" s="15">
        <v>9600</v>
      </c>
      <c r="Q300" s="15"/>
    </row>
    <row r="301" spans="1:17" s="46" customFormat="1" ht="22.5" x14ac:dyDescent="0.25">
      <c r="A301" s="11" t="s">
        <v>3751</v>
      </c>
      <c r="B301" s="55" t="s">
        <v>231</v>
      </c>
      <c r="C301" s="60" t="s">
        <v>4318</v>
      </c>
      <c r="D301" s="55" t="s">
        <v>4319</v>
      </c>
      <c r="E301" s="57" t="s">
        <v>86</v>
      </c>
      <c r="F301" s="57" t="s">
        <v>35</v>
      </c>
      <c r="G301" s="55"/>
      <c r="H301" s="57">
        <f>G301+I301</f>
        <v>1</v>
      </c>
      <c r="I301" s="57">
        <v>1</v>
      </c>
      <c r="J301" s="57">
        <v>1</v>
      </c>
      <c r="K301" s="55" t="s">
        <v>1704</v>
      </c>
      <c r="L301" s="46" t="s">
        <v>115</v>
      </c>
      <c r="M301" s="46">
        <v>5527</v>
      </c>
      <c r="N301" s="46">
        <v>2794</v>
      </c>
      <c r="O301" s="46">
        <v>355270</v>
      </c>
      <c r="P301" s="46">
        <v>827940</v>
      </c>
    </row>
    <row r="302" spans="1:17" x14ac:dyDescent="0.25">
      <c r="A302" s="11" t="s">
        <v>3751</v>
      </c>
      <c r="B302" s="13" t="s">
        <v>231</v>
      </c>
      <c r="C302" s="16" t="s">
        <v>129</v>
      </c>
      <c r="D302" s="13" t="s">
        <v>1009</v>
      </c>
      <c r="E302" s="14" t="s">
        <v>232</v>
      </c>
      <c r="F302" s="14" t="s">
        <v>35</v>
      </c>
      <c r="G302" s="13"/>
      <c r="H302" s="14">
        <f t="shared" si="4"/>
        <v>5</v>
      </c>
      <c r="I302" s="14">
        <v>5</v>
      </c>
      <c r="J302" s="14">
        <v>5</v>
      </c>
      <c r="K302" s="13" t="s">
        <v>4370</v>
      </c>
      <c r="L302" s="15" t="s">
        <v>130</v>
      </c>
      <c r="M302" s="15">
        <v>7335</v>
      </c>
      <c r="N302" s="15">
        <v>9590</v>
      </c>
      <c r="O302" s="15">
        <v>373350</v>
      </c>
      <c r="P302" s="15">
        <v>795900</v>
      </c>
      <c r="Q302" s="15"/>
    </row>
    <row r="303" spans="1:17" x14ac:dyDescent="0.25">
      <c r="A303" s="11" t="s">
        <v>3751</v>
      </c>
      <c r="B303" s="13" t="s">
        <v>231</v>
      </c>
      <c r="C303" s="16" t="s">
        <v>3782</v>
      </c>
      <c r="D303" s="13" t="s">
        <v>434</v>
      </c>
      <c r="E303" s="14" t="s">
        <v>86</v>
      </c>
      <c r="F303" s="14" t="s">
        <v>35</v>
      </c>
      <c r="G303" s="13">
        <v>1</v>
      </c>
      <c r="H303" s="14">
        <f>G303+I303</f>
        <v>1</v>
      </c>
      <c r="J303" s="14">
        <v>1</v>
      </c>
      <c r="K303" s="13" t="s">
        <v>1016</v>
      </c>
      <c r="L303" s="15" t="s">
        <v>115</v>
      </c>
      <c r="M303" s="15">
        <v>481</v>
      </c>
      <c r="N303" s="15">
        <v>2</v>
      </c>
      <c r="O303" s="15">
        <v>348100</v>
      </c>
      <c r="P303" s="15">
        <v>800200</v>
      </c>
      <c r="Q303" s="15"/>
    </row>
    <row r="304" spans="1:17" x14ac:dyDescent="0.25">
      <c r="A304" s="11" t="s">
        <v>3751</v>
      </c>
      <c r="B304" s="13" t="s">
        <v>231</v>
      </c>
      <c r="C304" s="16" t="s">
        <v>4047</v>
      </c>
      <c r="D304" s="13" t="s">
        <v>26</v>
      </c>
      <c r="E304" s="14" t="s">
        <v>232</v>
      </c>
      <c r="F304" s="14" t="s">
        <v>35</v>
      </c>
      <c r="G304" s="13"/>
      <c r="H304" s="14">
        <f>G304+I304</f>
        <v>1</v>
      </c>
      <c r="I304" s="14">
        <v>1</v>
      </c>
      <c r="J304" s="14">
        <v>1</v>
      </c>
      <c r="K304" s="13" t="s">
        <v>893</v>
      </c>
      <c r="L304" s="15" t="s">
        <v>130</v>
      </c>
      <c r="M304" s="15">
        <v>6332</v>
      </c>
      <c r="N304" s="15">
        <v>6645</v>
      </c>
      <c r="O304" s="15">
        <v>363320</v>
      </c>
      <c r="P304" s="15">
        <v>766450</v>
      </c>
      <c r="Q304" s="15"/>
    </row>
    <row r="305" spans="1:17" ht="25.5" x14ac:dyDescent="0.25">
      <c r="A305" s="11" t="s">
        <v>3751</v>
      </c>
      <c r="B305" s="13" t="s">
        <v>231</v>
      </c>
      <c r="C305" s="16" t="s">
        <v>4224</v>
      </c>
      <c r="D305" s="13" t="s">
        <v>18</v>
      </c>
      <c r="E305" s="14" t="s">
        <v>86</v>
      </c>
      <c r="F305" s="14" t="s">
        <v>35</v>
      </c>
      <c r="G305" s="13"/>
      <c r="H305" s="14">
        <f>G305+I305</f>
        <v>2</v>
      </c>
      <c r="I305" s="14">
        <v>2</v>
      </c>
      <c r="J305" s="14">
        <v>1</v>
      </c>
      <c r="K305" s="13" t="s">
        <v>1583</v>
      </c>
      <c r="L305" s="15" t="s">
        <v>115</v>
      </c>
      <c r="M305" s="15">
        <v>449</v>
      </c>
      <c r="N305" s="15">
        <v>307</v>
      </c>
      <c r="O305" s="15">
        <v>344900</v>
      </c>
      <c r="P305" s="15">
        <v>830700</v>
      </c>
      <c r="Q305" s="15"/>
    </row>
    <row r="306" spans="1:17" ht="25.5" x14ac:dyDescent="0.25">
      <c r="A306" s="11" t="s">
        <v>3751</v>
      </c>
      <c r="B306" s="13" t="s">
        <v>231</v>
      </c>
      <c r="C306" s="16" t="s">
        <v>4046</v>
      </c>
      <c r="D306" s="13" t="s">
        <v>3417</v>
      </c>
      <c r="E306" s="14" t="s">
        <v>232</v>
      </c>
      <c r="F306" s="14" t="s">
        <v>35</v>
      </c>
      <c r="G306" s="13">
        <v>2</v>
      </c>
      <c r="H306" s="14">
        <f t="shared" si="4"/>
        <v>7</v>
      </c>
      <c r="I306" s="14">
        <v>5</v>
      </c>
      <c r="J306" s="14">
        <v>2</v>
      </c>
      <c r="K306" s="13" t="s">
        <v>1453</v>
      </c>
      <c r="L306" s="15" t="s">
        <v>130</v>
      </c>
      <c r="M306" s="15">
        <v>6276</v>
      </c>
      <c r="N306" s="15">
        <v>6737</v>
      </c>
      <c r="O306" s="15">
        <v>362760</v>
      </c>
      <c r="P306" s="15">
        <v>767370</v>
      </c>
      <c r="Q306" s="15"/>
    </row>
    <row r="307" spans="1:17" ht="25.5" x14ac:dyDescent="0.25">
      <c r="A307" s="11" t="s">
        <v>3751</v>
      </c>
      <c r="B307" s="13" t="s">
        <v>231</v>
      </c>
      <c r="C307" s="16" t="s">
        <v>4395</v>
      </c>
      <c r="D307" s="13" t="s">
        <v>158</v>
      </c>
      <c r="E307" s="14" t="s">
        <v>86</v>
      </c>
      <c r="F307" s="14" t="s">
        <v>35</v>
      </c>
      <c r="G307" s="13"/>
      <c r="H307" s="14">
        <f>G307+I307</f>
        <v>1</v>
      </c>
      <c r="I307" s="14">
        <v>1</v>
      </c>
      <c r="J307" s="14">
        <v>1</v>
      </c>
      <c r="K307" s="13" t="s">
        <v>4391</v>
      </c>
      <c r="L307" s="15" t="s">
        <v>3064</v>
      </c>
      <c r="M307" s="15">
        <v>113</v>
      </c>
      <c r="N307" s="15">
        <v>415</v>
      </c>
      <c r="O307" s="15">
        <v>411300</v>
      </c>
      <c r="P307" s="15">
        <v>841500</v>
      </c>
      <c r="Q307" s="15"/>
    </row>
    <row r="308" spans="1:17" s="46" customFormat="1" x14ac:dyDescent="0.25">
      <c r="A308" s="11" t="s">
        <v>3751</v>
      </c>
      <c r="B308" s="55" t="s">
        <v>231</v>
      </c>
      <c r="C308" s="60" t="s">
        <v>2609</v>
      </c>
      <c r="D308" s="55" t="s">
        <v>8</v>
      </c>
      <c r="E308" s="57" t="s">
        <v>86</v>
      </c>
      <c r="F308" s="57" t="s">
        <v>35</v>
      </c>
      <c r="G308" s="55"/>
      <c r="H308" s="57">
        <f t="shared" si="4"/>
        <v>2</v>
      </c>
      <c r="I308" s="57">
        <v>2</v>
      </c>
      <c r="J308" s="57">
        <v>2</v>
      </c>
      <c r="K308" s="55" t="s">
        <v>4317</v>
      </c>
      <c r="L308" s="46" t="s">
        <v>115</v>
      </c>
      <c r="M308" s="46">
        <v>732</v>
      </c>
      <c r="N308" s="46">
        <v>207</v>
      </c>
      <c r="O308" s="46">
        <v>373200</v>
      </c>
      <c r="P308" s="46">
        <v>820700</v>
      </c>
    </row>
    <row r="309" spans="1:17" x14ac:dyDescent="0.25">
      <c r="A309" s="11" t="s">
        <v>3751</v>
      </c>
      <c r="B309" s="13" t="s">
        <v>231</v>
      </c>
      <c r="C309" s="16" t="s">
        <v>461</v>
      </c>
      <c r="D309" s="13" t="s">
        <v>8</v>
      </c>
      <c r="E309" s="14" t="s">
        <v>86</v>
      </c>
      <c r="F309" s="14" t="s">
        <v>35</v>
      </c>
      <c r="G309" s="13"/>
      <c r="H309" s="14">
        <f t="shared" si="4"/>
        <v>1</v>
      </c>
      <c r="I309" s="14">
        <v>1</v>
      </c>
      <c r="J309" s="14">
        <v>1</v>
      </c>
      <c r="K309" s="13" t="s">
        <v>1704</v>
      </c>
      <c r="L309" s="15" t="s">
        <v>115</v>
      </c>
      <c r="M309" s="15">
        <v>7477</v>
      </c>
      <c r="N309" s="15">
        <v>2885</v>
      </c>
      <c r="O309" s="15">
        <v>374770</v>
      </c>
      <c r="P309" s="15">
        <v>828850</v>
      </c>
      <c r="Q309" s="15"/>
    </row>
    <row r="310" spans="1:17" x14ac:dyDescent="0.25">
      <c r="A310" s="11" t="s">
        <v>3751</v>
      </c>
      <c r="B310" s="13" t="s">
        <v>231</v>
      </c>
      <c r="C310" s="16" t="s">
        <v>4489</v>
      </c>
      <c r="D310" s="13" t="s">
        <v>4423</v>
      </c>
      <c r="E310" s="14" t="s">
        <v>86</v>
      </c>
      <c r="F310" s="14" t="s">
        <v>35</v>
      </c>
      <c r="G310" s="13">
        <v>1</v>
      </c>
      <c r="H310" s="14">
        <f>G310+I310</f>
        <v>1</v>
      </c>
      <c r="J310" s="14">
        <v>1</v>
      </c>
      <c r="K310" s="13" t="s">
        <v>4484</v>
      </c>
      <c r="L310" s="15" t="s">
        <v>115</v>
      </c>
      <c r="M310" s="15">
        <v>725</v>
      </c>
      <c r="N310" s="15">
        <v>255</v>
      </c>
      <c r="O310" s="15">
        <v>372500</v>
      </c>
      <c r="P310" s="15">
        <v>825500</v>
      </c>
      <c r="Q310" s="15"/>
    </row>
    <row r="311" spans="1:17" ht="22.5" x14ac:dyDescent="0.25">
      <c r="A311" s="11" t="s">
        <v>3751</v>
      </c>
      <c r="B311" s="13" t="s">
        <v>995</v>
      </c>
      <c r="C311" s="16" t="s">
        <v>3449</v>
      </c>
      <c r="D311" s="13" t="s">
        <v>2022</v>
      </c>
      <c r="E311" s="14" t="s">
        <v>167</v>
      </c>
      <c r="F311" s="14" t="s">
        <v>35</v>
      </c>
      <c r="G311" s="13"/>
      <c r="H311" s="14">
        <f>G311+I311</f>
        <v>3</v>
      </c>
      <c r="I311" s="14">
        <v>3</v>
      </c>
      <c r="J311" s="14">
        <v>3</v>
      </c>
      <c r="K311" s="13" t="s">
        <v>3988</v>
      </c>
      <c r="L311" s="15" t="s">
        <v>130</v>
      </c>
      <c r="M311" s="15">
        <v>60580</v>
      </c>
      <c r="N311" s="15">
        <v>49470</v>
      </c>
      <c r="O311" s="15">
        <v>360580</v>
      </c>
      <c r="P311" s="15">
        <v>749470</v>
      </c>
      <c r="Q311" s="15"/>
    </row>
    <row r="312" spans="1:17" ht="33.75" x14ac:dyDescent="0.25">
      <c r="A312" s="11" t="s">
        <v>3751</v>
      </c>
      <c r="B312" s="13" t="s">
        <v>995</v>
      </c>
      <c r="C312" s="16" t="s">
        <v>2014</v>
      </c>
      <c r="D312" s="13" t="s">
        <v>3378</v>
      </c>
      <c r="E312" s="14" t="s">
        <v>167</v>
      </c>
      <c r="F312" s="14" t="s">
        <v>35</v>
      </c>
      <c r="G312" s="13"/>
      <c r="H312" s="14">
        <f>G312+I312</f>
        <v>3</v>
      </c>
      <c r="I312" s="14">
        <v>3</v>
      </c>
      <c r="J312" s="14">
        <v>3</v>
      </c>
      <c r="K312" s="13" t="s">
        <v>3988</v>
      </c>
      <c r="L312" s="15" t="s">
        <v>130</v>
      </c>
      <c r="M312" s="15">
        <v>6153</v>
      </c>
      <c r="N312" s="15">
        <v>4812</v>
      </c>
      <c r="O312" s="15">
        <v>361530</v>
      </c>
      <c r="P312" s="15">
        <v>748120</v>
      </c>
      <c r="Q312" s="15"/>
    </row>
    <row r="313" spans="1:17" x14ac:dyDescent="0.25">
      <c r="A313" s="11" t="s">
        <v>3751</v>
      </c>
      <c r="B313" s="13" t="s">
        <v>995</v>
      </c>
      <c r="C313" s="16" t="s">
        <v>3989</v>
      </c>
      <c r="D313" s="13" t="s">
        <v>20</v>
      </c>
      <c r="E313" s="14" t="s">
        <v>167</v>
      </c>
      <c r="F313" s="14" t="s">
        <v>35</v>
      </c>
      <c r="G313" s="13"/>
      <c r="H313" s="14">
        <f>G313+I313</f>
        <v>2</v>
      </c>
      <c r="I313" s="14">
        <v>2</v>
      </c>
      <c r="J313" s="14">
        <v>2</v>
      </c>
      <c r="K313" s="13" t="s">
        <v>569</v>
      </c>
      <c r="L313" s="15" t="s">
        <v>130</v>
      </c>
      <c r="M313" s="15">
        <v>60860</v>
      </c>
      <c r="N313" s="15">
        <v>65794</v>
      </c>
      <c r="O313" s="15">
        <v>360860</v>
      </c>
      <c r="P313" s="15">
        <v>765794</v>
      </c>
      <c r="Q313" s="15"/>
    </row>
    <row r="314" spans="1:17" x14ac:dyDescent="0.25">
      <c r="A314" s="11" t="s">
        <v>3751</v>
      </c>
      <c r="B314" s="13" t="s">
        <v>995</v>
      </c>
      <c r="C314" s="16" t="s">
        <v>3990</v>
      </c>
      <c r="D314" s="13" t="s">
        <v>20</v>
      </c>
      <c r="E314" s="14" t="s">
        <v>167</v>
      </c>
      <c r="F314" s="14" t="s">
        <v>35</v>
      </c>
      <c r="G314" s="13"/>
      <c r="H314" s="14">
        <f>G314+I314</f>
        <v>2</v>
      </c>
      <c r="I314" s="14">
        <v>2</v>
      </c>
      <c r="J314" s="14">
        <v>2</v>
      </c>
      <c r="K314" s="13" t="s">
        <v>569</v>
      </c>
      <c r="L314" s="15" t="s">
        <v>130</v>
      </c>
      <c r="M314" s="15">
        <v>35621</v>
      </c>
      <c r="N314" s="15">
        <v>51216</v>
      </c>
      <c r="O314" s="15">
        <v>335621</v>
      </c>
      <c r="P314" s="15">
        <v>751216</v>
      </c>
      <c r="Q314" s="15"/>
    </row>
    <row r="315" spans="1:17" x14ac:dyDescent="0.25">
      <c r="A315" s="11" t="s">
        <v>3751</v>
      </c>
      <c r="B315" s="13" t="s">
        <v>995</v>
      </c>
      <c r="C315" s="16" t="s">
        <v>996</v>
      </c>
      <c r="D315" s="13" t="s">
        <v>20</v>
      </c>
      <c r="E315" s="14" t="s">
        <v>167</v>
      </c>
      <c r="F315" s="14" t="s">
        <v>35</v>
      </c>
      <c r="G315" s="13"/>
      <c r="H315" s="14">
        <f t="shared" ref="H315:H334" si="5">G315+I315</f>
        <v>3</v>
      </c>
      <c r="I315" s="14">
        <v>3</v>
      </c>
      <c r="J315" s="14">
        <v>3</v>
      </c>
      <c r="K315" s="13" t="s">
        <v>3988</v>
      </c>
      <c r="L315" s="15" t="s">
        <v>130</v>
      </c>
      <c r="M315" s="15">
        <v>59100</v>
      </c>
      <c r="N315" s="15">
        <v>50020</v>
      </c>
      <c r="O315" s="15">
        <v>359100</v>
      </c>
      <c r="P315" s="15">
        <v>750020</v>
      </c>
      <c r="Q315" s="15"/>
    </row>
    <row r="316" spans="1:17" ht="22.5" x14ac:dyDescent="0.25">
      <c r="A316" s="11" t="s">
        <v>3751</v>
      </c>
      <c r="B316" s="13" t="s">
        <v>953</v>
      </c>
      <c r="C316" s="16" t="s">
        <v>1019</v>
      </c>
      <c r="D316" s="13" t="s">
        <v>41</v>
      </c>
      <c r="E316" s="14" t="s">
        <v>1017</v>
      </c>
      <c r="F316" s="14" t="s">
        <v>35</v>
      </c>
      <c r="G316" s="13">
        <v>1</v>
      </c>
      <c r="H316" s="14">
        <f>G316+I316</f>
        <v>1</v>
      </c>
      <c r="J316" s="14">
        <v>1</v>
      </c>
      <c r="K316" s="13" t="s">
        <v>4484</v>
      </c>
      <c r="L316" s="15" t="s">
        <v>1275</v>
      </c>
      <c r="M316" s="15">
        <v>9296</v>
      </c>
      <c r="N316" s="15">
        <v>3639</v>
      </c>
      <c r="O316" s="15">
        <v>192960</v>
      </c>
      <c r="P316" s="15">
        <v>736390</v>
      </c>
      <c r="Q316" s="15"/>
    </row>
    <row r="317" spans="1:17" ht="33.75" x14ac:dyDescent="0.25">
      <c r="A317" s="11" t="s">
        <v>3751</v>
      </c>
      <c r="B317" s="13" t="s">
        <v>953</v>
      </c>
      <c r="C317" s="16" t="s">
        <v>1021</v>
      </c>
      <c r="D317" s="13" t="s">
        <v>3167</v>
      </c>
      <c r="E317" s="14" t="s">
        <v>1017</v>
      </c>
      <c r="F317" s="14" t="s">
        <v>35</v>
      </c>
      <c r="G317" s="13">
        <v>6</v>
      </c>
      <c r="H317" s="14">
        <f t="shared" si="5"/>
        <v>6</v>
      </c>
      <c r="J317" s="14">
        <v>4</v>
      </c>
      <c r="K317" s="13" t="s">
        <v>4571</v>
      </c>
      <c r="L317" s="15" t="s">
        <v>956</v>
      </c>
      <c r="M317" s="15">
        <v>6926</v>
      </c>
      <c r="N317" s="15">
        <v>4334</v>
      </c>
      <c r="O317" s="15">
        <v>169260</v>
      </c>
      <c r="P317" s="15">
        <v>643340</v>
      </c>
      <c r="Q317" s="15"/>
    </row>
    <row r="318" spans="1:17" ht="22.5" x14ac:dyDescent="0.25">
      <c r="A318" s="11" t="s">
        <v>3751</v>
      </c>
      <c r="B318" s="13" t="s">
        <v>953</v>
      </c>
      <c r="C318" s="16" t="s">
        <v>1494</v>
      </c>
      <c r="D318" s="13" t="s">
        <v>41</v>
      </c>
      <c r="E318" s="14" t="s">
        <v>1017</v>
      </c>
      <c r="F318" s="14" t="s">
        <v>35</v>
      </c>
      <c r="G318" s="13">
        <v>1</v>
      </c>
      <c r="H318" s="14">
        <f t="shared" si="5"/>
        <v>1</v>
      </c>
      <c r="J318" s="14">
        <v>1</v>
      </c>
      <c r="K318" s="13" t="s">
        <v>4375</v>
      </c>
      <c r="L318" s="15" t="s">
        <v>956</v>
      </c>
      <c r="M318" s="15">
        <v>7937</v>
      </c>
      <c r="N318" s="15">
        <v>4187</v>
      </c>
      <c r="O318" s="15">
        <v>179370</v>
      </c>
      <c r="P318" s="15">
        <v>641870</v>
      </c>
      <c r="Q318" s="15"/>
    </row>
    <row r="319" spans="1:17" ht="22.5" x14ac:dyDescent="0.25">
      <c r="A319" s="11" t="s">
        <v>3751</v>
      </c>
      <c r="B319" s="13" t="s">
        <v>953</v>
      </c>
      <c r="C319" s="16" t="s">
        <v>4582</v>
      </c>
      <c r="D319" s="13" t="s">
        <v>1333</v>
      </c>
      <c r="E319" s="13" t="s">
        <v>1017</v>
      </c>
      <c r="F319" s="14" t="s">
        <v>35</v>
      </c>
      <c r="G319" s="13"/>
      <c r="H319" s="14">
        <f>G319+I319</f>
        <v>1</v>
      </c>
      <c r="I319" s="14">
        <v>1</v>
      </c>
      <c r="J319" s="14">
        <v>1</v>
      </c>
      <c r="K319" s="13" t="s">
        <v>3281</v>
      </c>
      <c r="L319" s="15" t="s">
        <v>1275</v>
      </c>
      <c r="M319" s="15">
        <v>881</v>
      </c>
      <c r="N319" s="15">
        <v>13</v>
      </c>
      <c r="O319" s="15">
        <v>188100</v>
      </c>
      <c r="P319" s="15">
        <v>701300</v>
      </c>
      <c r="Q319" s="15"/>
    </row>
    <row r="320" spans="1:17" ht="22.5" x14ac:dyDescent="0.25">
      <c r="A320" s="11" t="s">
        <v>3751</v>
      </c>
      <c r="B320" s="13" t="s">
        <v>953</v>
      </c>
      <c r="C320" s="16" t="s">
        <v>1553</v>
      </c>
      <c r="D320" s="13" t="s">
        <v>41</v>
      </c>
      <c r="E320" s="14" t="s">
        <v>728</v>
      </c>
      <c r="F320" s="14" t="s">
        <v>35</v>
      </c>
      <c r="G320" s="13">
        <v>1</v>
      </c>
      <c r="H320" s="14">
        <f>G320+I320</f>
        <v>1</v>
      </c>
      <c r="J320" s="14">
        <v>1</v>
      </c>
      <c r="K320" s="13" t="s">
        <v>3266</v>
      </c>
      <c r="L320" s="15" t="s">
        <v>956</v>
      </c>
      <c r="M320" s="15">
        <v>99708</v>
      </c>
      <c r="N320" s="15">
        <v>70570</v>
      </c>
      <c r="O320" s="15">
        <v>199708</v>
      </c>
      <c r="P320" s="15">
        <v>670570</v>
      </c>
      <c r="Q320" s="15"/>
    </row>
    <row r="321" spans="1:17" ht="22.5" x14ac:dyDescent="0.25">
      <c r="A321" s="11" t="s">
        <v>3751</v>
      </c>
      <c r="B321" s="13" t="s">
        <v>953</v>
      </c>
      <c r="C321" s="16" t="s">
        <v>1496</v>
      </c>
      <c r="D321" s="13" t="s">
        <v>41</v>
      </c>
      <c r="E321" s="14" t="s">
        <v>1497</v>
      </c>
      <c r="F321" s="14" t="s">
        <v>35</v>
      </c>
      <c r="G321" s="13"/>
      <c r="H321" s="14">
        <f>G321+I321</f>
        <v>2</v>
      </c>
      <c r="I321" s="14">
        <v>2</v>
      </c>
      <c r="J321" s="14">
        <v>1</v>
      </c>
      <c r="K321" s="13" t="s">
        <v>2215</v>
      </c>
      <c r="L321" s="15" t="s">
        <v>956</v>
      </c>
      <c r="M321" s="15">
        <v>74500</v>
      </c>
      <c r="N321" s="15">
        <v>26850</v>
      </c>
      <c r="O321" s="15">
        <v>174500</v>
      </c>
      <c r="P321" s="15">
        <v>626850</v>
      </c>
      <c r="Q321" s="15"/>
    </row>
    <row r="322" spans="1:17" ht="22.5" x14ac:dyDescent="0.25">
      <c r="A322" s="11" t="s">
        <v>3751</v>
      </c>
      <c r="B322" s="13" t="s">
        <v>953</v>
      </c>
      <c r="C322" s="16" t="s">
        <v>2608</v>
      </c>
      <c r="D322" s="13" t="s">
        <v>41</v>
      </c>
      <c r="E322" s="14" t="s">
        <v>1004</v>
      </c>
      <c r="F322" s="14" t="s">
        <v>35</v>
      </c>
      <c r="G322" s="13">
        <v>1</v>
      </c>
      <c r="H322" s="14">
        <f>G322+I322</f>
        <v>3</v>
      </c>
      <c r="I322" s="14">
        <v>2</v>
      </c>
      <c r="J322" s="14">
        <v>2</v>
      </c>
      <c r="K322" s="13" t="s">
        <v>4581</v>
      </c>
      <c r="L322" s="15" t="s">
        <v>956</v>
      </c>
      <c r="M322" s="15">
        <v>828</v>
      </c>
      <c r="N322" s="15">
        <v>979</v>
      </c>
      <c r="O322" s="15">
        <v>182800</v>
      </c>
      <c r="P322" s="15">
        <v>697900</v>
      </c>
      <c r="Q322" s="15"/>
    </row>
    <row r="323" spans="1:17" ht="22.5" x14ac:dyDescent="0.25">
      <c r="A323" s="11" t="s">
        <v>3751</v>
      </c>
      <c r="B323" s="13" t="s">
        <v>953</v>
      </c>
      <c r="C323" s="16" t="s">
        <v>1002</v>
      </c>
      <c r="D323" s="13" t="s">
        <v>1003</v>
      </c>
      <c r="E323" s="14" t="s">
        <v>1004</v>
      </c>
      <c r="F323" s="14" t="s">
        <v>35</v>
      </c>
      <c r="G323" s="13"/>
      <c r="H323" s="14">
        <f t="shared" si="5"/>
        <v>3</v>
      </c>
      <c r="I323" s="14">
        <v>3</v>
      </c>
      <c r="J323" s="14">
        <v>2</v>
      </c>
      <c r="K323" s="13" t="s">
        <v>4586</v>
      </c>
      <c r="L323" s="15" t="s">
        <v>956</v>
      </c>
      <c r="M323" s="15">
        <v>8263</v>
      </c>
      <c r="N323" s="15">
        <v>9782</v>
      </c>
      <c r="O323" s="15">
        <v>182630</v>
      </c>
      <c r="P323" s="15">
        <v>697820</v>
      </c>
      <c r="Q323" s="15"/>
    </row>
    <row r="324" spans="1:17" ht="33.75" x14ac:dyDescent="0.25">
      <c r="A324" s="11" t="s">
        <v>3751</v>
      </c>
      <c r="B324" s="13" t="s">
        <v>394</v>
      </c>
      <c r="C324" s="16" t="s">
        <v>395</v>
      </c>
      <c r="D324" s="13" t="s">
        <v>4572</v>
      </c>
      <c r="E324" s="14" t="s">
        <v>397</v>
      </c>
      <c r="F324" s="14" t="s">
        <v>35</v>
      </c>
      <c r="G324" s="13">
        <v>10</v>
      </c>
      <c r="H324" s="14">
        <f t="shared" si="5"/>
        <v>14</v>
      </c>
      <c r="I324" s="14">
        <v>4</v>
      </c>
      <c r="J324" s="14">
        <v>8</v>
      </c>
      <c r="K324" s="13" t="s">
        <v>4573</v>
      </c>
      <c r="L324" s="15" t="s">
        <v>398</v>
      </c>
      <c r="M324" s="15">
        <v>2057</v>
      </c>
      <c r="N324" s="15">
        <v>4029</v>
      </c>
      <c r="O324" s="15">
        <v>320570</v>
      </c>
      <c r="P324" s="15">
        <v>640290</v>
      </c>
      <c r="Q324" s="15"/>
    </row>
    <row r="325" spans="1:17" ht="22.5" x14ac:dyDescent="0.25">
      <c r="A325" s="11" t="s">
        <v>3751</v>
      </c>
      <c r="B325" s="13" t="s">
        <v>238</v>
      </c>
      <c r="C325" s="16" t="s">
        <v>4119</v>
      </c>
      <c r="D325" s="13" t="s">
        <v>1082</v>
      </c>
      <c r="E325" s="14" t="s">
        <v>236</v>
      </c>
      <c r="F325" s="14" t="s">
        <v>35</v>
      </c>
      <c r="G325" s="13"/>
      <c r="H325" s="14">
        <f>G325+I325</f>
        <v>1</v>
      </c>
      <c r="I325" s="14">
        <v>1</v>
      </c>
      <c r="J325" s="14">
        <v>1</v>
      </c>
      <c r="K325" s="13" t="s">
        <v>1286</v>
      </c>
      <c r="L325" s="15" t="s">
        <v>133</v>
      </c>
      <c r="M325" s="15">
        <v>31327</v>
      </c>
      <c r="N325" s="15">
        <v>41124</v>
      </c>
      <c r="O325" s="15">
        <v>331327</v>
      </c>
      <c r="P325" s="15">
        <v>941124</v>
      </c>
      <c r="Q325" s="15"/>
    </row>
    <row r="326" spans="1:17" x14ac:dyDescent="0.25">
      <c r="A326" s="11" t="s">
        <v>3751</v>
      </c>
      <c r="B326" s="13" t="s">
        <v>238</v>
      </c>
      <c r="C326" s="16" t="s">
        <v>239</v>
      </c>
      <c r="D326" s="13" t="s">
        <v>26</v>
      </c>
      <c r="E326" s="14" t="s">
        <v>236</v>
      </c>
      <c r="F326" s="14" t="s">
        <v>35</v>
      </c>
      <c r="G326" s="13">
        <v>1</v>
      </c>
      <c r="H326" s="14">
        <f t="shared" si="5"/>
        <v>5</v>
      </c>
      <c r="I326" s="14">
        <v>4</v>
      </c>
      <c r="J326" s="14">
        <v>3</v>
      </c>
      <c r="K326" s="13" t="s">
        <v>4492</v>
      </c>
      <c r="L326" s="15" t="s">
        <v>133</v>
      </c>
      <c r="M326" s="15">
        <v>2601</v>
      </c>
      <c r="N326" s="15">
        <v>4420</v>
      </c>
      <c r="O326" s="15">
        <v>326010</v>
      </c>
      <c r="P326" s="15">
        <v>944200</v>
      </c>
      <c r="Q326" s="15"/>
    </row>
    <row r="327" spans="1:17" ht="22.5" x14ac:dyDescent="0.25">
      <c r="A327" s="11" t="s">
        <v>3751</v>
      </c>
      <c r="B327" s="13" t="s">
        <v>238</v>
      </c>
      <c r="C327" s="16" t="s">
        <v>1081</v>
      </c>
      <c r="D327" s="13" t="s">
        <v>1082</v>
      </c>
      <c r="E327" s="14" t="s">
        <v>236</v>
      </c>
      <c r="F327" s="14" t="s">
        <v>35</v>
      </c>
      <c r="G327" s="13"/>
      <c r="H327" s="14">
        <f t="shared" si="5"/>
        <v>3</v>
      </c>
      <c r="I327" s="14">
        <v>3</v>
      </c>
      <c r="J327" s="14">
        <v>2</v>
      </c>
      <c r="K327" s="13" t="s">
        <v>4159</v>
      </c>
      <c r="L327" s="15" t="s">
        <v>133</v>
      </c>
      <c r="M327" s="15">
        <v>2608</v>
      </c>
      <c r="N327" s="15">
        <v>4403</v>
      </c>
      <c r="O327" s="15">
        <v>326080</v>
      </c>
      <c r="P327" s="15">
        <v>944030</v>
      </c>
      <c r="Q327" s="15"/>
    </row>
    <row r="328" spans="1:17" ht="25.5" x14ac:dyDescent="0.25">
      <c r="A328" s="11" t="s">
        <v>3751</v>
      </c>
      <c r="B328" s="13" t="s">
        <v>238</v>
      </c>
      <c r="C328" s="60" t="s">
        <v>2610</v>
      </c>
      <c r="D328" s="13" t="s">
        <v>955</v>
      </c>
      <c r="E328" s="14" t="s">
        <v>236</v>
      </c>
      <c r="F328" s="14" t="s">
        <v>35</v>
      </c>
      <c r="G328" s="13"/>
      <c r="H328" s="14">
        <f t="shared" si="5"/>
        <v>1</v>
      </c>
      <c r="I328" s="14">
        <v>1</v>
      </c>
      <c r="J328" s="14">
        <v>1</v>
      </c>
      <c r="K328" s="13" t="s">
        <v>4332</v>
      </c>
      <c r="L328" s="15" t="s">
        <v>133</v>
      </c>
      <c r="M328" s="15">
        <v>29515</v>
      </c>
      <c r="N328" s="15">
        <v>38405</v>
      </c>
      <c r="O328" s="15">
        <v>329515</v>
      </c>
      <c r="P328" s="15">
        <v>938405</v>
      </c>
      <c r="Q328" s="15"/>
    </row>
    <row r="329" spans="1:17" ht="25.5" x14ac:dyDescent="0.25">
      <c r="A329" s="11" t="s">
        <v>3751</v>
      </c>
      <c r="B329" s="13" t="s">
        <v>238</v>
      </c>
      <c r="C329" s="16" t="s">
        <v>4150</v>
      </c>
      <c r="D329" s="13" t="s">
        <v>41</v>
      </c>
      <c r="E329" s="13" t="s">
        <v>236</v>
      </c>
      <c r="F329" s="14" t="s">
        <v>35</v>
      </c>
      <c r="G329" s="13">
        <v>2</v>
      </c>
      <c r="H329" s="14">
        <f>G329+I329</f>
        <v>4</v>
      </c>
      <c r="I329" s="14">
        <v>2</v>
      </c>
      <c r="J329" s="14">
        <v>3</v>
      </c>
      <c r="K329" s="13" t="s">
        <v>4543</v>
      </c>
      <c r="L329" s="15" t="s">
        <v>133</v>
      </c>
      <c r="M329" s="15">
        <v>31002</v>
      </c>
      <c r="N329" s="15">
        <v>40840</v>
      </c>
      <c r="O329" s="15">
        <v>331002</v>
      </c>
      <c r="P329" s="15">
        <v>940840</v>
      </c>
      <c r="Q329" s="15"/>
    </row>
    <row r="330" spans="1:17" ht="22.5" x14ac:dyDescent="0.25">
      <c r="A330" s="11" t="s">
        <v>3751</v>
      </c>
      <c r="B330" s="13" t="s">
        <v>238</v>
      </c>
      <c r="C330" s="16" t="s">
        <v>1534</v>
      </c>
      <c r="D330" s="13" t="s">
        <v>41</v>
      </c>
      <c r="E330" s="13" t="s">
        <v>236</v>
      </c>
      <c r="F330" s="14" t="s">
        <v>35</v>
      </c>
      <c r="G330" s="13">
        <v>1</v>
      </c>
      <c r="H330" s="14">
        <f t="shared" si="5"/>
        <v>2</v>
      </c>
      <c r="I330" s="14">
        <v>1</v>
      </c>
      <c r="J330" s="14">
        <v>2</v>
      </c>
      <c r="K330" s="13" t="s">
        <v>4431</v>
      </c>
      <c r="L330" s="15" t="s">
        <v>133</v>
      </c>
      <c r="M330" s="15">
        <v>33220</v>
      </c>
      <c r="N330" s="15">
        <v>42941</v>
      </c>
      <c r="O330" s="15">
        <v>333220</v>
      </c>
      <c r="P330" s="15">
        <v>942941</v>
      </c>
      <c r="Q330" s="15"/>
    </row>
    <row r="331" spans="1:17" ht="22.5" x14ac:dyDescent="0.25">
      <c r="A331" s="11" t="s">
        <v>3751</v>
      </c>
      <c r="B331" s="13" t="s">
        <v>238</v>
      </c>
      <c r="C331" s="16" t="s">
        <v>1533</v>
      </c>
      <c r="D331" s="13" t="s">
        <v>41</v>
      </c>
      <c r="E331" s="13" t="s">
        <v>236</v>
      </c>
      <c r="F331" s="14" t="s">
        <v>35</v>
      </c>
      <c r="G331" s="13"/>
      <c r="H331" s="14">
        <f>G331+I331</f>
        <v>3</v>
      </c>
      <c r="I331" s="14">
        <v>3</v>
      </c>
      <c r="J331" s="14">
        <v>2</v>
      </c>
      <c r="K331" s="13" t="s">
        <v>4159</v>
      </c>
      <c r="L331" s="15" t="s">
        <v>133</v>
      </c>
      <c r="M331" s="15">
        <v>30492</v>
      </c>
      <c r="N331" s="15">
        <v>43464</v>
      </c>
      <c r="O331" s="15">
        <v>330492</v>
      </c>
      <c r="P331" s="15">
        <v>943464</v>
      </c>
      <c r="Q331" s="15"/>
    </row>
    <row r="332" spans="1:17" ht="22.5" x14ac:dyDescent="0.25">
      <c r="A332" s="11" t="s">
        <v>3751</v>
      </c>
      <c r="B332" s="13" t="s">
        <v>238</v>
      </c>
      <c r="C332" s="16" t="s">
        <v>4160</v>
      </c>
      <c r="D332" s="13" t="s">
        <v>41</v>
      </c>
      <c r="E332" s="13" t="s">
        <v>236</v>
      </c>
      <c r="F332" s="14" t="s">
        <v>35</v>
      </c>
      <c r="G332" s="13"/>
      <c r="H332" s="14">
        <f>G332+I332</f>
        <v>1</v>
      </c>
      <c r="I332" s="14">
        <v>1</v>
      </c>
      <c r="J332" s="14">
        <v>1</v>
      </c>
      <c r="K332" s="13" t="s">
        <v>1262</v>
      </c>
      <c r="L332" s="15" t="s">
        <v>133</v>
      </c>
      <c r="M332" s="15">
        <v>30492</v>
      </c>
      <c r="N332" s="15">
        <v>43464</v>
      </c>
      <c r="O332" s="15">
        <v>330492</v>
      </c>
      <c r="P332" s="15">
        <v>943464</v>
      </c>
      <c r="Q332" s="15"/>
    </row>
    <row r="333" spans="1:17" ht="22.5" x14ac:dyDescent="0.25">
      <c r="A333" s="11" t="s">
        <v>3751</v>
      </c>
      <c r="B333" s="13" t="s">
        <v>238</v>
      </c>
      <c r="C333" s="16" t="s">
        <v>1080</v>
      </c>
      <c r="D333" s="13" t="s">
        <v>41</v>
      </c>
      <c r="E333" s="13" t="s">
        <v>1078</v>
      </c>
      <c r="F333" s="14" t="s">
        <v>35</v>
      </c>
      <c r="G333" s="13"/>
      <c r="H333" s="14">
        <f t="shared" si="5"/>
        <v>2</v>
      </c>
      <c r="I333" s="14">
        <v>2</v>
      </c>
      <c r="J333" s="14">
        <v>1</v>
      </c>
      <c r="K333" s="13" t="s">
        <v>1258</v>
      </c>
      <c r="L333" s="15" t="s">
        <v>133</v>
      </c>
      <c r="M333" s="15">
        <v>704</v>
      </c>
      <c r="N333" s="15">
        <v>6192</v>
      </c>
      <c r="O333" s="15">
        <v>307040</v>
      </c>
      <c r="P333" s="15">
        <v>961920</v>
      </c>
      <c r="Q333" s="15"/>
    </row>
    <row r="334" spans="1:17" ht="22.5" x14ac:dyDescent="0.25">
      <c r="A334" s="11" t="s">
        <v>3751</v>
      </c>
      <c r="B334" s="13" t="s">
        <v>238</v>
      </c>
      <c r="C334" s="16" t="s">
        <v>1077</v>
      </c>
      <c r="D334" s="13" t="s">
        <v>41</v>
      </c>
      <c r="E334" s="13" t="s">
        <v>1078</v>
      </c>
      <c r="F334" s="14" t="s">
        <v>35</v>
      </c>
      <c r="G334" s="13">
        <v>1</v>
      </c>
      <c r="H334" s="14">
        <f t="shared" si="5"/>
        <v>3</v>
      </c>
      <c r="I334" s="14">
        <v>2</v>
      </c>
      <c r="J334" s="14">
        <v>2</v>
      </c>
      <c r="K334" s="13" t="s">
        <v>4542</v>
      </c>
      <c r="L334" s="15" t="s">
        <v>133</v>
      </c>
      <c r="M334" s="15">
        <v>682</v>
      </c>
      <c r="N334" s="15">
        <v>6188</v>
      </c>
      <c r="O334" s="15">
        <v>306820</v>
      </c>
      <c r="P334" s="15">
        <v>961880</v>
      </c>
      <c r="Q334" s="15"/>
    </row>
    <row r="335" spans="1:17" ht="25.5" x14ac:dyDescent="0.25">
      <c r="A335" s="11" t="s">
        <v>3751</v>
      </c>
      <c r="B335" s="13" t="s">
        <v>226</v>
      </c>
      <c r="C335" s="16" t="s">
        <v>4300</v>
      </c>
      <c r="D335" s="13" t="s">
        <v>18</v>
      </c>
      <c r="E335" s="13" t="s">
        <v>228</v>
      </c>
      <c r="F335" s="14" t="s">
        <v>35</v>
      </c>
      <c r="G335" s="13"/>
      <c r="H335" s="14">
        <f>G335+I335</f>
        <v>1</v>
      </c>
      <c r="I335" s="14">
        <v>1</v>
      </c>
      <c r="J335" s="14">
        <v>1</v>
      </c>
      <c r="K335" s="13" t="s">
        <v>4299</v>
      </c>
      <c r="L335" s="15" t="s">
        <v>166</v>
      </c>
      <c r="M335" s="15">
        <v>2194</v>
      </c>
      <c r="N335" s="15">
        <v>7465</v>
      </c>
      <c r="O335" s="15">
        <v>321940</v>
      </c>
      <c r="P335" s="15">
        <v>574650</v>
      </c>
      <c r="Q335" s="15"/>
    </row>
    <row r="336" spans="1:17" ht="22.5" x14ac:dyDescent="0.25">
      <c r="A336" s="11" t="s">
        <v>3751</v>
      </c>
      <c r="B336" s="13" t="s">
        <v>226</v>
      </c>
      <c r="C336" s="16" t="s">
        <v>961</v>
      </c>
      <c r="D336" s="13" t="s">
        <v>26</v>
      </c>
      <c r="E336" s="13" t="s">
        <v>228</v>
      </c>
      <c r="F336" s="14" t="s">
        <v>35</v>
      </c>
      <c r="G336" s="13">
        <v>1</v>
      </c>
      <c r="H336" s="14">
        <f>G336+I336</f>
        <v>2</v>
      </c>
      <c r="I336" s="14">
        <v>1</v>
      </c>
      <c r="J336" s="14">
        <v>2</v>
      </c>
      <c r="K336" s="13" t="s">
        <v>4488</v>
      </c>
      <c r="L336" s="15" t="s">
        <v>229</v>
      </c>
      <c r="M336" s="15">
        <v>51820</v>
      </c>
      <c r="N336" s="15">
        <v>54045</v>
      </c>
      <c r="O336" s="15">
        <v>251820</v>
      </c>
      <c r="P336" s="15">
        <v>554045</v>
      </c>
      <c r="Q336" s="15"/>
    </row>
    <row r="337" spans="1:17" ht="22.5" x14ac:dyDescent="0.25">
      <c r="A337" s="11" t="s">
        <v>3751</v>
      </c>
      <c r="B337" s="13" t="s">
        <v>226</v>
      </c>
      <c r="C337" s="16" t="s">
        <v>4149</v>
      </c>
      <c r="D337" s="13" t="s">
        <v>1538</v>
      </c>
      <c r="E337" s="13" t="s">
        <v>228</v>
      </c>
      <c r="F337" s="14" t="s">
        <v>35</v>
      </c>
      <c r="G337" s="13"/>
      <c r="H337" s="14">
        <f>G337+I337</f>
        <v>2</v>
      </c>
      <c r="I337" s="14">
        <v>2</v>
      </c>
      <c r="J337" s="14">
        <v>1</v>
      </c>
      <c r="K337" s="13" t="s">
        <v>2215</v>
      </c>
      <c r="L337" s="15" t="s">
        <v>229</v>
      </c>
      <c r="M337" s="15">
        <v>1746</v>
      </c>
      <c r="N337" s="15">
        <v>7525</v>
      </c>
      <c r="O337" s="15">
        <v>217460</v>
      </c>
      <c r="P337" s="15">
        <v>575250</v>
      </c>
      <c r="Q337" s="15"/>
    </row>
    <row r="338" spans="1:17" ht="22.5" x14ac:dyDescent="0.25">
      <c r="A338" s="11" t="s">
        <v>3751</v>
      </c>
      <c r="B338" s="13" t="s">
        <v>226</v>
      </c>
      <c r="C338" s="16" t="s">
        <v>4120</v>
      </c>
      <c r="D338" s="13" t="s">
        <v>41</v>
      </c>
      <c r="E338" s="13" t="s">
        <v>4043</v>
      </c>
      <c r="F338" s="14" t="s">
        <v>35</v>
      </c>
      <c r="G338" s="13"/>
      <c r="H338" s="14">
        <f>G338+I338</f>
        <v>2</v>
      </c>
      <c r="I338" s="14">
        <v>2</v>
      </c>
      <c r="J338" s="14">
        <v>1</v>
      </c>
      <c r="K338" s="13" t="s">
        <v>2215</v>
      </c>
      <c r="L338" s="15" t="s">
        <v>229</v>
      </c>
      <c r="M338" s="15">
        <v>1984</v>
      </c>
      <c r="N338" s="15">
        <v>6441</v>
      </c>
      <c r="O338" s="15">
        <v>219840</v>
      </c>
      <c r="P338" s="15">
        <v>564410</v>
      </c>
      <c r="Q338" s="15"/>
    </row>
    <row r="339" spans="1:17" ht="22.5" x14ac:dyDescent="0.25">
      <c r="A339" s="11" t="s">
        <v>3751</v>
      </c>
      <c r="B339" s="13" t="s">
        <v>226</v>
      </c>
      <c r="C339" s="16" t="s">
        <v>717</v>
      </c>
      <c r="D339" s="13" t="s">
        <v>39</v>
      </c>
      <c r="E339" s="13" t="s">
        <v>228</v>
      </c>
      <c r="F339" s="14" t="s">
        <v>35</v>
      </c>
      <c r="G339" s="13">
        <v>2</v>
      </c>
      <c r="H339" s="14">
        <f t="shared" ref="H339:H435" si="6">G339+I339</f>
        <v>2</v>
      </c>
      <c r="J339" s="14">
        <v>2</v>
      </c>
      <c r="K339" s="13" t="s">
        <v>4502</v>
      </c>
      <c r="L339" s="15" t="s">
        <v>229</v>
      </c>
      <c r="M339" s="15">
        <v>19</v>
      </c>
      <c r="N339" s="15">
        <v>57</v>
      </c>
      <c r="O339" s="15">
        <v>219500</v>
      </c>
      <c r="P339" s="15">
        <v>557500</v>
      </c>
      <c r="Q339" s="15"/>
    </row>
    <row r="340" spans="1:17" ht="33.75" x14ac:dyDescent="0.25">
      <c r="A340" s="11" t="s">
        <v>3751</v>
      </c>
      <c r="B340" s="13" t="s">
        <v>226</v>
      </c>
      <c r="C340" s="16" t="s">
        <v>963</v>
      </c>
      <c r="D340" s="13" t="s">
        <v>3421</v>
      </c>
      <c r="E340" s="13" t="s">
        <v>228</v>
      </c>
      <c r="F340" s="14" t="s">
        <v>35</v>
      </c>
      <c r="G340" s="13"/>
      <c r="H340" s="14">
        <f t="shared" si="6"/>
        <v>4</v>
      </c>
      <c r="I340" s="14">
        <v>4</v>
      </c>
      <c r="J340" s="14">
        <v>2</v>
      </c>
      <c r="K340" s="13" t="s">
        <v>4044</v>
      </c>
      <c r="L340" s="15" t="s">
        <v>229</v>
      </c>
      <c r="M340" s="15">
        <v>9688</v>
      </c>
      <c r="N340" s="15">
        <v>6507</v>
      </c>
      <c r="O340" s="15">
        <v>296880</v>
      </c>
      <c r="P340" s="15">
        <v>565070</v>
      </c>
      <c r="Q340" s="15"/>
    </row>
    <row r="341" spans="1:17" ht="22.5" x14ac:dyDescent="0.25">
      <c r="A341" s="11" t="s">
        <v>3751</v>
      </c>
      <c r="B341" s="13" t="s">
        <v>226</v>
      </c>
      <c r="C341" s="16" t="s">
        <v>227</v>
      </c>
      <c r="D341" s="13" t="s">
        <v>41</v>
      </c>
      <c r="E341" s="13" t="s">
        <v>228</v>
      </c>
      <c r="F341" s="14" t="s">
        <v>35</v>
      </c>
      <c r="G341" s="13"/>
      <c r="H341" s="14">
        <f t="shared" si="6"/>
        <v>3</v>
      </c>
      <c r="I341" s="14">
        <v>3</v>
      </c>
      <c r="J341" s="14">
        <v>1</v>
      </c>
      <c r="K341" s="13" t="s">
        <v>2215</v>
      </c>
      <c r="L341" s="15" t="s">
        <v>229</v>
      </c>
      <c r="M341" s="15">
        <v>1867</v>
      </c>
      <c r="N341" s="15">
        <v>6100</v>
      </c>
      <c r="O341" s="15">
        <v>218670</v>
      </c>
      <c r="P341" s="15">
        <v>561000</v>
      </c>
      <c r="Q341" s="15"/>
    </row>
    <row r="342" spans="1:17" ht="33.75" x14ac:dyDescent="0.25">
      <c r="A342" s="11" t="s">
        <v>3751</v>
      </c>
      <c r="B342" s="13" t="s">
        <v>226</v>
      </c>
      <c r="C342" s="16" t="s">
        <v>3422</v>
      </c>
      <c r="D342" s="13" t="s">
        <v>3421</v>
      </c>
      <c r="E342" s="13" t="s">
        <v>4043</v>
      </c>
      <c r="F342" s="14" t="s">
        <v>35</v>
      </c>
      <c r="G342" s="13"/>
      <c r="H342" s="14">
        <f t="shared" si="6"/>
        <v>4</v>
      </c>
      <c r="I342" s="14">
        <v>4</v>
      </c>
      <c r="J342" s="14">
        <v>2</v>
      </c>
      <c r="K342" s="13" t="s">
        <v>4044</v>
      </c>
      <c r="L342" s="15" t="s">
        <v>229</v>
      </c>
      <c r="M342" s="15">
        <v>9239</v>
      </c>
      <c r="N342" s="15">
        <v>6142</v>
      </c>
      <c r="O342" s="15">
        <v>292390</v>
      </c>
      <c r="P342" s="15">
        <v>561420</v>
      </c>
      <c r="Q342" s="15"/>
    </row>
    <row r="343" spans="1:17" x14ac:dyDescent="0.25">
      <c r="A343" s="11" t="s">
        <v>3751</v>
      </c>
      <c r="B343" s="13" t="s">
        <v>226</v>
      </c>
      <c r="C343" s="16" t="s">
        <v>3026</v>
      </c>
      <c r="D343" s="13" t="s">
        <v>8</v>
      </c>
      <c r="E343" s="13" t="s">
        <v>3309</v>
      </c>
      <c r="F343" s="14" t="s">
        <v>35</v>
      </c>
      <c r="G343" s="13"/>
      <c r="H343" s="14">
        <f>G343+I343</f>
        <v>2</v>
      </c>
      <c r="I343" s="14">
        <v>2</v>
      </c>
      <c r="J343" s="14">
        <v>2</v>
      </c>
      <c r="K343" s="13" t="s">
        <v>4305</v>
      </c>
      <c r="L343" s="15" t="s">
        <v>229</v>
      </c>
      <c r="M343" s="15">
        <v>947</v>
      </c>
      <c r="N343" s="15">
        <v>794</v>
      </c>
      <c r="O343" s="15">
        <v>294700</v>
      </c>
      <c r="P343" s="15">
        <v>556400</v>
      </c>
      <c r="Q343" s="15"/>
    </row>
    <row r="344" spans="1:17" ht="25.5" x14ac:dyDescent="0.25">
      <c r="A344" s="11" t="s">
        <v>3751</v>
      </c>
      <c r="B344" s="13" t="s">
        <v>226</v>
      </c>
      <c r="C344" s="16" t="s">
        <v>4301</v>
      </c>
      <c r="D344" s="13" t="s">
        <v>8</v>
      </c>
      <c r="E344" s="13" t="s">
        <v>2784</v>
      </c>
      <c r="F344" s="14" t="s">
        <v>35</v>
      </c>
      <c r="G344" s="13"/>
      <c r="H344" s="14">
        <f>G344+I344</f>
        <v>1</v>
      </c>
      <c r="I344" s="14">
        <v>1</v>
      </c>
      <c r="J344" s="14">
        <v>1</v>
      </c>
      <c r="K344" s="13" t="s">
        <v>4299</v>
      </c>
      <c r="L344" s="15" t="s">
        <v>166</v>
      </c>
      <c r="M344" s="15">
        <v>2240</v>
      </c>
      <c r="N344" s="15">
        <v>8806</v>
      </c>
      <c r="O344" s="15">
        <v>322400</v>
      </c>
      <c r="P344" s="15">
        <v>588060</v>
      </c>
      <c r="Q344" s="15"/>
    </row>
    <row r="345" spans="1:17" ht="22.5" x14ac:dyDescent="0.25">
      <c r="A345" s="11" t="s">
        <v>3751</v>
      </c>
      <c r="B345" s="13" t="s">
        <v>226</v>
      </c>
      <c r="C345" s="16" t="s">
        <v>4121</v>
      </c>
      <c r="D345" s="13" t="s">
        <v>4122</v>
      </c>
      <c r="E345" s="13" t="s">
        <v>3067</v>
      </c>
      <c r="F345" s="14" t="s">
        <v>35</v>
      </c>
      <c r="G345" s="13"/>
      <c r="H345" s="14">
        <f>G345+I345</f>
        <v>2</v>
      </c>
      <c r="I345" s="14">
        <v>2</v>
      </c>
      <c r="J345" s="14">
        <v>1</v>
      </c>
      <c r="K345" s="13" t="s">
        <v>2215</v>
      </c>
      <c r="L345" s="15" t="s">
        <v>229</v>
      </c>
      <c r="M345" s="15">
        <v>35243</v>
      </c>
      <c r="N345" s="15">
        <v>78359</v>
      </c>
      <c r="O345" s="15">
        <v>235243</v>
      </c>
      <c r="P345" s="15">
        <v>578359</v>
      </c>
      <c r="Q345" s="15"/>
    </row>
    <row r="346" spans="1:17" ht="22.5" x14ac:dyDescent="0.25">
      <c r="A346" s="11" t="s">
        <v>3751</v>
      </c>
      <c r="B346" s="13" t="s">
        <v>407</v>
      </c>
      <c r="C346" s="16" t="s">
        <v>409</v>
      </c>
      <c r="D346" s="13" t="s">
        <v>3809</v>
      </c>
      <c r="E346" s="13" t="s">
        <v>408</v>
      </c>
      <c r="F346" s="14" t="s">
        <v>35</v>
      </c>
      <c r="G346" s="13"/>
      <c r="H346" s="14">
        <f t="shared" si="6"/>
        <v>2</v>
      </c>
      <c r="I346" s="14">
        <v>2</v>
      </c>
      <c r="J346" s="14">
        <v>2</v>
      </c>
      <c r="K346" s="13" t="s">
        <v>4211</v>
      </c>
      <c r="L346" s="15" t="s">
        <v>130</v>
      </c>
      <c r="M346" s="15">
        <v>28198</v>
      </c>
      <c r="N346" s="15">
        <v>3123</v>
      </c>
      <c r="O346" s="15">
        <v>328198</v>
      </c>
      <c r="P346" s="15">
        <v>703123</v>
      </c>
      <c r="Q346" s="15"/>
    </row>
    <row r="347" spans="1:17" ht="22.5" x14ac:dyDescent="0.25">
      <c r="A347" s="11" t="s">
        <v>3751</v>
      </c>
      <c r="B347" s="13" t="s">
        <v>407</v>
      </c>
      <c r="C347" s="16" t="s">
        <v>3287</v>
      </c>
      <c r="D347" s="13" t="s">
        <v>3288</v>
      </c>
      <c r="E347" s="13" t="s">
        <v>408</v>
      </c>
      <c r="F347" s="14" t="s">
        <v>35</v>
      </c>
      <c r="G347" s="13"/>
      <c r="H347" s="14">
        <f t="shared" si="6"/>
        <v>2</v>
      </c>
      <c r="I347" s="14">
        <v>2</v>
      </c>
      <c r="J347" s="14">
        <v>1</v>
      </c>
      <c r="K347" s="13" t="s">
        <v>4308</v>
      </c>
      <c r="L347" s="15" t="s">
        <v>130</v>
      </c>
      <c r="M347" s="15">
        <v>28198</v>
      </c>
      <c r="N347" s="15">
        <v>3123</v>
      </c>
      <c r="O347" s="15">
        <v>328198</v>
      </c>
      <c r="P347" s="15">
        <v>703123</v>
      </c>
      <c r="Q347" s="15"/>
    </row>
    <row r="348" spans="1:17" ht="45" x14ac:dyDescent="0.25">
      <c r="A348" s="11" t="s">
        <v>3751</v>
      </c>
      <c r="B348" s="13" t="s">
        <v>407</v>
      </c>
      <c r="C348" s="16" t="s">
        <v>4477</v>
      </c>
      <c r="D348" s="13" t="s">
        <v>4478</v>
      </c>
      <c r="E348" s="13" t="s">
        <v>4479</v>
      </c>
      <c r="F348" s="14" t="s">
        <v>35</v>
      </c>
      <c r="G348" s="13">
        <v>2</v>
      </c>
      <c r="H348" s="14">
        <f>G348+I348</f>
        <v>2</v>
      </c>
      <c r="J348" s="14">
        <v>2</v>
      </c>
      <c r="K348" s="13" t="s">
        <v>4502</v>
      </c>
      <c r="L348" s="15" t="s">
        <v>130</v>
      </c>
      <c r="M348" s="15">
        <v>436</v>
      </c>
      <c r="N348" s="15">
        <v>223</v>
      </c>
      <c r="O348" s="15">
        <v>343600</v>
      </c>
      <c r="P348" s="15">
        <v>722300</v>
      </c>
      <c r="Q348" s="15"/>
    </row>
    <row r="349" spans="1:17" ht="22.5" x14ac:dyDescent="0.25">
      <c r="A349" s="11" t="s">
        <v>3751</v>
      </c>
      <c r="B349" s="13" t="s">
        <v>86</v>
      </c>
      <c r="C349" s="16" t="s">
        <v>4481</v>
      </c>
      <c r="D349" s="13" t="s">
        <v>4482</v>
      </c>
      <c r="E349" s="14" t="s">
        <v>85</v>
      </c>
      <c r="F349" s="14" t="s">
        <v>35</v>
      </c>
      <c r="G349" s="13">
        <v>7</v>
      </c>
      <c r="H349" s="14">
        <f>G349+I349</f>
        <v>7</v>
      </c>
      <c r="J349" s="14">
        <v>5</v>
      </c>
      <c r="K349" s="13" t="s">
        <v>4509</v>
      </c>
      <c r="L349" s="15" t="s">
        <v>115</v>
      </c>
      <c r="M349" s="15">
        <v>3594</v>
      </c>
      <c r="N349" s="15">
        <v>5922</v>
      </c>
      <c r="O349" s="15">
        <v>335940</v>
      </c>
      <c r="P349" s="15">
        <v>859220</v>
      </c>
      <c r="Q349" s="15"/>
    </row>
    <row r="350" spans="1:17" ht="22.5" x14ac:dyDescent="0.25">
      <c r="A350" s="11" t="s">
        <v>3751</v>
      </c>
      <c r="B350" s="13" t="s">
        <v>676</v>
      </c>
      <c r="C350" s="16" t="s">
        <v>966</v>
      </c>
      <c r="D350" s="13" t="s">
        <v>41</v>
      </c>
      <c r="E350" s="14" t="s">
        <v>428</v>
      </c>
      <c r="F350" s="14" t="s">
        <v>35</v>
      </c>
      <c r="G350" s="13"/>
      <c r="H350" s="14">
        <f t="shared" si="6"/>
        <v>1</v>
      </c>
      <c r="I350" s="14">
        <v>1</v>
      </c>
      <c r="J350" s="14">
        <v>1</v>
      </c>
      <c r="K350" s="13" t="s">
        <v>2215</v>
      </c>
      <c r="L350" s="15" t="s">
        <v>956</v>
      </c>
      <c r="M350" s="15">
        <v>991</v>
      </c>
      <c r="N350" s="15">
        <v>262</v>
      </c>
      <c r="O350" s="15">
        <v>199100</v>
      </c>
      <c r="P350" s="15">
        <v>626200</v>
      </c>
      <c r="Q350" s="15"/>
    </row>
    <row r="351" spans="1:17" x14ac:dyDescent="0.25">
      <c r="A351" s="11" t="s">
        <v>3751</v>
      </c>
      <c r="B351" s="13" t="s">
        <v>676</v>
      </c>
      <c r="C351" s="16" t="s">
        <v>4283</v>
      </c>
      <c r="D351" s="13" t="s">
        <v>8</v>
      </c>
      <c r="E351" s="14" t="s">
        <v>428</v>
      </c>
      <c r="F351" s="14" t="s">
        <v>35</v>
      </c>
      <c r="G351" s="13"/>
      <c r="H351" s="14">
        <f>G351+I351</f>
        <v>6</v>
      </c>
      <c r="I351" s="14">
        <v>6</v>
      </c>
      <c r="J351" s="14">
        <v>5</v>
      </c>
      <c r="K351" s="13" t="s">
        <v>4324</v>
      </c>
      <c r="L351" s="15" t="s">
        <v>956</v>
      </c>
      <c r="M351" s="15">
        <v>908</v>
      </c>
      <c r="N351" s="15">
        <v>323</v>
      </c>
      <c r="O351" s="15">
        <v>190800</v>
      </c>
      <c r="P351" s="15">
        <v>632300</v>
      </c>
      <c r="Q351" s="15"/>
    </row>
    <row r="352" spans="1:17" x14ac:dyDescent="0.25">
      <c r="A352" s="11" t="s">
        <v>3751</v>
      </c>
      <c r="B352" s="13" t="s">
        <v>676</v>
      </c>
      <c r="C352" s="16" t="s">
        <v>4282</v>
      </c>
      <c r="D352" s="13" t="s">
        <v>8</v>
      </c>
      <c r="E352" s="14" t="s">
        <v>428</v>
      </c>
      <c r="F352" s="14" t="s">
        <v>35</v>
      </c>
      <c r="G352" s="13"/>
      <c r="H352" s="14">
        <f>G352+I352</f>
        <v>1</v>
      </c>
      <c r="I352" s="14">
        <v>1</v>
      </c>
      <c r="J352" s="14">
        <v>1</v>
      </c>
      <c r="K352" s="13" t="s">
        <v>657</v>
      </c>
      <c r="L352" s="15" t="s">
        <v>956</v>
      </c>
      <c r="M352" s="15">
        <v>908</v>
      </c>
      <c r="N352" s="15">
        <v>323</v>
      </c>
      <c r="O352" s="15">
        <v>190800</v>
      </c>
      <c r="P352" s="15">
        <v>632300</v>
      </c>
      <c r="Q352" s="15"/>
    </row>
    <row r="353" spans="1:17" ht="22.5" x14ac:dyDescent="0.25">
      <c r="A353" s="11" t="s">
        <v>3751</v>
      </c>
      <c r="B353" s="13" t="s">
        <v>676</v>
      </c>
      <c r="C353" s="16" t="s">
        <v>4123</v>
      </c>
      <c r="D353" s="13" t="s">
        <v>41</v>
      </c>
      <c r="E353" s="14" t="s">
        <v>428</v>
      </c>
      <c r="F353" s="14" t="s">
        <v>35</v>
      </c>
      <c r="G353" s="13">
        <v>1</v>
      </c>
      <c r="H353" s="14">
        <f>G353+I353</f>
        <v>3</v>
      </c>
      <c r="I353" s="14">
        <v>2</v>
      </c>
      <c r="J353" s="14">
        <v>2</v>
      </c>
      <c r="K353" s="13" t="s">
        <v>4376</v>
      </c>
      <c r="L353" s="15" t="s">
        <v>956</v>
      </c>
      <c r="M353" s="15">
        <v>9063</v>
      </c>
      <c r="N353" s="15">
        <v>3224</v>
      </c>
      <c r="O353" s="15">
        <v>190630</v>
      </c>
      <c r="P353" s="15">
        <v>632240</v>
      </c>
      <c r="Q353" s="15"/>
    </row>
    <row r="354" spans="1:17" ht="22.5" x14ac:dyDescent="0.25">
      <c r="A354" s="11" t="s">
        <v>3751</v>
      </c>
      <c r="B354" s="13" t="s">
        <v>676</v>
      </c>
      <c r="C354" s="16" t="s">
        <v>747</v>
      </c>
      <c r="D354" s="13" t="s">
        <v>41</v>
      </c>
      <c r="E354" s="14" t="s">
        <v>745</v>
      </c>
      <c r="F354" s="14" t="s">
        <v>35</v>
      </c>
      <c r="G354" s="13">
        <v>2</v>
      </c>
      <c r="H354" s="14">
        <f t="shared" si="6"/>
        <v>2</v>
      </c>
      <c r="J354" s="14">
        <v>2</v>
      </c>
      <c r="K354" s="13" t="s">
        <v>4512</v>
      </c>
      <c r="L354" s="15" t="s">
        <v>116</v>
      </c>
      <c r="M354" s="15">
        <v>7516</v>
      </c>
      <c r="N354" s="15">
        <v>7101</v>
      </c>
      <c r="O354" s="15">
        <v>17160</v>
      </c>
      <c r="P354" s="15">
        <v>871010</v>
      </c>
      <c r="Q354" s="15"/>
    </row>
    <row r="355" spans="1:17" ht="25.5" x14ac:dyDescent="0.25">
      <c r="A355" s="11" t="s">
        <v>3751</v>
      </c>
      <c r="B355" s="13" t="s">
        <v>676</v>
      </c>
      <c r="C355" s="16" t="s">
        <v>3836</v>
      </c>
      <c r="D355" s="13" t="s">
        <v>39</v>
      </c>
      <c r="E355" s="13" t="s">
        <v>745</v>
      </c>
      <c r="F355" s="14" t="s">
        <v>35</v>
      </c>
      <c r="G355" s="13"/>
      <c r="H355" s="14">
        <f>G355+I355</f>
        <v>1</v>
      </c>
      <c r="I355" s="14">
        <v>1</v>
      </c>
      <c r="J355" s="14">
        <v>1</v>
      </c>
      <c r="K355" s="13" t="s">
        <v>173</v>
      </c>
      <c r="L355" s="15" t="s">
        <v>116</v>
      </c>
      <c r="M355" s="15">
        <v>74696</v>
      </c>
      <c r="N355" s="15">
        <v>75332</v>
      </c>
      <c r="O355" s="15">
        <v>74696</v>
      </c>
      <c r="P355" s="15">
        <v>875332</v>
      </c>
      <c r="Q355" s="15"/>
    </row>
    <row r="356" spans="1:17" ht="38.25" x14ac:dyDescent="0.25">
      <c r="A356" s="11" t="s">
        <v>3751</v>
      </c>
      <c r="B356" s="13" t="s">
        <v>676</v>
      </c>
      <c r="C356" s="16" t="s">
        <v>3810</v>
      </c>
      <c r="D356" s="13" t="s">
        <v>39</v>
      </c>
      <c r="E356" s="13" t="s">
        <v>745</v>
      </c>
      <c r="F356" s="14" t="s">
        <v>35</v>
      </c>
      <c r="G356" s="13"/>
      <c r="H356" s="14">
        <f t="shared" si="6"/>
        <v>1</v>
      </c>
      <c r="I356" s="14">
        <v>1</v>
      </c>
      <c r="J356" s="14">
        <v>1</v>
      </c>
      <c r="K356" s="13" t="s">
        <v>87</v>
      </c>
      <c r="L356" s="15" t="s">
        <v>116</v>
      </c>
      <c r="M356" s="15">
        <v>74696</v>
      </c>
      <c r="N356" s="15">
        <v>75332</v>
      </c>
      <c r="O356" s="15">
        <v>74696</v>
      </c>
      <c r="P356" s="15">
        <v>875332</v>
      </c>
      <c r="Q356" s="15"/>
    </row>
    <row r="357" spans="1:17" ht="25.5" x14ac:dyDescent="0.25">
      <c r="A357" s="11" t="s">
        <v>3751</v>
      </c>
      <c r="B357" s="13" t="s">
        <v>676</v>
      </c>
      <c r="C357" s="16" t="s">
        <v>3811</v>
      </c>
      <c r="D357" s="13" t="s">
        <v>39</v>
      </c>
      <c r="E357" s="13" t="s">
        <v>745</v>
      </c>
      <c r="F357" s="14" t="s">
        <v>35</v>
      </c>
      <c r="G357" s="13"/>
      <c r="H357" s="14">
        <f>G357+I357</f>
        <v>1</v>
      </c>
      <c r="I357" s="14">
        <v>1</v>
      </c>
      <c r="J357" s="14">
        <v>1</v>
      </c>
      <c r="K357" s="13" t="s">
        <v>87</v>
      </c>
      <c r="L357" s="15" t="s">
        <v>116</v>
      </c>
      <c r="M357" s="15">
        <v>74696</v>
      </c>
      <c r="N357" s="15">
        <v>75332</v>
      </c>
      <c r="O357" s="15">
        <v>74696</v>
      </c>
      <c r="P357" s="15">
        <v>875332</v>
      </c>
      <c r="Q357" s="15"/>
    </row>
    <row r="358" spans="1:17" ht="22.5" x14ac:dyDescent="0.25">
      <c r="A358" s="11" t="s">
        <v>3751</v>
      </c>
      <c r="B358" s="13" t="s">
        <v>676</v>
      </c>
      <c r="C358" s="16" t="s">
        <v>748</v>
      </c>
      <c r="D358" s="13" t="s">
        <v>41</v>
      </c>
      <c r="E358" s="14" t="s">
        <v>745</v>
      </c>
      <c r="F358" s="14" t="s">
        <v>35</v>
      </c>
      <c r="G358" s="13">
        <v>2</v>
      </c>
      <c r="H358" s="14">
        <f t="shared" si="6"/>
        <v>2</v>
      </c>
      <c r="J358" s="14">
        <v>2</v>
      </c>
      <c r="K358" s="13" t="s">
        <v>4512</v>
      </c>
      <c r="L358" s="15" t="s">
        <v>116</v>
      </c>
      <c r="M358" s="15">
        <v>80033</v>
      </c>
      <c r="N358" s="15">
        <v>66859</v>
      </c>
      <c r="O358" s="15">
        <v>80033</v>
      </c>
      <c r="P358" s="15">
        <v>866859</v>
      </c>
      <c r="Q358" s="15"/>
    </row>
    <row r="359" spans="1:17" ht="33.75" x14ac:dyDescent="0.25">
      <c r="A359" s="11" t="s">
        <v>3751</v>
      </c>
      <c r="B359" s="13" t="s">
        <v>249</v>
      </c>
      <c r="C359" s="16" t="s">
        <v>4165</v>
      </c>
      <c r="D359" s="13" t="s">
        <v>2712</v>
      </c>
      <c r="E359" s="14" t="s">
        <v>236</v>
      </c>
      <c r="F359" s="14" t="s">
        <v>35</v>
      </c>
      <c r="G359" s="13"/>
      <c r="H359" s="14">
        <f>G359+I359</f>
        <v>2</v>
      </c>
      <c r="I359" s="14">
        <v>2</v>
      </c>
      <c r="J359" s="14">
        <v>1</v>
      </c>
      <c r="K359" s="13" t="s">
        <v>1322</v>
      </c>
      <c r="L359" s="15" t="s">
        <v>460</v>
      </c>
      <c r="M359" s="15">
        <v>9094</v>
      </c>
      <c r="N359" s="15">
        <v>1672</v>
      </c>
      <c r="O359" s="15">
        <v>290940</v>
      </c>
      <c r="P359" s="15">
        <v>816720</v>
      </c>
      <c r="Q359" s="15"/>
    </row>
    <row r="360" spans="1:17" ht="33.75" x14ac:dyDescent="0.25">
      <c r="A360" s="11" t="s">
        <v>3751</v>
      </c>
      <c r="B360" s="13" t="s">
        <v>249</v>
      </c>
      <c r="C360" s="16" t="s">
        <v>458</v>
      </c>
      <c r="D360" s="13" t="s">
        <v>2712</v>
      </c>
      <c r="E360" s="14" t="s">
        <v>236</v>
      </c>
      <c r="F360" s="14" t="s">
        <v>35</v>
      </c>
      <c r="G360" s="13"/>
      <c r="H360" s="14">
        <f t="shared" si="6"/>
        <v>5</v>
      </c>
      <c r="I360" s="14">
        <v>5</v>
      </c>
      <c r="J360" s="14">
        <v>3</v>
      </c>
      <c r="K360" s="13" t="s">
        <v>4166</v>
      </c>
      <c r="L360" s="15" t="s">
        <v>460</v>
      </c>
      <c r="M360" s="15">
        <v>7576</v>
      </c>
      <c r="N360" s="15">
        <v>4447</v>
      </c>
      <c r="O360" s="15">
        <v>275760</v>
      </c>
      <c r="P360" s="15">
        <v>844470</v>
      </c>
      <c r="Q360" s="15"/>
    </row>
    <row r="361" spans="1:17" ht="22.5" x14ac:dyDescent="0.25">
      <c r="A361" s="11" t="s">
        <v>3751</v>
      </c>
      <c r="B361" s="13" t="s">
        <v>249</v>
      </c>
      <c r="C361" s="16" t="s">
        <v>250</v>
      </c>
      <c r="D361" s="13" t="s">
        <v>41</v>
      </c>
      <c r="E361" s="14" t="s">
        <v>236</v>
      </c>
      <c r="F361" s="14" t="s">
        <v>35</v>
      </c>
      <c r="G361" s="13"/>
      <c r="H361" s="14">
        <f t="shared" si="6"/>
        <v>1</v>
      </c>
      <c r="I361" s="14">
        <v>1</v>
      </c>
      <c r="J361" s="14">
        <v>1</v>
      </c>
      <c r="K361" s="13" t="s">
        <v>1262</v>
      </c>
      <c r="L361" s="15" t="s">
        <v>120</v>
      </c>
      <c r="M361" s="15">
        <v>84524</v>
      </c>
      <c r="N361" s="15">
        <v>16627</v>
      </c>
      <c r="O361" s="15">
        <v>184524</v>
      </c>
      <c r="P361" s="15">
        <v>816627</v>
      </c>
      <c r="Q361" s="15"/>
    </row>
    <row r="362" spans="1:17" ht="22.5" x14ac:dyDescent="0.25">
      <c r="A362" s="11" t="s">
        <v>3751</v>
      </c>
      <c r="B362" s="13" t="s">
        <v>249</v>
      </c>
      <c r="C362" s="16" t="s">
        <v>467</v>
      </c>
      <c r="D362" s="13" t="s">
        <v>41</v>
      </c>
      <c r="E362" s="14" t="s">
        <v>236</v>
      </c>
      <c r="F362" s="14" t="s">
        <v>35</v>
      </c>
      <c r="G362" s="13"/>
      <c r="H362" s="14">
        <f t="shared" si="6"/>
        <v>4</v>
      </c>
      <c r="I362" s="14">
        <v>4</v>
      </c>
      <c r="J362" s="14">
        <v>2</v>
      </c>
      <c r="K362" s="13" t="s">
        <v>4170</v>
      </c>
      <c r="L362" s="15" t="s">
        <v>460</v>
      </c>
      <c r="M362" s="15">
        <v>3830</v>
      </c>
      <c r="N362" s="15">
        <v>3030</v>
      </c>
      <c r="O362" s="15">
        <v>238300</v>
      </c>
      <c r="P362" s="15">
        <v>830300</v>
      </c>
      <c r="Q362" s="15"/>
    </row>
    <row r="363" spans="1:17" ht="33.75" x14ac:dyDescent="0.25">
      <c r="A363" s="11" t="s">
        <v>3751</v>
      </c>
      <c r="B363" s="13" t="s">
        <v>249</v>
      </c>
      <c r="C363" s="16" t="s">
        <v>4164</v>
      </c>
      <c r="D363" s="13" t="s">
        <v>2712</v>
      </c>
      <c r="E363" s="14" t="s">
        <v>236</v>
      </c>
      <c r="F363" s="14" t="s">
        <v>35</v>
      </c>
      <c r="G363" s="13"/>
      <c r="H363" s="14">
        <f t="shared" si="6"/>
        <v>3</v>
      </c>
      <c r="I363" s="14">
        <v>3</v>
      </c>
      <c r="J363" s="14">
        <v>2</v>
      </c>
      <c r="K363" s="13" t="s">
        <v>4167</v>
      </c>
      <c r="L363" s="15" t="s">
        <v>460</v>
      </c>
      <c r="M363" s="15">
        <v>4916</v>
      </c>
      <c r="N363" s="15">
        <v>4180</v>
      </c>
      <c r="O363" s="15">
        <v>249160</v>
      </c>
      <c r="P363" s="15">
        <v>841800</v>
      </c>
      <c r="Q363" s="15"/>
    </row>
    <row r="364" spans="1:17" ht="33.75" x14ac:dyDescent="0.25">
      <c r="A364" s="11" t="s">
        <v>3751</v>
      </c>
      <c r="B364" s="13" t="s">
        <v>249</v>
      </c>
      <c r="C364" s="16" t="s">
        <v>4168</v>
      </c>
      <c r="D364" s="13" t="s">
        <v>2712</v>
      </c>
      <c r="E364" s="14" t="s">
        <v>236</v>
      </c>
      <c r="F364" s="14" t="s">
        <v>35</v>
      </c>
      <c r="G364" s="13"/>
      <c r="H364" s="14">
        <f>G364+I364</f>
        <v>1</v>
      </c>
      <c r="I364" s="14">
        <v>1</v>
      </c>
      <c r="J364" s="14">
        <v>1</v>
      </c>
      <c r="K364" s="13" t="s">
        <v>1329</v>
      </c>
      <c r="L364" s="15" t="s">
        <v>460</v>
      </c>
      <c r="M364" s="15">
        <v>6794</v>
      </c>
      <c r="N364" s="15">
        <v>3585</v>
      </c>
      <c r="O364" s="15">
        <v>267940</v>
      </c>
      <c r="P364" s="15">
        <v>835850</v>
      </c>
      <c r="Q364" s="15"/>
    </row>
    <row r="365" spans="1:17" ht="33.75" x14ac:dyDescent="0.25">
      <c r="A365" s="11" t="s">
        <v>3751</v>
      </c>
      <c r="B365" s="13" t="s">
        <v>249</v>
      </c>
      <c r="C365" s="16" t="s">
        <v>4169</v>
      </c>
      <c r="D365" s="13" t="s">
        <v>2712</v>
      </c>
      <c r="E365" s="14" t="s">
        <v>236</v>
      </c>
      <c r="F365" s="14" t="s">
        <v>35</v>
      </c>
      <c r="G365" s="13"/>
      <c r="H365" s="14">
        <f>G365+I365</f>
        <v>1</v>
      </c>
      <c r="I365" s="14">
        <v>1</v>
      </c>
      <c r="J365" s="14">
        <v>1</v>
      </c>
      <c r="K365" s="13" t="s">
        <v>1329</v>
      </c>
      <c r="L365" s="15" t="s">
        <v>460</v>
      </c>
      <c r="M365" s="15">
        <v>9078</v>
      </c>
      <c r="N365" s="15">
        <v>1550</v>
      </c>
      <c r="O365" s="15">
        <v>290780</v>
      </c>
      <c r="P365" s="15">
        <v>815500</v>
      </c>
      <c r="Q365" s="15"/>
    </row>
    <row r="366" spans="1:17" x14ac:dyDescent="0.25">
      <c r="A366" s="11" t="s">
        <v>3751</v>
      </c>
      <c r="B366" s="13" t="s">
        <v>249</v>
      </c>
      <c r="C366" s="16" t="s">
        <v>3786</v>
      </c>
      <c r="D366" s="13" t="s">
        <v>39</v>
      </c>
      <c r="E366" s="14" t="s">
        <v>3785</v>
      </c>
      <c r="F366" s="14" t="s">
        <v>35</v>
      </c>
      <c r="G366" s="13"/>
      <c r="H366" s="14">
        <f>G366+I366</f>
        <v>1</v>
      </c>
      <c r="I366" s="14">
        <v>1</v>
      </c>
      <c r="J366" s="14">
        <v>1</v>
      </c>
      <c r="K366" s="13" t="s">
        <v>1022</v>
      </c>
      <c r="L366" s="15" t="s">
        <v>1275</v>
      </c>
      <c r="M366" s="15">
        <v>403</v>
      </c>
      <c r="N366" s="15">
        <v>998</v>
      </c>
      <c r="O366" s="15">
        <v>140300</v>
      </c>
      <c r="P366" s="15">
        <v>799800</v>
      </c>
      <c r="Q366" s="15"/>
    </row>
    <row r="367" spans="1:17" x14ac:dyDescent="0.25">
      <c r="A367" s="11" t="s">
        <v>3751</v>
      </c>
      <c r="B367" s="13" t="s">
        <v>249</v>
      </c>
      <c r="C367" s="16" t="s">
        <v>3812</v>
      </c>
      <c r="D367" s="13" t="s">
        <v>39</v>
      </c>
      <c r="E367" s="14" t="s">
        <v>236</v>
      </c>
      <c r="F367" s="14" t="s">
        <v>35</v>
      </c>
      <c r="G367" s="13"/>
      <c r="H367" s="14">
        <f>G367+I367</f>
        <v>1</v>
      </c>
      <c r="I367" s="14">
        <v>1</v>
      </c>
      <c r="J367" s="14">
        <v>1</v>
      </c>
      <c r="K367" s="13" t="s">
        <v>87</v>
      </c>
      <c r="L367" s="15" t="s">
        <v>460</v>
      </c>
      <c r="M367" s="15">
        <v>688</v>
      </c>
      <c r="N367" s="15">
        <v>448</v>
      </c>
      <c r="O367" s="15">
        <v>268800</v>
      </c>
      <c r="P367" s="15">
        <v>844800</v>
      </c>
      <c r="Q367" s="15"/>
    </row>
    <row r="368" spans="1:17" ht="22.5" x14ac:dyDescent="0.25">
      <c r="A368" s="11" t="s">
        <v>3751</v>
      </c>
      <c r="B368" s="13" t="s">
        <v>249</v>
      </c>
      <c r="C368" s="16" t="s">
        <v>1507</v>
      </c>
      <c r="D368" s="13" t="s">
        <v>41</v>
      </c>
      <c r="E368" s="14" t="s">
        <v>746</v>
      </c>
      <c r="F368" s="14" t="s">
        <v>35</v>
      </c>
      <c r="G368" s="13">
        <v>1</v>
      </c>
      <c r="H368" s="14">
        <f t="shared" si="6"/>
        <v>1</v>
      </c>
      <c r="J368" s="14">
        <v>1</v>
      </c>
      <c r="K368" s="13" t="s">
        <v>4484</v>
      </c>
      <c r="L368" s="15" t="s">
        <v>120</v>
      </c>
      <c r="M368" s="15">
        <v>3934</v>
      </c>
      <c r="N368" s="15">
        <v>1636</v>
      </c>
      <c r="O368" s="15">
        <v>139340</v>
      </c>
      <c r="P368" s="15">
        <v>816360</v>
      </c>
      <c r="Q368" s="15"/>
    </row>
    <row r="369" spans="1:17" ht="22.5" x14ac:dyDescent="0.25">
      <c r="A369" s="11" t="s">
        <v>3751</v>
      </c>
      <c r="B369" s="13" t="s">
        <v>34</v>
      </c>
      <c r="C369" s="16" t="s">
        <v>33</v>
      </c>
      <c r="D369" s="13" t="s">
        <v>1278</v>
      </c>
      <c r="E369" s="13" t="s">
        <v>1070</v>
      </c>
      <c r="F369" s="14" t="s">
        <v>35</v>
      </c>
      <c r="G369" s="13">
        <v>19</v>
      </c>
      <c r="H369" s="14">
        <f t="shared" si="6"/>
        <v>23</v>
      </c>
      <c r="I369" s="14">
        <v>4</v>
      </c>
      <c r="J369" s="14">
        <v>15</v>
      </c>
      <c r="K369" s="13" t="s">
        <v>4590</v>
      </c>
      <c r="L369" s="15" t="s">
        <v>114</v>
      </c>
      <c r="M369" s="15">
        <v>57283</v>
      </c>
      <c r="N369" s="15">
        <v>5722</v>
      </c>
      <c r="O369" s="15">
        <v>353283</v>
      </c>
      <c r="P369" s="15">
        <v>1005722</v>
      </c>
      <c r="Q369" s="15"/>
    </row>
    <row r="370" spans="1:17" x14ac:dyDescent="0.25">
      <c r="A370" s="11" t="s">
        <v>3751</v>
      </c>
      <c r="B370" s="13" t="s">
        <v>34</v>
      </c>
      <c r="C370" s="16" t="s">
        <v>1041</v>
      </c>
      <c r="D370" s="13" t="s">
        <v>39</v>
      </c>
      <c r="E370" s="14" t="s">
        <v>33</v>
      </c>
      <c r="F370" s="14" t="s">
        <v>35</v>
      </c>
      <c r="G370" s="13"/>
      <c r="H370" s="14">
        <f t="shared" si="6"/>
        <v>9</v>
      </c>
      <c r="I370" s="14">
        <v>9</v>
      </c>
      <c r="J370" s="14">
        <v>6</v>
      </c>
      <c r="K370" s="13" t="s">
        <v>4343</v>
      </c>
      <c r="L370" s="15" t="s">
        <v>114</v>
      </c>
      <c r="M370" s="15">
        <v>3076</v>
      </c>
      <c r="N370" s="15">
        <v>1270</v>
      </c>
      <c r="O370" s="15">
        <v>330760</v>
      </c>
      <c r="P370" s="15">
        <v>1012700</v>
      </c>
      <c r="Q370" s="15"/>
    </row>
    <row r="371" spans="1:17" x14ac:dyDescent="0.25">
      <c r="A371" s="11" t="s">
        <v>3751</v>
      </c>
      <c r="B371" s="13" t="s">
        <v>34</v>
      </c>
      <c r="C371" s="16" t="s">
        <v>1063</v>
      </c>
      <c r="D371" s="13" t="s">
        <v>753</v>
      </c>
      <c r="E371" s="14" t="s">
        <v>469</v>
      </c>
      <c r="F371" s="14" t="s">
        <v>35</v>
      </c>
      <c r="G371" s="13"/>
      <c r="H371" s="14">
        <f t="shared" si="6"/>
        <v>5</v>
      </c>
      <c r="I371" s="14">
        <v>5</v>
      </c>
      <c r="J371" s="14">
        <v>2</v>
      </c>
      <c r="K371" s="13" t="s">
        <v>4139</v>
      </c>
      <c r="L371" s="15" t="s">
        <v>114</v>
      </c>
      <c r="M371" s="15">
        <v>4142</v>
      </c>
      <c r="N371" s="15">
        <v>2761</v>
      </c>
      <c r="O371" s="15">
        <v>341420</v>
      </c>
      <c r="P371" s="15">
        <v>1027610</v>
      </c>
      <c r="Q371" s="15"/>
    </row>
    <row r="372" spans="1:17" ht="22.5" x14ac:dyDescent="0.25">
      <c r="A372" s="11" t="s">
        <v>3751</v>
      </c>
      <c r="B372" s="13" t="s">
        <v>34</v>
      </c>
      <c r="C372" s="16" t="s">
        <v>4137</v>
      </c>
      <c r="D372" s="13" t="s">
        <v>41</v>
      </c>
      <c r="E372" s="14" t="s">
        <v>33</v>
      </c>
      <c r="F372" s="14" t="s">
        <v>35</v>
      </c>
      <c r="G372" s="13"/>
      <c r="H372" s="14">
        <f>G372+I372</f>
        <v>2</v>
      </c>
      <c r="I372" s="14">
        <v>2</v>
      </c>
      <c r="J372" s="14">
        <v>1</v>
      </c>
      <c r="K372" s="13" t="s">
        <v>3153</v>
      </c>
      <c r="L372" s="15" t="s">
        <v>114</v>
      </c>
      <c r="M372" s="15">
        <v>2864</v>
      </c>
      <c r="N372" s="15">
        <v>1412</v>
      </c>
      <c r="O372" s="15">
        <v>328640</v>
      </c>
      <c r="P372" s="15">
        <v>1014120</v>
      </c>
      <c r="Q372" s="15"/>
    </row>
    <row r="373" spans="1:17" ht="22.5" x14ac:dyDescent="0.25">
      <c r="A373" s="11" t="s">
        <v>3751</v>
      </c>
      <c r="B373" s="13" t="s">
        <v>34</v>
      </c>
      <c r="C373" s="16" t="s">
        <v>1517</v>
      </c>
      <c r="D373" s="13" t="s">
        <v>41</v>
      </c>
      <c r="E373" s="14" t="s">
        <v>1052</v>
      </c>
      <c r="F373" s="14" t="s">
        <v>35</v>
      </c>
      <c r="G373" s="13"/>
      <c r="H373" s="14">
        <f>G373+I373</f>
        <v>4</v>
      </c>
      <c r="I373" s="14">
        <v>4</v>
      </c>
      <c r="J373" s="14">
        <v>2</v>
      </c>
      <c r="K373" s="13" t="s">
        <v>4143</v>
      </c>
      <c r="L373" s="15" t="s">
        <v>114</v>
      </c>
      <c r="M373" s="15">
        <v>5788</v>
      </c>
      <c r="N373" s="15">
        <v>3858</v>
      </c>
      <c r="O373" s="15">
        <v>357880</v>
      </c>
      <c r="P373" s="15">
        <v>1038580</v>
      </c>
      <c r="Q373" s="15"/>
    </row>
    <row r="374" spans="1:17" ht="22.5" x14ac:dyDescent="0.25">
      <c r="A374" s="11" t="s">
        <v>3751</v>
      </c>
      <c r="B374" s="13" t="s">
        <v>34</v>
      </c>
      <c r="C374" s="16" t="s">
        <v>1328</v>
      </c>
      <c r="D374" s="13" t="s">
        <v>41</v>
      </c>
      <c r="E374" s="14" t="s">
        <v>156</v>
      </c>
      <c r="F374" s="14" t="s">
        <v>35</v>
      </c>
      <c r="G374" s="13">
        <v>1</v>
      </c>
      <c r="H374" s="14">
        <f t="shared" si="6"/>
        <v>1</v>
      </c>
      <c r="J374" s="14">
        <v>1</v>
      </c>
      <c r="K374" s="13" t="s">
        <v>2907</v>
      </c>
      <c r="L374" s="15" t="s">
        <v>114</v>
      </c>
      <c r="M374" s="15">
        <v>5091</v>
      </c>
      <c r="N374" s="15">
        <v>5183</v>
      </c>
      <c r="O374" s="15">
        <v>350910</v>
      </c>
      <c r="P374" s="15">
        <v>1051830</v>
      </c>
      <c r="Q374" s="15"/>
    </row>
    <row r="375" spans="1:17" ht="25.5" x14ac:dyDescent="0.25">
      <c r="A375" s="11" t="s">
        <v>3751</v>
      </c>
      <c r="B375" s="13" t="s">
        <v>34</v>
      </c>
      <c r="C375" s="16" t="s">
        <v>4140</v>
      </c>
      <c r="D375" s="13" t="s">
        <v>41</v>
      </c>
      <c r="E375" s="14" t="s">
        <v>156</v>
      </c>
      <c r="F375" s="14" t="s">
        <v>35</v>
      </c>
      <c r="G375" s="13"/>
      <c r="H375" s="14">
        <f>G375+I375</f>
        <v>2</v>
      </c>
      <c r="I375" s="14">
        <v>2</v>
      </c>
      <c r="J375" s="14">
        <v>1</v>
      </c>
      <c r="K375" s="13" t="s">
        <v>1252</v>
      </c>
      <c r="L375" s="15" t="s">
        <v>114</v>
      </c>
      <c r="M375" s="15">
        <v>5091</v>
      </c>
      <c r="N375" s="15">
        <v>5183</v>
      </c>
      <c r="O375" s="15">
        <v>350910</v>
      </c>
      <c r="P375" s="15">
        <v>1051830</v>
      </c>
      <c r="Q375" s="15"/>
    </row>
    <row r="376" spans="1:17" ht="25.5" x14ac:dyDescent="0.25">
      <c r="A376" s="11" t="s">
        <v>3751</v>
      </c>
      <c r="B376" s="13" t="s">
        <v>34</v>
      </c>
      <c r="C376" s="16" t="s">
        <v>4141</v>
      </c>
      <c r="D376" s="13" t="s">
        <v>41</v>
      </c>
      <c r="E376" s="14" t="s">
        <v>156</v>
      </c>
      <c r="F376" s="14" t="s">
        <v>35</v>
      </c>
      <c r="G376" s="13"/>
      <c r="H376" s="14">
        <f>G376+I376</f>
        <v>3</v>
      </c>
      <c r="I376" s="14">
        <v>3</v>
      </c>
      <c r="J376" s="14">
        <v>1</v>
      </c>
      <c r="K376" s="13" t="s">
        <v>4142</v>
      </c>
      <c r="L376" s="15" t="s">
        <v>114</v>
      </c>
      <c r="M376" s="15">
        <v>5091</v>
      </c>
      <c r="N376" s="15">
        <v>5183</v>
      </c>
      <c r="O376" s="15">
        <v>350910</v>
      </c>
      <c r="P376" s="15">
        <v>1051830</v>
      </c>
      <c r="Q376" s="15"/>
    </row>
    <row r="377" spans="1:17" x14ac:dyDescent="0.25">
      <c r="A377" s="11" t="s">
        <v>3751</v>
      </c>
      <c r="B377" s="13" t="s">
        <v>34</v>
      </c>
      <c r="C377" s="16" t="s">
        <v>1051</v>
      </c>
      <c r="D377" s="13" t="s">
        <v>1048</v>
      </c>
      <c r="E377" s="14" t="s">
        <v>1052</v>
      </c>
      <c r="F377" s="14" t="s">
        <v>35</v>
      </c>
      <c r="G377" s="13"/>
      <c r="H377" s="14">
        <f t="shared" si="6"/>
        <v>2</v>
      </c>
      <c r="I377" s="14">
        <v>2</v>
      </c>
      <c r="J377" s="14">
        <v>1</v>
      </c>
      <c r="K377" s="13" t="s">
        <v>3153</v>
      </c>
      <c r="L377" s="15" t="s">
        <v>114</v>
      </c>
      <c r="M377" s="15">
        <v>5626</v>
      </c>
      <c r="N377" s="15">
        <v>3774</v>
      </c>
      <c r="O377" s="15">
        <v>356260</v>
      </c>
      <c r="P377" s="15">
        <v>1037740</v>
      </c>
      <c r="Q377" s="15"/>
    </row>
    <row r="378" spans="1:17" x14ac:dyDescent="0.25">
      <c r="A378" s="11" t="s">
        <v>3751</v>
      </c>
      <c r="B378" s="13" t="s">
        <v>34</v>
      </c>
      <c r="C378" s="16" t="s">
        <v>4153</v>
      </c>
      <c r="D378" s="13" t="s">
        <v>753</v>
      </c>
      <c r="E378" s="13" t="s">
        <v>469</v>
      </c>
      <c r="F378" s="14" t="s">
        <v>35</v>
      </c>
      <c r="G378" s="13"/>
      <c r="H378" s="14">
        <f>G378+I378</f>
        <v>2</v>
      </c>
      <c r="I378" s="14">
        <v>2</v>
      </c>
      <c r="J378" s="14">
        <v>1</v>
      </c>
      <c r="K378" s="13" t="s">
        <v>4142</v>
      </c>
      <c r="L378" s="15" t="s">
        <v>114</v>
      </c>
      <c r="M378" s="15">
        <v>4242</v>
      </c>
      <c r="N378" s="15">
        <v>3196</v>
      </c>
      <c r="O378" s="15">
        <v>342420</v>
      </c>
      <c r="P378" s="15">
        <v>1031960</v>
      </c>
      <c r="Q378" s="15"/>
    </row>
    <row r="379" spans="1:17" x14ac:dyDescent="0.25">
      <c r="A379" s="11" t="s">
        <v>3751</v>
      </c>
      <c r="B379" s="13" t="s">
        <v>34</v>
      </c>
      <c r="C379" s="16" t="s">
        <v>155</v>
      </c>
      <c r="D379" s="13" t="s">
        <v>1207</v>
      </c>
      <c r="E379" s="13" t="s">
        <v>156</v>
      </c>
      <c r="F379" s="14" t="s">
        <v>35</v>
      </c>
      <c r="G379" s="13">
        <v>2</v>
      </c>
      <c r="H379" s="14">
        <f t="shared" si="6"/>
        <v>7</v>
      </c>
      <c r="I379" s="14">
        <v>5</v>
      </c>
      <c r="J379" s="14">
        <v>6</v>
      </c>
      <c r="K379" s="13" t="s">
        <v>4371</v>
      </c>
      <c r="L379" s="15" t="s">
        <v>114</v>
      </c>
      <c r="M379" s="15">
        <v>4830</v>
      </c>
      <c r="N379" s="15">
        <v>5180</v>
      </c>
      <c r="O379" s="15">
        <v>348300</v>
      </c>
      <c r="P379" s="15">
        <v>1051800</v>
      </c>
      <c r="Q379" s="15"/>
    </row>
    <row r="380" spans="1:17" ht="25.5" x14ac:dyDescent="0.25">
      <c r="A380" s="11" t="s">
        <v>3751</v>
      </c>
      <c r="B380" s="13" t="s">
        <v>34</v>
      </c>
      <c r="C380" s="16" t="s">
        <v>4161</v>
      </c>
      <c r="D380" s="13" t="s">
        <v>41</v>
      </c>
      <c r="E380" s="13" t="s">
        <v>469</v>
      </c>
      <c r="F380" s="14" t="s">
        <v>35</v>
      </c>
      <c r="G380" s="13">
        <v>1</v>
      </c>
      <c r="H380" s="14">
        <f t="shared" si="6"/>
        <v>3</v>
      </c>
      <c r="I380" s="14">
        <v>2</v>
      </c>
      <c r="J380" s="14">
        <v>2</v>
      </c>
      <c r="K380" s="13" t="s">
        <v>4431</v>
      </c>
      <c r="L380" s="15" t="s">
        <v>114</v>
      </c>
      <c r="M380" s="15">
        <v>3988</v>
      </c>
      <c r="N380" s="15">
        <v>2796</v>
      </c>
      <c r="O380" s="15">
        <v>339880</v>
      </c>
      <c r="P380" s="15">
        <v>1027960</v>
      </c>
      <c r="Q380" s="15"/>
    </row>
    <row r="381" spans="1:17" x14ac:dyDescent="0.25">
      <c r="A381" s="11" t="s">
        <v>3751</v>
      </c>
      <c r="B381" s="13" t="s">
        <v>34</v>
      </c>
      <c r="C381" s="16" t="s">
        <v>1046</v>
      </c>
      <c r="D381" s="13" t="s">
        <v>753</v>
      </c>
      <c r="E381" s="13" t="s">
        <v>469</v>
      </c>
      <c r="F381" s="14" t="s">
        <v>35</v>
      </c>
      <c r="G381" s="13"/>
      <c r="H381" s="14">
        <f t="shared" si="6"/>
        <v>3</v>
      </c>
      <c r="I381" s="14">
        <v>3</v>
      </c>
      <c r="J381" s="14">
        <v>2</v>
      </c>
      <c r="K381" s="13" t="s">
        <v>4143</v>
      </c>
      <c r="L381" s="15" t="s">
        <v>114</v>
      </c>
      <c r="M381" s="15">
        <v>4004</v>
      </c>
      <c r="N381" s="15">
        <v>2800</v>
      </c>
      <c r="O381" s="15">
        <v>340040</v>
      </c>
      <c r="P381" s="15">
        <v>1028000</v>
      </c>
      <c r="Q381" s="15"/>
    </row>
    <row r="382" spans="1:17" x14ac:dyDescent="0.25">
      <c r="A382" s="11" t="s">
        <v>3751</v>
      </c>
      <c r="B382" s="13" t="s">
        <v>34</v>
      </c>
      <c r="C382" s="16" t="s">
        <v>1060</v>
      </c>
      <c r="D382" s="13" t="s">
        <v>753</v>
      </c>
      <c r="E382" s="13" t="s">
        <v>469</v>
      </c>
      <c r="F382" s="14" t="s">
        <v>35</v>
      </c>
      <c r="G382" s="13">
        <v>1</v>
      </c>
      <c r="H382" s="14">
        <f t="shared" si="6"/>
        <v>1</v>
      </c>
      <c r="J382" s="14">
        <v>1</v>
      </c>
      <c r="K382" s="13" t="s">
        <v>3274</v>
      </c>
      <c r="L382" s="15" t="s">
        <v>114</v>
      </c>
      <c r="M382" s="15">
        <v>3733</v>
      </c>
      <c r="N382" s="15">
        <v>2978</v>
      </c>
      <c r="O382" s="15">
        <v>337330</v>
      </c>
      <c r="P382" s="15">
        <v>1029780</v>
      </c>
      <c r="Q382" s="15"/>
    </row>
    <row r="383" spans="1:17" x14ac:dyDescent="0.25">
      <c r="A383" s="11" t="s">
        <v>3751</v>
      </c>
      <c r="B383" s="13" t="s">
        <v>34</v>
      </c>
      <c r="C383" s="16" t="s">
        <v>1045</v>
      </c>
      <c r="D383" s="13" t="s">
        <v>753</v>
      </c>
      <c r="E383" s="13" t="s">
        <v>469</v>
      </c>
      <c r="F383" s="14" t="s">
        <v>35</v>
      </c>
      <c r="G383" s="13">
        <v>1</v>
      </c>
      <c r="H383" s="14">
        <f t="shared" si="6"/>
        <v>3</v>
      </c>
      <c r="I383" s="14">
        <v>2</v>
      </c>
      <c r="J383" s="14">
        <v>3</v>
      </c>
      <c r="K383" s="13" t="s">
        <v>4541</v>
      </c>
      <c r="L383" s="15" t="s">
        <v>114</v>
      </c>
      <c r="M383" s="15">
        <v>4048</v>
      </c>
      <c r="N383" s="15">
        <v>2795</v>
      </c>
      <c r="O383" s="15">
        <v>340480</v>
      </c>
      <c r="P383" s="15">
        <v>1027950</v>
      </c>
      <c r="Q383" s="15"/>
    </row>
    <row r="384" spans="1:17" x14ac:dyDescent="0.25">
      <c r="A384" s="11" t="s">
        <v>3751</v>
      </c>
      <c r="B384" s="13" t="s">
        <v>34</v>
      </c>
      <c r="C384" s="16" t="s">
        <v>619</v>
      </c>
      <c r="D384" s="13" t="s">
        <v>39</v>
      </c>
      <c r="E384" s="14" t="s">
        <v>620</v>
      </c>
      <c r="F384" s="14" t="s">
        <v>35</v>
      </c>
      <c r="G384" s="13">
        <v>1</v>
      </c>
      <c r="H384" s="14">
        <f t="shared" si="6"/>
        <v>3</v>
      </c>
      <c r="I384" s="14">
        <v>2</v>
      </c>
      <c r="J384" s="14">
        <v>3</v>
      </c>
      <c r="K384" s="13" t="s">
        <v>4521</v>
      </c>
      <c r="L384" s="15" t="s">
        <v>114</v>
      </c>
      <c r="M384" s="15">
        <v>428</v>
      </c>
      <c r="N384" s="15">
        <v>493</v>
      </c>
      <c r="O384" s="15">
        <v>342800</v>
      </c>
      <c r="P384" s="15">
        <v>1049300</v>
      </c>
      <c r="Q384" s="15"/>
    </row>
    <row r="385" spans="1:17" ht="22.5" x14ac:dyDescent="0.25">
      <c r="A385" s="11" t="s">
        <v>3751</v>
      </c>
      <c r="B385" s="13" t="s">
        <v>34</v>
      </c>
      <c r="C385" s="16" t="s">
        <v>2136</v>
      </c>
      <c r="D385" s="13" t="s">
        <v>41</v>
      </c>
      <c r="E385" s="14" t="s">
        <v>33</v>
      </c>
      <c r="F385" s="14" t="s">
        <v>35</v>
      </c>
      <c r="G385" s="13"/>
      <c r="H385" s="14">
        <f t="shared" si="6"/>
        <v>8</v>
      </c>
      <c r="I385" s="14">
        <v>8</v>
      </c>
      <c r="J385" s="14">
        <v>5</v>
      </c>
      <c r="K385" s="13" t="s">
        <v>4342</v>
      </c>
      <c r="L385" s="15" t="s">
        <v>114</v>
      </c>
      <c r="M385" s="15">
        <v>3182</v>
      </c>
      <c r="N385" s="15">
        <v>1277</v>
      </c>
      <c r="O385" s="15">
        <v>331820</v>
      </c>
      <c r="P385" s="15">
        <v>1012770</v>
      </c>
      <c r="Q385" s="15"/>
    </row>
    <row r="386" spans="1:17" x14ac:dyDescent="0.25">
      <c r="A386" s="11" t="s">
        <v>3751</v>
      </c>
      <c r="B386" s="13" t="s">
        <v>34</v>
      </c>
      <c r="C386" s="16" t="s">
        <v>1056</v>
      </c>
      <c r="D386" s="13" t="s">
        <v>753</v>
      </c>
      <c r="E386" s="14" t="s">
        <v>469</v>
      </c>
      <c r="F386" s="14" t="s">
        <v>35</v>
      </c>
      <c r="G386" s="13">
        <v>1</v>
      </c>
      <c r="H386" s="14">
        <f t="shared" si="6"/>
        <v>6</v>
      </c>
      <c r="I386" s="14">
        <v>5</v>
      </c>
      <c r="J386" s="14">
        <v>4</v>
      </c>
      <c r="K386" s="13" t="s">
        <v>4491</v>
      </c>
      <c r="L386" s="15" t="s">
        <v>114</v>
      </c>
      <c r="M386" s="15">
        <v>3722</v>
      </c>
      <c r="N386" s="15">
        <v>3048</v>
      </c>
      <c r="O386" s="15">
        <v>337220</v>
      </c>
      <c r="P386" s="15">
        <v>1030480</v>
      </c>
      <c r="Q386" s="15"/>
    </row>
    <row r="387" spans="1:17" ht="22.5" x14ac:dyDescent="0.25">
      <c r="A387" s="11" t="s">
        <v>3751</v>
      </c>
      <c r="B387" s="13" t="s">
        <v>34</v>
      </c>
      <c r="C387" s="16" t="s">
        <v>4152</v>
      </c>
      <c r="D387" s="13" t="s">
        <v>41</v>
      </c>
      <c r="E387" s="14" t="s">
        <v>620</v>
      </c>
      <c r="F387" s="14" t="s">
        <v>35</v>
      </c>
      <c r="G387" s="13"/>
      <c r="H387" s="14">
        <f>G387+I387</f>
        <v>3</v>
      </c>
      <c r="I387" s="14">
        <v>3</v>
      </c>
      <c r="J387" s="14">
        <v>2</v>
      </c>
      <c r="K387" s="13" t="s">
        <v>4143</v>
      </c>
      <c r="L387" s="15" t="s">
        <v>114</v>
      </c>
      <c r="M387" s="15">
        <v>4654</v>
      </c>
      <c r="N387" s="15">
        <v>4746</v>
      </c>
      <c r="O387" s="15">
        <v>346540</v>
      </c>
      <c r="P387" s="15">
        <v>1047460</v>
      </c>
      <c r="Q387" s="15"/>
    </row>
    <row r="388" spans="1:17" x14ac:dyDescent="0.25">
      <c r="A388" s="11" t="s">
        <v>3751</v>
      </c>
      <c r="B388" s="13" t="s">
        <v>34</v>
      </c>
      <c r="C388" s="16" t="s">
        <v>3865</v>
      </c>
      <c r="D388" s="13" t="s">
        <v>1207</v>
      </c>
      <c r="E388" s="14" t="s">
        <v>3859</v>
      </c>
      <c r="F388" s="14" t="s">
        <v>35</v>
      </c>
      <c r="G388" s="13"/>
      <c r="H388" s="14">
        <f>G388+I388</f>
        <v>1</v>
      </c>
      <c r="I388" s="14">
        <v>1</v>
      </c>
      <c r="J388" s="14">
        <v>1</v>
      </c>
      <c r="K388" s="13" t="s">
        <v>204</v>
      </c>
      <c r="L388" s="15" t="s">
        <v>114</v>
      </c>
      <c r="M388" s="15">
        <v>6194</v>
      </c>
      <c r="N388" s="15">
        <v>3785</v>
      </c>
      <c r="O388" s="15">
        <v>361940</v>
      </c>
      <c r="P388" s="15">
        <v>1037790</v>
      </c>
      <c r="Q388" s="15"/>
    </row>
    <row r="389" spans="1:17" ht="22.5" x14ac:dyDescent="0.25">
      <c r="A389" s="11" t="s">
        <v>3751</v>
      </c>
      <c r="B389" s="13" t="s">
        <v>34</v>
      </c>
      <c r="C389" s="16" t="s">
        <v>457</v>
      </c>
      <c r="D389" s="13" t="s">
        <v>1047</v>
      </c>
      <c r="E389" s="14" t="s">
        <v>33</v>
      </c>
      <c r="F389" s="14" t="s">
        <v>35</v>
      </c>
      <c r="G389" s="13"/>
      <c r="H389" s="14">
        <f t="shared" si="6"/>
        <v>4</v>
      </c>
      <c r="I389" s="14">
        <v>4</v>
      </c>
      <c r="J389" s="14">
        <v>3</v>
      </c>
      <c r="K389" s="13" t="s">
        <v>4579</v>
      </c>
      <c r="L389" s="15" t="s">
        <v>114</v>
      </c>
      <c r="M389" s="15">
        <v>4177</v>
      </c>
      <c r="N389" s="15">
        <v>1292</v>
      </c>
      <c r="O389" s="15">
        <v>341770</v>
      </c>
      <c r="P389" s="15">
        <v>1012920</v>
      </c>
      <c r="Q389" s="15"/>
    </row>
    <row r="390" spans="1:17" ht="22.5" x14ac:dyDescent="0.25">
      <c r="A390" s="11" t="s">
        <v>3751</v>
      </c>
      <c r="B390" s="13" t="s">
        <v>34</v>
      </c>
      <c r="C390" s="16" t="s">
        <v>2142</v>
      </c>
      <c r="D390" s="13" t="s">
        <v>41</v>
      </c>
      <c r="E390" s="14" t="s">
        <v>33</v>
      </c>
      <c r="F390" s="14" t="s">
        <v>35</v>
      </c>
      <c r="G390" s="13">
        <v>2</v>
      </c>
      <c r="H390" s="14">
        <f t="shared" si="6"/>
        <v>4</v>
      </c>
      <c r="I390" s="14">
        <v>2</v>
      </c>
      <c r="J390" s="14">
        <v>2</v>
      </c>
      <c r="K390" s="13" t="s">
        <v>4540</v>
      </c>
      <c r="L390" s="15" t="s">
        <v>114</v>
      </c>
      <c r="M390" s="15">
        <v>6766</v>
      </c>
      <c r="N390" s="15">
        <v>3779</v>
      </c>
      <c r="O390" s="15">
        <v>367660</v>
      </c>
      <c r="P390" s="15">
        <v>1037790</v>
      </c>
      <c r="Q390" s="15"/>
    </row>
    <row r="391" spans="1:17" x14ac:dyDescent="0.25">
      <c r="A391" s="11" t="s">
        <v>3751</v>
      </c>
      <c r="B391" s="13" t="s">
        <v>34</v>
      </c>
      <c r="C391" s="16" t="s">
        <v>1037</v>
      </c>
      <c r="D391" s="13" t="s">
        <v>18</v>
      </c>
      <c r="E391" s="14" t="s">
        <v>33</v>
      </c>
      <c r="F391" s="14" t="s">
        <v>35</v>
      </c>
      <c r="G391" s="13"/>
      <c r="H391" s="14">
        <f t="shared" si="6"/>
        <v>1</v>
      </c>
      <c r="I391" s="14">
        <v>1</v>
      </c>
      <c r="J391" s="14">
        <v>1</v>
      </c>
      <c r="K391" s="13" t="s">
        <v>4341</v>
      </c>
      <c r="L391" s="15" t="s">
        <v>114</v>
      </c>
      <c r="M391" s="15">
        <v>2834</v>
      </c>
      <c r="N391" s="15">
        <v>1450</v>
      </c>
      <c r="O391" s="15">
        <v>328340</v>
      </c>
      <c r="P391" s="15">
        <v>1014500</v>
      </c>
      <c r="Q391" s="15"/>
    </row>
    <row r="392" spans="1:17" x14ac:dyDescent="0.25">
      <c r="A392" s="11" t="s">
        <v>3751</v>
      </c>
      <c r="B392" s="13" t="s">
        <v>34</v>
      </c>
      <c r="C392" s="16" t="s">
        <v>37</v>
      </c>
      <c r="D392" s="13" t="s">
        <v>8</v>
      </c>
      <c r="E392" s="14" t="s">
        <v>33</v>
      </c>
      <c r="F392" s="14" t="s">
        <v>35</v>
      </c>
      <c r="G392" s="13">
        <v>1</v>
      </c>
      <c r="H392" s="14">
        <f t="shared" si="6"/>
        <v>8</v>
      </c>
      <c r="I392" s="14">
        <v>7</v>
      </c>
      <c r="J392" s="14">
        <v>8</v>
      </c>
      <c r="K392" s="13" t="s">
        <v>4340</v>
      </c>
      <c r="L392" s="15" t="s">
        <v>114</v>
      </c>
      <c r="M392" s="15">
        <v>2945</v>
      </c>
      <c r="N392" s="15">
        <v>1335</v>
      </c>
      <c r="O392" s="15">
        <v>329450</v>
      </c>
      <c r="P392" s="15">
        <v>1013350</v>
      </c>
      <c r="Q392" s="15"/>
    </row>
    <row r="393" spans="1:17" ht="33.75" x14ac:dyDescent="0.25">
      <c r="A393" s="11" t="s">
        <v>3751</v>
      </c>
      <c r="B393" s="13" t="s">
        <v>34</v>
      </c>
      <c r="C393" s="16" t="s">
        <v>468</v>
      </c>
      <c r="D393" s="13" t="s">
        <v>4475</v>
      </c>
      <c r="E393" s="14" t="s">
        <v>469</v>
      </c>
      <c r="F393" s="14" t="s">
        <v>35</v>
      </c>
      <c r="G393" s="13">
        <v>8</v>
      </c>
      <c r="H393" s="14">
        <f t="shared" si="6"/>
        <v>13</v>
      </c>
      <c r="I393" s="14">
        <v>5</v>
      </c>
      <c r="J393" s="14">
        <v>9</v>
      </c>
      <c r="K393" s="13" t="s">
        <v>4575</v>
      </c>
      <c r="L393" s="15" t="s">
        <v>114</v>
      </c>
      <c r="M393" s="15">
        <v>4398</v>
      </c>
      <c r="N393" s="15">
        <v>3224</v>
      </c>
      <c r="O393" s="15">
        <v>343980</v>
      </c>
      <c r="P393" s="15">
        <v>1032240</v>
      </c>
      <c r="Q393" s="15"/>
    </row>
    <row r="394" spans="1:17" x14ac:dyDescent="0.25">
      <c r="A394" s="11" t="s">
        <v>3751</v>
      </c>
      <c r="B394" s="13" t="s">
        <v>34</v>
      </c>
      <c r="C394" s="16" t="s">
        <v>4151</v>
      </c>
      <c r="D394" s="13" t="s">
        <v>1048</v>
      </c>
      <c r="E394" s="14" t="s">
        <v>1052</v>
      </c>
      <c r="F394" s="14" t="s">
        <v>35</v>
      </c>
      <c r="G394" s="13"/>
      <c r="H394" s="14">
        <f>G394+I394</f>
        <v>2</v>
      </c>
      <c r="I394" s="14">
        <v>2</v>
      </c>
      <c r="J394" s="14">
        <v>1</v>
      </c>
      <c r="K394" s="13" t="s">
        <v>4142</v>
      </c>
      <c r="L394" s="15" t="s">
        <v>114</v>
      </c>
      <c r="M394" s="15">
        <v>5612</v>
      </c>
      <c r="N394" s="15">
        <v>3299</v>
      </c>
      <c r="O394" s="15">
        <v>356120</v>
      </c>
      <c r="P394" s="15">
        <v>1032990</v>
      </c>
      <c r="Q394" s="15"/>
    </row>
    <row r="395" spans="1:17" x14ac:dyDescent="0.25">
      <c r="A395" s="11" t="s">
        <v>3751</v>
      </c>
      <c r="B395" s="13" t="s">
        <v>34</v>
      </c>
      <c r="C395" s="16" t="s">
        <v>38</v>
      </c>
      <c r="D395" s="13" t="s">
        <v>39</v>
      </c>
      <c r="E395" s="14" t="s">
        <v>33</v>
      </c>
      <c r="F395" s="14" t="s">
        <v>35</v>
      </c>
      <c r="G395" s="13">
        <v>13</v>
      </c>
      <c r="H395" s="14">
        <f t="shared" si="6"/>
        <v>23</v>
      </c>
      <c r="I395" s="14">
        <v>10</v>
      </c>
      <c r="J395" s="14">
        <v>13</v>
      </c>
      <c r="K395" s="13" t="s">
        <v>4612</v>
      </c>
      <c r="L395" s="15" t="s">
        <v>114</v>
      </c>
      <c r="M395" s="15">
        <v>2312</v>
      </c>
      <c r="N395" s="15">
        <v>1874</v>
      </c>
      <c r="O395" s="15">
        <v>323120</v>
      </c>
      <c r="P395" s="15">
        <v>1018740</v>
      </c>
      <c r="Q395" s="15"/>
    </row>
    <row r="396" spans="1:17" x14ac:dyDescent="0.25">
      <c r="A396" s="11" t="s">
        <v>3751</v>
      </c>
      <c r="B396" s="13" t="s">
        <v>34</v>
      </c>
      <c r="C396" s="16" t="s">
        <v>36</v>
      </c>
      <c r="D396" s="13" t="s">
        <v>8</v>
      </c>
      <c r="E396" s="14" t="s">
        <v>33</v>
      </c>
      <c r="F396" s="14" t="s">
        <v>35</v>
      </c>
      <c r="G396" s="13">
        <v>2</v>
      </c>
      <c r="H396" s="14">
        <f t="shared" si="6"/>
        <v>6</v>
      </c>
      <c r="I396" s="14">
        <v>4</v>
      </c>
      <c r="J396" s="14">
        <v>6</v>
      </c>
      <c r="K396" s="13" t="s">
        <v>4520</v>
      </c>
      <c r="L396" s="15" t="s">
        <v>114</v>
      </c>
      <c r="M396" s="15">
        <v>3067</v>
      </c>
      <c r="N396" s="15">
        <v>1252</v>
      </c>
      <c r="O396" s="15">
        <v>330670</v>
      </c>
      <c r="P396" s="15">
        <v>1012520</v>
      </c>
      <c r="Q396" s="15"/>
    </row>
    <row r="397" spans="1:17" x14ac:dyDescent="0.25">
      <c r="A397" s="11" t="s">
        <v>3751</v>
      </c>
      <c r="B397" s="13" t="s">
        <v>34</v>
      </c>
      <c r="C397" s="16" t="s">
        <v>1050</v>
      </c>
      <c r="D397" s="13" t="s">
        <v>1048</v>
      </c>
      <c r="E397" s="14" t="s">
        <v>469</v>
      </c>
      <c r="F397" s="14" t="s">
        <v>35</v>
      </c>
      <c r="G397" s="13"/>
      <c r="H397" s="14">
        <f t="shared" si="6"/>
        <v>2</v>
      </c>
      <c r="I397" s="14">
        <v>2</v>
      </c>
      <c r="J397" s="14">
        <v>1</v>
      </c>
      <c r="K397" s="13" t="s">
        <v>3153</v>
      </c>
      <c r="L397" s="15" t="s">
        <v>114</v>
      </c>
      <c r="M397" s="15">
        <v>4257</v>
      </c>
      <c r="N397" s="15">
        <v>2761</v>
      </c>
      <c r="O397" s="15">
        <v>342570</v>
      </c>
      <c r="P397" s="15">
        <v>1027610</v>
      </c>
      <c r="Q397" s="15"/>
    </row>
    <row r="398" spans="1:17" ht="33.75" x14ac:dyDescent="0.25">
      <c r="A398" s="11" t="s">
        <v>3751</v>
      </c>
      <c r="B398" s="13" t="s">
        <v>34</v>
      </c>
      <c r="C398" s="16" t="s">
        <v>131</v>
      </c>
      <c r="D398" s="13" t="s">
        <v>1065</v>
      </c>
      <c r="E398" s="13" t="s">
        <v>132</v>
      </c>
      <c r="F398" s="14" t="s">
        <v>35</v>
      </c>
      <c r="G398" s="13">
        <v>1</v>
      </c>
      <c r="H398" s="14">
        <f t="shared" si="6"/>
        <v>7</v>
      </c>
      <c r="I398" s="14">
        <v>6</v>
      </c>
      <c r="J398" s="14">
        <v>5</v>
      </c>
      <c r="K398" s="13" t="s">
        <v>4577</v>
      </c>
      <c r="L398" s="15" t="s">
        <v>133</v>
      </c>
      <c r="M398" s="15">
        <v>4704</v>
      </c>
      <c r="N398" s="15">
        <v>8449</v>
      </c>
      <c r="O398" s="15">
        <v>347040</v>
      </c>
      <c r="P398" s="15">
        <v>984490</v>
      </c>
      <c r="Q398" s="15"/>
    </row>
    <row r="399" spans="1:17" ht="33.75" x14ac:dyDescent="0.25">
      <c r="A399" s="11" t="s">
        <v>3751</v>
      </c>
      <c r="B399" s="13" t="s">
        <v>34</v>
      </c>
      <c r="C399" s="16" t="s">
        <v>1415</v>
      </c>
      <c r="D399" s="13" t="s">
        <v>4144</v>
      </c>
      <c r="E399" s="13" t="s">
        <v>33</v>
      </c>
      <c r="F399" s="14" t="s">
        <v>35</v>
      </c>
      <c r="G399" s="13">
        <v>7</v>
      </c>
      <c r="H399" s="14">
        <f t="shared" si="6"/>
        <v>7</v>
      </c>
      <c r="J399" s="14">
        <v>6</v>
      </c>
      <c r="K399" s="13" t="s">
        <v>4574</v>
      </c>
      <c r="L399" s="15" t="s">
        <v>114</v>
      </c>
      <c r="M399" s="15">
        <v>2829</v>
      </c>
      <c r="N399" s="15">
        <v>1172</v>
      </c>
      <c r="O399" s="15">
        <v>328290</v>
      </c>
      <c r="P399" s="15">
        <v>1011720</v>
      </c>
      <c r="Q399" s="15"/>
    </row>
    <row r="400" spans="1:17" ht="22.5" x14ac:dyDescent="0.25">
      <c r="A400" s="11" t="s">
        <v>3751</v>
      </c>
      <c r="B400" s="13" t="s">
        <v>34</v>
      </c>
      <c r="C400" s="16" t="s">
        <v>1415</v>
      </c>
      <c r="D400" s="13" t="s">
        <v>41</v>
      </c>
      <c r="E400" s="13" t="s">
        <v>33</v>
      </c>
      <c r="F400" s="14" t="s">
        <v>35</v>
      </c>
      <c r="G400" s="13"/>
      <c r="H400" s="14">
        <f t="shared" si="6"/>
        <v>2</v>
      </c>
      <c r="I400" s="14">
        <v>2</v>
      </c>
      <c r="J400" s="14">
        <v>1</v>
      </c>
      <c r="K400" s="13" t="s">
        <v>4142</v>
      </c>
      <c r="L400" s="15" t="s">
        <v>114</v>
      </c>
      <c r="M400" s="15">
        <v>2829</v>
      </c>
      <c r="N400" s="15">
        <v>1172</v>
      </c>
      <c r="O400" s="15">
        <v>328290</v>
      </c>
      <c r="P400" s="15">
        <v>1011720</v>
      </c>
      <c r="Q400" s="15"/>
    </row>
    <row r="401" spans="1:17" ht="22.5" x14ac:dyDescent="0.25">
      <c r="A401" s="11" t="s">
        <v>3751</v>
      </c>
      <c r="B401" s="13" t="s">
        <v>34</v>
      </c>
      <c r="C401" s="16" t="s">
        <v>1049</v>
      </c>
      <c r="D401" s="13" t="s">
        <v>1047</v>
      </c>
      <c r="E401" s="13" t="s">
        <v>33</v>
      </c>
      <c r="F401" s="14" t="s">
        <v>35</v>
      </c>
      <c r="G401" s="13"/>
      <c r="H401" s="14">
        <f t="shared" si="6"/>
        <v>3</v>
      </c>
      <c r="I401" s="14">
        <v>3</v>
      </c>
      <c r="J401" s="14">
        <v>2</v>
      </c>
      <c r="K401" s="13" t="s">
        <v>4138</v>
      </c>
      <c r="L401" s="15" t="s">
        <v>114</v>
      </c>
      <c r="M401" s="15">
        <v>4090</v>
      </c>
      <c r="N401" s="15">
        <v>1211</v>
      </c>
      <c r="O401" s="15">
        <v>340900</v>
      </c>
      <c r="P401" s="15">
        <v>1012110</v>
      </c>
      <c r="Q401" s="15"/>
    </row>
    <row r="402" spans="1:17" ht="22.5" x14ac:dyDescent="0.25">
      <c r="A402" s="11" t="s">
        <v>3751</v>
      </c>
      <c r="B402" s="13" t="s">
        <v>99</v>
      </c>
      <c r="C402" s="16" t="s">
        <v>523</v>
      </c>
      <c r="D402" s="13" t="s">
        <v>524</v>
      </c>
      <c r="E402" s="13" t="s">
        <v>974</v>
      </c>
      <c r="F402" s="14" t="s">
        <v>35</v>
      </c>
      <c r="G402" s="13"/>
      <c r="H402" s="14">
        <f>G402+I402</f>
        <v>6</v>
      </c>
      <c r="I402" s="14">
        <v>6</v>
      </c>
      <c r="J402" s="14">
        <v>5</v>
      </c>
      <c r="K402" s="13" t="s">
        <v>4328</v>
      </c>
      <c r="L402" s="15" t="s">
        <v>526</v>
      </c>
      <c r="M402" s="15">
        <v>21300</v>
      </c>
      <c r="N402" s="15">
        <v>33017</v>
      </c>
      <c r="O402" s="15">
        <v>121300</v>
      </c>
      <c r="P402" s="15">
        <v>933017</v>
      </c>
      <c r="Q402" s="15"/>
    </row>
    <row r="403" spans="1:17" ht="22.5" x14ac:dyDescent="0.25">
      <c r="A403" s="11" t="s">
        <v>3751</v>
      </c>
      <c r="B403" s="13" t="s">
        <v>99</v>
      </c>
      <c r="C403" s="16" t="s">
        <v>523</v>
      </c>
      <c r="D403" s="13" t="s">
        <v>41</v>
      </c>
      <c r="E403" s="13" t="s">
        <v>974</v>
      </c>
      <c r="F403" s="14" t="s">
        <v>35</v>
      </c>
      <c r="G403" s="13"/>
      <c r="H403" s="14">
        <f t="shared" si="6"/>
        <v>1</v>
      </c>
      <c r="I403" s="14">
        <v>1</v>
      </c>
      <c r="J403" s="14">
        <v>1</v>
      </c>
      <c r="K403" s="13" t="s">
        <v>1690</v>
      </c>
      <c r="L403" s="15" t="s">
        <v>526</v>
      </c>
      <c r="M403" s="15">
        <v>21300</v>
      </c>
      <c r="N403" s="15">
        <v>33017</v>
      </c>
      <c r="O403" s="15">
        <v>121300</v>
      </c>
      <c r="P403" s="15">
        <v>933017</v>
      </c>
      <c r="Q403" s="15"/>
    </row>
    <row r="404" spans="1:17" x14ac:dyDescent="0.25">
      <c r="A404" s="11" t="s">
        <v>3751</v>
      </c>
      <c r="B404" s="13" t="s">
        <v>99</v>
      </c>
      <c r="C404" s="16" t="s">
        <v>4456</v>
      </c>
      <c r="D404" s="13" t="s">
        <v>4436</v>
      </c>
      <c r="E404" s="13" t="s">
        <v>974</v>
      </c>
      <c r="F404" s="14" t="s">
        <v>35</v>
      </c>
      <c r="G404" s="13">
        <v>1</v>
      </c>
      <c r="H404" s="14">
        <f>G404+I404</f>
        <v>1</v>
      </c>
      <c r="J404" s="14">
        <v>1</v>
      </c>
      <c r="K404" s="13" t="s">
        <v>4452</v>
      </c>
      <c r="L404" s="15" t="s">
        <v>526</v>
      </c>
      <c r="M404" s="15">
        <v>465</v>
      </c>
      <c r="N404" s="15">
        <v>405</v>
      </c>
      <c r="O404" s="15">
        <v>146500</v>
      </c>
      <c r="P404" s="15">
        <v>940500</v>
      </c>
      <c r="Q404" s="15"/>
    </row>
    <row r="405" spans="1:17" x14ac:dyDescent="0.25">
      <c r="A405" s="11" t="s">
        <v>3751</v>
      </c>
      <c r="B405" s="13" t="s">
        <v>99</v>
      </c>
      <c r="C405" s="16" t="s">
        <v>97</v>
      </c>
      <c r="D405" s="13" t="s">
        <v>39</v>
      </c>
      <c r="E405" s="14" t="s">
        <v>98</v>
      </c>
      <c r="F405" s="14" t="s">
        <v>35</v>
      </c>
      <c r="G405" s="13">
        <v>2</v>
      </c>
      <c r="H405" s="14">
        <f t="shared" si="6"/>
        <v>2</v>
      </c>
      <c r="J405" s="14">
        <v>2</v>
      </c>
      <c r="K405" s="13" t="s">
        <v>4512</v>
      </c>
      <c r="L405" s="15" t="s">
        <v>116</v>
      </c>
      <c r="M405" s="15">
        <v>9753</v>
      </c>
      <c r="N405" s="15">
        <v>9123</v>
      </c>
      <c r="O405" s="15">
        <v>97530</v>
      </c>
      <c r="P405" s="15">
        <v>891230</v>
      </c>
      <c r="Q405" s="15"/>
    </row>
    <row r="406" spans="1:17" x14ac:dyDescent="0.25">
      <c r="A406" s="11" t="s">
        <v>3751</v>
      </c>
      <c r="B406" s="13" t="s">
        <v>99</v>
      </c>
      <c r="C406" s="16" t="s">
        <v>4457</v>
      </c>
      <c r="D406" s="13" t="s">
        <v>4436</v>
      </c>
      <c r="E406" s="13" t="s">
        <v>974</v>
      </c>
      <c r="F406" s="14" t="s">
        <v>35</v>
      </c>
      <c r="G406" s="13">
        <v>3</v>
      </c>
      <c r="H406" s="14">
        <f>G406+I406</f>
        <v>3</v>
      </c>
      <c r="J406" s="14">
        <v>2</v>
      </c>
      <c r="K406" s="13" t="s">
        <v>4467</v>
      </c>
      <c r="L406" s="15" t="s">
        <v>526</v>
      </c>
      <c r="M406" s="15">
        <v>5320</v>
      </c>
      <c r="N406" s="15">
        <v>3440</v>
      </c>
      <c r="O406" s="15">
        <v>153200</v>
      </c>
      <c r="P406" s="15">
        <v>934400</v>
      </c>
      <c r="Q406" s="15"/>
    </row>
    <row r="407" spans="1:17" ht="22.5" x14ac:dyDescent="0.25">
      <c r="A407" s="11" t="s">
        <v>3751</v>
      </c>
      <c r="B407" s="13" t="s">
        <v>170</v>
      </c>
      <c r="C407" s="16" t="s">
        <v>972</v>
      </c>
      <c r="D407" s="13" t="s">
        <v>973</v>
      </c>
      <c r="E407" s="14" t="s">
        <v>167</v>
      </c>
      <c r="F407" s="14" t="s">
        <v>35</v>
      </c>
      <c r="G407" s="13"/>
      <c r="H407" s="14">
        <f t="shared" si="6"/>
        <v>9</v>
      </c>
      <c r="I407" s="14">
        <v>9</v>
      </c>
      <c r="J407" s="14">
        <v>4</v>
      </c>
      <c r="K407" s="13" t="s">
        <v>4014</v>
      </c>
      <c r="L407" s="15" t="s">
        <v>130</v>
      </c>
      <c r="M407" s="15">
        <v>1633</v>
      </c>
      <c r="N407" s="15">
        <v>4049</v>
      </c>
      <c r="O407" s="15">
        <v>316330</v>
      </c>
      <c r="P407" s="15">
        <v>740490</v>
      </c>
      <c r="Q407" s="15"/>
    </row>
    <row r="408" spans="1:17" ht="25.5" x14ac:dyDescent="0.25">
      <c r="A408" s="11" t="s">
        <v>3751</v>
      </c>
      <c r="B408" s="13" t="s">
        <v>170</v>
      </c>
      <c r="C408" s="16" t="s">
        <v>4230</v>
      </c>
      <c r="D408" s="13" t="s">
        <v>4231</v>
      </c>
      <c r="E408" s="14" t="s">
        <v>167</v>
      </c>
      <c r="F408" s="14" t="s">
        <v>35</v>
      </c>
      <c r="G408" s="13"/>
      <c r="H408" s="14">
        <f>G408+I408</f>
        <v>1</v>
      </c>
      <c r="I408" s="14">
        <v>1</v>
      </c>
      <c r="J408" s="14">
        <v>1</v>
      </c>
      <c r="K408" s="13" t="s">
        <v>4227</v>
      </c>
      <c r="L408" s="15" t="s">
        <v>169</v>
      </c>
      <c r="M408" s="15">
        <v>7975</v>
      </c>
      <c r="N408" s="15">
        <v>4726</v>
      </c>
      <c r="O408" s="15">
        <v>279750</v>
      </c>
      <c r="P408" s="15">
        <v>747260</v>
      </c>
      <c r="Q408" s="15"/>
    </row>
    <row r="409" spans="1:17" ht="33.75" x14ac:dyDescent="0.25">
      <c r="A409" s="11" t="s">
        <v>3751</v>
      </c>
      <c r="B409" s="13" t="s">
        <v>170</v>
      </c>
      <c r="C409" s="16" t="s">
        <v>3925</v>
      </c>
      <c r="D409" s="13" t="s">
        <v>3923</v>
      </c>
      <c r="E409" s="14" t="s">
        <v>167</v>
      </c>
      <c r="F409" s="14" t="s">
        <v>35</v>
      </c>
      <c r="G409" s="13"/>
      <c r="H409" s="14">
        <f>G409+I409</f>
        <v>3</v>
      </c>
      <c r="I409" s="14">
        <v>3</v>
      </c>
      <c r="J409" s="14">
        <v>2</v>
      </c>
      <c r="K409" s="13" t="s">
        <v>3947</v>
      </c>
      <c r="L409" s="15" t="s">
        <v>130</v>
      </c>
      <c r="M409" s="15">
        <v>2147</v>
      </c>
      <c r="N409" s="15">
        <v>15370</v>
      </c>
      <c r="O409" s="15">
        <v>302147</v>
      </c>
      <c r="P409" s="15">
        <v>715370</v>
      </c>
      <c r="Q409" s="15"/>
    </row>
    <row r="410" spans="1:17" ht="25.5" x14ac:dyDescent="0.25">
      <c r="A410" s="11" t="s">
        <v>3751</v>
      </c>
      <c r="B410" s="13" t="s">
        <v>170</v>
      </c>
      <c r="C410" s="16" t="s">
        <v>4124</v>
      </c>
      <c r="D410" s="13" t="s">
        <v>41</v>
      </c>
      <c r="E410" s="14" t="s">
        <v>167</v>
      </c>
      <c r="F410" s="14" t="s">
        <v>35</v>
      </c>
      <c r="G410" s="13"/>
      <c r="H410" s="14">
        <f>G410+I410</f>
        <v>2</v>
      </c>
      <c r="I410" s="14">
        <v>2</v>
      </c>
      <c r="J410" s="14">
        <v>1</v>
      </c>
      <c r="K410" s="13" t="s">
        <v>2215</v>
      </c>
      <c r="L410" s="15" t="s">
        <v>169</v>
      </c>
      <c r="M410" s="15">
        <v>7231</v>
      </c>
      <c r="N410" s="15">
        <v>2297</v>
      </c>
      <c r="O410" s="15">
        <v>272310</v>
      </c>
      <c r="P410" s="15">
        <v>722970</v>
      </c>
      <c r="Q410" s="15"/>
    </row>
    <row r="411" spans="1:17" ht="22.5" x14ac:dyDescent="0.25">
      <c r="A411" s="11" t="s">
        <v>3751</v>
      </c>
      <c r="B411" s="13" t="s">
        <v>170</v>
      </c>
      <c r="C411" s="16" t="s">
        <v>1012</v>
      </c>
      <c r="D411" s="13" t="s">
        <v>3987</v>
      </c>
      <c r="E411" s="14" t="s">
        <v>167</v>
      </c>
      <c r="F411" s="14" t="s">
        <v>35</v>
      </c>
      <c r="G411" s="13"/>
      <c r="H411" s="14">
        <f t="shared" si="6"/>
        <v>2</v>
      </c>
      <c r="I411" s="14">
        <v>2</v>
      </c>
      <c r="J411" s="14">
        <v>2</v>
      </c>
      <c r="K411" s="13" t="s">
        <v>4015</v>
      </c>
      <c r="L411" s="15" t="s">
        <v>130</v>
      </c>
      <c r="M411" s="15">
        <v>17340</v>
      </c>
      <c r="N411" s="15">
        <v>40245</v>
      </c>
      <c r="O411" s="15">
        <v>317340</v>
      </c>
      <c r="P411" s="15">
        <v>740245</v>
      </c>
      <c r="Q411" s="15"/>
    </row>
    <row r="412" spans="1:17" x14ac:dyDescent="0.25">
      <c r="A412" s="11" t="s">
        <v>3751</v>
      </c>
      <c r="B412" s="13" t="s">
        <v>170</v>
      </c>
      <c r="C412" s="16" t="s">
        <v>3780</v>
      </c>
      <c r="D412" s="13" t="s">
        <v>434</v>
      </c>
      <c r="E412" s="14" t="s">
        <v>3781</v>
      </c>
      <c r="F412" s="14" t="s">
        <v>35</v>
      </c>
      <c r="G412" s="13">
        <v>3</v>
      </c>
      <c r="H412" s="14">
        <f>G412+I412</f>
        <v>3</v>
      </c>
      <c r="J412" s="14">
        <v>3</v>
      </c>
      <c r="K412" s="13" t="s">
        <v>2659</v>
      </c>
      <c r="L412" s="15" t="s">
        <v>130</v>
      </c>
      <c r="M412" s="15">
        <v>155</v>
      </c>
      <c r="N412" s="15">
        <v>445</v>
      </c>
      <c r="O412" s="15">
        <v>315500</v>
      </c>
      <c r="P412" s="15">
        <v>744500</v>
      </c>
      <c r="Q412" s="15"/>
    </row>
    <row r="413" spans="1:17" ht="22.5" x14ac:dyDescent="0.25">
      <c r="A413" s="11" t="s">
        <v>3751</v>
      </c>
      <c r="B413" s="13" t="s">
        <v>170</v>
      </c>
      <c r="C413" s="16" t="s">
        <v>1006</v>
      </c>
      <c r="D413" s="13" t="s">
        <v>1007</v>
      </c>
      <c r="E413" s="14" t="s">
        <v>167</v>
      </c>
      <c r="F413" s="14" t="s">
        <v>35</v>
      </c>
      <c r="G413" s="13"/>
      <c r="H413" s="14">
        <f t="shared" si="6"/>
        <v>2</v>
      </c>
      <c r="I413" s="14">
        <v>2</v>
      </c>
      <c r="J413" s="14">
        <v>2</v>
      </c>
      <c r="K413" s="13" t="s">
        <v>4249</v>
      </c>
      <c r="L413" s="15" t="s">
        <v>169</v>
      </c>
      <c r="M413" s="15">
        <v>9285</v>
      </c>
      <c r="N413" s="15">
        <v>1625</v>
      </c>
      <c r="O413" s="15">
        <v>292850</v>
      </c>
      <c r="P413" s="15">
        <v>716250</v>
      </c>
      <c r="Q413" s="15"/>
    </row>
    <row r="414" spans="1:17" ht="22.5" x14ac:dyDescent="0.25">
      <c r="A414" s="11" t="s">
        <v>3751</v>
      </c>
      <c r="B414" s="13" t="s">
        <v>170</v>
      </c>
      <c r="C414" s="16" t="s">
        <v>275</v>
      </c>
      <c r="D414" s="13" t="s">
        <v>278</v>
      </c>
      <c r="E414" s="14" t="s">
        <v>167</v>
      </c>
      <c r="F414" s="14" t="s">
        <v>35</v>
      </c>
      <c r="G414" s="13">
        <v>1</v>
      </c>
      <c r="H414" s="14">
        <f t="shared" si="6"/>
        <v>5</v>
      </c>
      <c r="I414" s="14">
        <v>4</v>
      </c>
      <c r="J414" s="14">
        <v>4</v>
      </c>
      <c r="K414" s="13" t="s">
        <v>4490</v>
      </c>
      <c r="L414" s="15" t="s">
        <v>169</v>
      </c>
      <c r="M414" s="15">
        <v>9287</v>
      </c>
      <c r="N414" s="15">
        <v>5337</v>
      </c>
      <c r="O414" s="15">
        <v>292870</v>
      </c>
      <c r="P414" s="15">
        <v>753370</v>
      </c>
      <c r="Q414" s="15"/>
    </row>
    <row r="415" spans="1:17" x14ac:dyDescent="0.25">
      <c r="A415" s="11" t="s">
        <v>3751</v>
      </c>
      <c r="B415" s="13" t="s">
        <v>319</v>
      </c>
      <c r="C415" s="16" t="s">
        <v>2657</v>
      </c>
      <c r="D415" s="13" t="s">
        <v>39</v>
      </c>
      <c r="E415" s="14" t="s">
        <v>2658</v>
      </c>
      <c r="F415" s="14" t="s">
        <v>35</v>
      </c>
      <c r="G415" s="13"/>
      <c r="H415" s="14">
        <f t="shared" si="6"/>
        <v>1</v>
      </c>
      <c r="I415" s="14">
        <v>1</v>
      </c>
      <c r="J415" s="14">
        <v>1</v>
      </c>
      <c r="K415" s="13" t="s">
        <v>240</v>
      </c>
      <c r="L415" s="15" t="s">
        <v>318</v>
      </c>
      <c r="M415" s="15">
        <v>586</v>
      </c>
      <c r="N415" s="15">
        <v>652</v>
      </c>
      <c r="O415" s="15">
        <v>458600</v>
      </c>
      <c r="P415" s="15">
        <v>1165200</v>
      </c>
      <c r="Q415" s="15"/>
    </row>
    <row r="416" spans="1:17" ht="22.5" x14ac:dyDescent="0.25">
      <c r="A416" s="11" t="s">
        <v>3751</v>
      </c>
      <c r="B416" s="13" t="s">
        <v>319</v>
      </c>
      <c r="C416" s="16" t="s">
        <v>4112</v>
      </c>
      <c r="D416" s="13" t="s">
        <v>41</v>
      </c>
      <c r="E416" s="14" t="s">
        <v>2615</v>
      </c>
      <c r="F416" s="14" t="s">
        <v>35</v>
      </c>
      <c r="G416" s="13"/>
      <c r="H416" s="14">
        <f>G416+I416</f>
        <v>1</v>
      </c>
      <c r="I416" s="14">
        <v>1</v>
      </c>
      <c r="J416" s="14">
        <v>1</v>
      </c>
      <c r="K416" s="13" t="s">
        <v>1286</v>
      </c>
      <c r="L416" s="15" t="s">
        <v>318</v>
      </c>
      <c r="M416" s="15">
        <v>2874</v>
      </c>
      <c r="N416" s="15">
        <v>4749</v>
      </c>
      <c r="O416" s="15">
        <v>428740</v>
      </c>
      <c r="P416" s="15">
        <v>1147490</v>
      </c>
      <c r="Q416" s="15"/>
    </row>
    <row r="417" spans="1:17" ht="25.5" x14ac:dyDescent="0.25">
      <c r="A417" s="11" t="s">
        <v>3751</v>
      </c>
      <c r="B417" s="13" t="s">
        <v>319</v>
      </c>
      <c r="C417" s="16" t="s">
        <v>4116</v>
      </c>
      <c r="D417" s="13" t="s">
        <v>41</v>
      </c>
      <c r="E417" s="14" t="s">
        <v>4114</v>
      </c>
      <c r="F417" s="14" t="s">
        <v>35</v>
      </c>
      <c r="G417" s="13"/>
      <c r="H417" s="14">
        <f t="shared" si="6"/>
        <v>1</v>
      </c>
      <c r="I417" s="14">
        <v>1</v>
      </c>
      <c r="J417" s="14">
        <v>1</v>
      </c>
      <c r="K417" s="13" t="s">
        <v>1513</v>
      </c>
      <c r="L417" s="15" t="s">
        <v>318</v>
      </c>
      <c r="M417" s="15">
        <v>2913</v>
      </c>
      <c r="N417" s="15">
        <v>7811</v>
      </c>
      <c r="O417" s="15">
        <v>429130</v>
      </c>
      <c r="P417" s="15">
        <v>1178110</v>
      </c>
      <c r="Q417" s="15"/>
    </row>
    <row r="418" spans="1:17" x14ac:dyDescent="0.25">
      <c r="A418" s="11" t="s">
        <v>3751</v>
      </c>
      <c r="B418" s="13" t="s">
        <v>319</v>
      </c>
      <c r="C418" s="16" t="s">
        <v>2655</v>
      </c>
      <c r="D418" s="13" t="s">
        <v>39</v>
      </c>
      <c r="E418" s="14" t="s">
        <v>2615</v>
      </c>
      <c r="F418" s="14" t="s">
        <v>35</v>
      </c>
      <c r="G418" s="13"/>
      <c r="H418" s="14">
        <f t="shared" si="6"/>
        <v>1</v>
      </c>
      <c r="I418" s="14">
        <v>1</v>
      </c>
      <c r="J418" s="14">
        <v>1</v>
      </c>
      <c r="K418" s="13" t="s">
        <v>240</v>
      </c>
      <c r="L418" s="15" t="s">
        <v>318</v>
      </c>
      <c r="M418" s="15">
        <v>281</v>
      </c>
      <c r="N418" s="15">
        <v>498</v>
      </c>
      <c r="O418" s="15">
        <v>428100</v>
      </c>
      <c r="P418" s="15">
        <v>1149800</v>
      </c>
      <c r="Q418" s="15"/>
    </row>
    <row r="419" spans="1:17" ht="25.5" x14ac:dyDescent="0.25">
      <c r="A419" s="11" t="s">
        <v>3751</v>
      </c>
      <c r="B419" s="13" t="s">
        <v>319</v>
      </c>
      <c r="C419" s="16" t="s">
        <v>4320</v>
      </c>
      <c r="D419" s="13" t="s">
        <v>8</v>
      </c>
      <c r="E419" s="14" t="s">
        <v>4321</v>
      </c>
      <c r="F419" s="14" t="s">
        <v>35</v>
      </c>
      <c r="G419" s="13"/>
      <c r="H419" s="14">
        <f>G419+I419</f>
        <v>1</v>
      </c>
      <c r="I419" s="14">
        <v>1</v>
      </c>
      <c r="J419" s="14">
        <v>1</v>
      </c>
      <c r="K419" s="13" t="s">
        <v>1706</v>
      </c>
      <c r="L419" s="15" t="s">
        <v>318</v>
      </c>
      <c r="M419" s="15">
        <v>6221</v>
      </c>
      <c r="N419" s="15">
        <v>9241</v>
      </c>
      <c r="O419" s="15">
        <v>462210</v>
      </c>
      <c r="P419" s="15">
        <v>1192410</v>
      </c>
      <c r="Q419" s="15"/>
    </row>
    <row r="420" spans="1:17" ht="22.5" x14ac:dyDescent="0.25">
      <c r="A420" s="11" t="s">
        <v>3751</v>
      </c>
      <c r="B420" s="13" t="s">
        <v>319</v>
      </c>
      <c r="C420" s="16" t="s">
        <v>4117</v>
      </c>
      <c r="D420" s="13" t="s">
        <v>41</v>
      </c>
      <c r="E420" s="14" t="s">
        <v>3784</v>
      </c>
      <c r="F420" s="14" t="s">
        <v>35</v>
      </c>
      <c r="G420" s="13"/>
      <c r="H420" s="14">
        <f>G420+I420</f>
        <v>1</v>
      </c>
      <c r="I420" s="14">
        <v>1</v>
      </c>
      <c r="J420" s="14">
        <v>1</v>
      </c>
      <c r="K420" s="13" t="s">
        <v>1513</v>
      </c>
      <c r="L420" s="15" t="s">
        <v>318</v>
      </c>
      <c r="M420" s="15">
        <v>24541</v>
      </c>
      <c r="N420" s="15">
        <v>51332</v>
      </c>
      <c r="O420" s="15">
        <v>424541</v>
      </c>
      <c r="P420" s="15">
        <v>1151332</v>
      </c>
      <c r="Q420" s="15"/>
    </row>
    <row r="421" spans="1:17" ht="22.5" x14ac:dyDescent="0.25">
      <c r="A421" s="11" t="s">
        <v>3751</v>
      </c>
      <c r="B421" s="13" t="s">
        <v>319</v>
      </c>
      <c r="C421" s="16" t="s">
        <v>4113</v>
      </c>
      <c r="D421" s="13" t="s">
        <v>41</v>
      </c>
      <c r="E421" s="14" t="s">
        <v>4114</v>
      </c>
      <c r="F421" s="14" t="s">
        <v>35</v>
      </c>
      <c r="G421" s="13"/>
      <c r="H421" s="14">
        <f t="shared" si="6"/>
        <v>1</v>
      </c>
      <c r="I421" s="14">
        <v>1</v>
      </c>
      <c r="J421" s="14">
        <v>1</v>
      </c>
      <c r="K421" s="13" t="s">
        <v>1286</v>
      </c>
      <c r="L421" s="15" t="s">
        <v>318</v>
      </c>
      <c r="M421" s="15">
        <v>3271</v>
      </c>
      <c r="N421" s="15">
        <v>7086</v>
      </c>
      <c r="O421" s="15">
        <v>432710</v>
      </c>
      <c r="P421" s="15">
        <v>1170860</v>
      </c>
      <c r="Q421" s="15"/>
    </row>
    <row r="422" spans="1:17" ht="22.5" x14ac:dyDescent="0.25">
      <c r="A422" s="11" t="s">
        <v>3751</v>
      </c>
      <c r="B422" s="13" t="s">
        <v>319</v>
      </c>
      <c r="C422" s="16" t="s">
        <v>1518</v>
      </c>
      <c r="D422" s="13" t="s">
        <v>41</v>
      </c>
      <c r="E422" s="14" t="s">
        <v>319</v>
      </c>
      <c r="F422" s="14" t="s">
        <v>35</v>
      </c>
      <c r="G422" s="13"/>
      <c r="H422" s="14">
        <f t="shared" si="6"/>
        <v>2</v>
      </c>
      <c r="I422" s="14">
        <v>2</v>
      </c>
      <c r="J422" s="14">
        <v>2</v>
      </c>
      <c r="K422" s="13" t="s">
        <v>2968</v>
      </c>
      <c r="L422" s="15" t="s">
        <v>318</v>
      </c>
      <c r="M422" s="15">
        <v>2216</v>
      </c>
      <c r="N422" s="15">
        <v>7891</v>
      </c>
      <c r="O422" s="15">
        <v>422160</v>
      </c>
      <c r="P422" s="15">
        <v>1178910</v>
      </c>
      <c r="Q422" s="15"/>
    </row>
    <row r="423" spans="1:17" x14ac:dyDescent="0.25">
      <c r="A423" s="11" t="s">
        <v>3751</v>
      </c>
      <c r="B423" s="13" t="s">
        <v>319</v>
      </c>
      <c r="C423" s="16" t="s">
        <v>3906</v>
      </c>
      <c r="D423" s="13" t="s">
        <v>39</v>
      </c>
      <c r="E423" s="14" t="s">
        <v>319</v>
      </c>
      <c r="F423" s="14" t="s">
        <v>35</v>
      </c>
      <c r="G423" s="13"/>
      <c r="H423" s="14">
        <f>G423+I423</f>
        <v>1</v>
      </c>
      <c r="I423" s="14">
        <v>1</v>
      </c>
      <c r="J423" s="14">
        <v>1</v>
      </c>
      <c r="K423" s="13" t="s">
        <v>243</v>
      </c>
      <c r="L423" s="15" t="s">
        <v>318</v>
      </c>
      <c r="M423" s="15">
        <v>3372</v>
      </c>
      <c r="N423" s="15">
        <v>6857</v>
      </c>
      <c r="O423" s="15">
        <v>433720</v>
      </c>
      <c r="P423" s="15">
        <v>1168570</v>
      </c>
      <c r="Q423" s="15"/>
    </row>
    <row r="424" spans="1:17" ht="22.5" x14ac:dyDescent="0.25">
      <c r="A424" s="11" t="s">
        <v>3751</v>
      </c>
      <c r="B424" s="13" t="s">
        <v>319</v>
      </c>
      <c r="C424" s="16" t="s">
        <v>4115</v>
      </c>
      <c r="D424" s="13" t="s">
        <v>41</v>
      </c>
      <c r="E424" s="14" t="s">
        <v>4114</v>
      </c>
      <c r="F424" s="14" t="s">
        <v>35</v>
      </c>
      <c r="G424" s="13"/>
      <c r="H424" s="14">
        <f>G424+I424</f>
        <v>1</v>
      </c>
      <c r="I424" s="14">
        <v>1</v>
      </c>
      <c r="J424" s="14">
        <v>1</v>
      </c>
      <c r="K424" s="13" t="s">
        <v>1513</v>
      </c>
      <c r="L424" s="15" t="s">
        <v>318</v>
      </c>
      <c r="M424" s="15">
        <v>2239</v>
      </c>
      <c r="N424" s="15">
        <v>7903</v>
      </c>
      <c r="O424" s="15">
        <v>422390</v>
      </c>
      <c r="P424" s="15">
        <v>1179030</v>
      </c>
      <c r="Q424" s="15"/>
    </row>
    <row r="425" spans="1:17" x14ac:dyDescent="0.25">
      <c r="A425" s="11" t="s">
        <v>3751</v>
      </c>
      <c r="B425" s="13" t="s">
        <v>319</v>
      </c>
      <c r="C425" s="16" t="s">
        <v>1562</v>
      </c>
      <c r="D425" s="13" t="s">
        <v>39</v>
      </c>
      <c r="E425" s="14" t="s">
        <v>319</v>
      </c>
      <c r="F425" s="14" t="s">
        <v>35</v>
      </c>
      <c r="G425" s="13"/>
      <c r="H425" s="14">
        <f t="shared" si="6"/>
        <v>1</v>
      </c>
      <c r="I425" s="14">
        <v>1</v>
      </c>
      <c r="J425" s="14">
        <v>1</v>
      </c>
      <c r="K425" s="13" t="s">
        <v>240</v>
      </c>
      <c r="L425" s="15" t="s">
        <v>318</v>
      </c>
      <c r="M425" s="15">
        <v>277</v>
      </c>
      <c r="N425" s="15">
        <v>484</v>
      </c>
      <c r="O425" s="15">
        <v>427700</v>
      </c>
      <c r="P425" s="15">
        <v>1148400</v>
      </c>
      <c r="Q425" s="15"/>
    </row>
    <row r="426" spans="1:17" ht="22.5" x14ac:dyDescent="0.25">
      <c r="A426" s="11" t="s">
        <v>3751</v>
      </c>
      <c r="B426" s="13" t="s">
        <v>319</v>
      </c>
      <c r="C426" s="16" t="s">
        <v>1542</v>
      </c>
      <c r="D426" s="13" t="s">
        <v>41</v>
      </c>
      <c r="E426" s="14" t="s">
        <v>319</v>
      </c>
      <c r="F426" s="14" t="s">
        <v>35</v>
      </c>
      <c r="G426" s="13"/>
      <c r="H426" s="14">
        <f t="shared" si="6"/>
        <v>2</v>
      </c>
      <c r="I426" s="14">
        <v>2</v>
      </c>
      <c r="J426" s="14">
        <v>1</v>
      </c>
      <c r="K426" s="13" t="s">
        <v>1513</v>
      </c>
      <c r="L426" s="15" t="s">
        <v>318</v>
      </c>
      <c r="M426" s="15">
        <v>3245</v>
      </c>
      <c r="N426" s="15">
        <v>7124</v>
      </c>
      <c r="O426" s="15">
        <v>432450</v>
      </c>
      <c r="P426" s="15">
        <v>1171240</v>
      </c>
      <c r="Q426" s="15"/>
    </row>
    <row r="427" spans="1:17" ht="25.5" x14ac:dyDescent="0.25">
      <c r="A427" s="11" t="s">
        <v>3751</v>
      </c>
      <c r="B427" s="13" t="s">
        <v>319</v>
      </c>
      <c r="C427" s="16" t="s">
        <v>4322</v>
      </c>
      <c r="D427" s="13" t="s">
        <v>8</v>
      </c>
      <c r="E427" s="14" t="s">
        <v>3788</v>
      </c>
      <c r="F427" s="14" t="s">
        <v>35</v>
      </c>
      <c r="G427" s="13"/>
      <c r="H427" s="14">
        <f>G427+I427</f>
        <v>1</v>
      </c>
      <c r="I427" s="14">
        <v>1</v>
      </c>
      <c r="J427" s="14">
        <v>1</v>
      </c>
      <c r="K427" s="13" t="s">
        <v>1706</v>
      </c>
      <c r="L427" s="15" t="s">
        <v>3789</v>
      </c>
      <c r="M427" s="15">
        <v>6153</v>
      </c>
      <c r="N427" s="15">
        <v>1084</v>
      </c>
      <c r="O427" s="15">
        <v>461530</v>
      </c>
      <c r="P427" s="15">
        <v>1210840</v>
      </c>
      <c r="Q427" s="15"/>
    </row>
    <row r="428" spans="1:17" x14ac:dyDescent="0.25">
      <c r="A428" s="11" t="s">
        <v>3751</v>
      </c>
      <c r="B428" s="13" t="s">
        <v>319</v>
      </c>
      <c r="C428" s="16" t="s">
        <v>3787</v>
      </c>
      <c r="D428" s="13" t="s">
        <v>100</v>
      </c>
      <c r="E428" s="14" t="s">
        <v>3788</v>
      </c>
      <c r="F428" s="14" t="s">
        <v>35</v>
      </c>
      <c r="G428" s="13"/>
      <c r="H428" s="14">
        <f t="shared" si="6"/>
        <v>1</v>
      </c>
      <c r="I428" s="14">
        <v>1</v>
      </c>
      <c r="J428" s="14">
        <v>1</v>
      </c>
      <c r="K428" s="13" t="s">
        <v>1022</v>
      </c>
      <c r="L428" s="15" t="s">
        <v>3789</v>
      </c>
      <c r="M428" s="15">
        <v>631</v>
      </c>
      <c r="N428" s="15">
        <v>166</v>
      </c>
      <c r="O428" s="15">
        <v>463100</v>
      </c>
      <c r="P428" s="15">
        <v>1216600</v>
      </c>
      <c r="Q428" s="15"/>
    </row>
    <row r="429" spans="1:17" x14ac:dyDescent="0.25">
      <c r="A429" s="11" t="s">
        <v>3751</v>
      </c>
      <c r="B429" s="13" t="s">
        <v>319</v>
      </c>
      <c r="C429" s="16" t="s">
        <v>3783</v>
      </c>
      <c r="D429" s="13" t="s">
        <v>39</v>
      </c>
      <c r="E429" s="14" t="s">
        <v>3784</v>
      </c>
      <c r="F429" s="14" t="s">
        <v>35</v>
      </c>
      <c r="G429" s="13"/>
      <c r="H429" s="14">
        <f>G429+I429</f>
        <v>8</v>
      </c>
      <c r="I429" s="14">
        <v>8</v>
      </c>
      <c r="J429" s="14">
        <v>5</v>
      </c>
      <c r="K429" s="13" t="s">
        <v>3909</v>
      </c>
      <c r="L429" s="15" t="s">
        <v>318</v>
      </c>
      <c r="M429" s="15">
        <v>2560</v>
      </c>
      <c r="N429" s="15">
        <v>5165</v>
      </c>
      <c r="O429" s="15">
        <v>425600</v>
      </c>
      <c r="P429" s="15">
        <v>1151650</v>
      </c>
      <c r="Q429" s="15"/>
    </row>
    <row r="430" spans="1:17" x14ac:dyDescent="0.25">
      <c r="A430" s="11" t="s">
        <v>3751</v>
      </c>
      <c r="B430" s="13" t="s">
        <v>319</v>
      </c>
      <c r="C430" s="16" t="s">
        <v>315</v>
      </c>
      <c r="D430" s="13" t="s">
        <v>1278</v>
      </c>
      <c r="E430" s="14" t="s">
        <v>319</v>
      </c>
      <c r="F430" s="14" t="s">
        <v>35</v>
      </c>
      <c r="G430" s="13">
        <v>1</v>
      </c>
      <c r="H430" s="14">
        <f t="shared" si="6"/>
        <v>1</v>
      </c>
      <c r="J430" s="14">
        <v>1</v>
      </c>
      <c r="K430" s="13" t="s">
        <v>1022</v>
      </c>
      <c r="L430" s="15" t="s">
        <v>318</v>
      </c>
      <c r="M430" s="15">
        <v>42287</v>
      </c>
      <c r="N430" s="15">
        <v>62792</v>
      </c>
      <c r="O430" s="15">
        <v>442287</v>
      </c>
      <c r="P430" s="15">
        <v>1162792</v>
      </c>
      <c r="Q430" s="15"/>
    </row>
    <row r="431" spans="1:17" x14ac:dyDescent="0.25">
      <c r="A431" s="11" t="s">
        <v>3751</v>
      </c>
      <c r="B431" s="13" t="s">
        <v>319</v>
      </c>
      <c r="C431" s="16" t="s">
        <v>2614</v>
      </c>
      <c r="D431" s="13" t="s">
        <v>39</v>
      </c>
      <c r="E431" s="14" t="s">
        <v>2615</v>
      </c>
      <c r="F431" s="14" t="s">
        <v>35</v>
      </c>
      <c r="G431" s="13">
        <v>1</v>
      </c>
      <c r="H431" s="14">
        <f>G431+I431</f>
        <v>6</v>
      </c>
      <c r="I431" s="14">
        <v>5</v>
      </c>
      <c r="J431" s="14">
        <v>4</v>
      </c>
      <c r="K431" s="13" t="s">
        <v>3907</v>
      </c>
      <c r="L431" s="15" t="s">
        <v>318</v>
      </c>
      <c r="M431" s="15">
        <v>285</v>
      </c>
      <c r="N431" s="15">
        <v>502</v>
      </c>
      <c r="O431" s="15">
        <v>428500</v>
      </c>
      <c r="P431" s="15">
        <v>1150200</v>
      </c>
      <c r="Q431" s="15"/>
    </row>
    <row r="432" spans="1:17" ht="22.5" x14ac:dyDescent="0.25">
      <c r="A432" s="11" t="s">
        <v>3751</v>
      </c>
      <c r="B432" s="13" t="s">
        <v>319</v>
      </c>
      <c r="C432" s="16" t="s">
        <v>1519</v>
      </c>
      <c r="D432" s="13" t="s">
        <v>41</v>
      </c>
      <c r="E432" s="14" t="s">
        <v>319</v>
      </c>
      <c r="F432" s="14" t="s">
        <v>35</v>
      </c>
      <c r="G432" s="13"/>
      <c r="H432" s="14">
        <f t="shared" si="6"/>
        <v>2</v>
      </c>
      <c r="I432" s="14">
        <v>2</v>
      </c>
      <c r="J432" s="14">
        <v>2</v>
      </c>
      <c r="K432" s="13" t="s">
        <v>2968</v>
      </c>
      <c r="L432" s="15" t="s">
        <v>318</v>
      </c>
      <c r="M432" s="15">
        <v>2956</v>
      </c>
      <c r="N432" s="15">
        <v>6096</v>
      </c>
      <c r="O432" s="15">
        <v>429560</v>
      </c>
      <c r="P432" s="15">
        <v>1160960</v>
      </c>
      <c r="Q432" s="15"/>
    </row>
    <row r="433" spans="1:17" ht="22.5" x14ac:dyDescent="0.25">
      <c r="A433" s="11" t="s">
        <v>3751</v>
      </c>
      <c r="B433" s="13" t="s">
        <v>319</v>
      </c>
      <c r="C433" s="16" t="s">
        <v>4118</v>
      </c>
      <c r="D433" s="13" t="s">
        <v>41</v>
      </c>
      <c r="E433" s="14" t="s">
        <v>319</v>
      </c>
      <c r="F433" s="14" t="s">
        <v>35</v>
      </c>
      <c r="G433" s="13"/>
      <c r="H433" s="14">
        <f>G433+I433</f>
        <v>1</v>
      </c>
      <c r="I433" s="14">
        <v>1</v>
      </c>
      <c r="J433" s="14">
        <v>1</v>
      </c>
      <c r="K433" s="13" t="s">
        <v>1513</v>
      </c>
      <c r="L433" s="15" t="s">
        <v>318</v>
      </c>
      <c r="M433" s="15">
        <v>6217</v>
      </c>
      <c r="N433" s="15">
        <v>9354</v>
      </c>
      <c r="O433" s="15">
        <v>462170</v>
      </c>
      <c r="P433" s="15">
        <v>1193540</v>
      </c>
      <c r="Q433" s="15"/>
    </row>
    <row r="434" spans="1:17" x14ac:dyDescent="0.25">
      <c r="A434" s="11" t="s">
        <v>3751</v>
      </c>
      <c r="B434" s="13" t="s">
        <v>319</v>
      </c>
      <c r="C434" s="16" t="s">
        <v>3908</v>
      </c>
      <c r="D434" s="13" t="s">
        <v>39</v>
      </c>
      <c r="E434" s="14" t="s">
        <v>2658</v>
      </c>
      <c r="F434" s="14" t="s">
        <v>35</v>
      </c>
      <c r="G434" s="13"/>
      <c r="H434" s="14">
        <f>G434+I434</f>
        <v>1</v>
      </c>
      <c r="I434" s="14">
        <v>1</v>
      </c>
      <c r="J434" s="14">
        <v>1</v>
      </c>
      <c r="K434" s="13" t="s">
        <v>240</v>
      </c>
      <c r="L434" s="15" t="s">
        <v>318</v>
      </c>
      <c r="M434" s="15">
        <v>5872</v>
      </c>
      <c r="N434" s="15">
        <v>6521</v>
      </c>
      <c r="O434" s="15">
        <v>458720</v>
      </c>
      <c r="P434" s="15">
        <v>1165210</v>
      </c>
      <c r="Q434" s="15"/>
    </row>
    <row r="435" spans="1:17" ht="22.5" x14ac:dyDescent="0.25">
      <c r="A435" s="11" t="s">
        <v>3751</v>
      </c>
      <c r="B435" s="13" t="s">
        <v>743</v>
      </c>
      <c r="C435" s="16" t="s">
        <v>1452</v>
      </c>
      <c r="D435" s="13" t="s">
        <v>41</v>
      </c>
      <c r="E435" s="14" t="s">
        <v>236</v>
      </c>
      <c r="F435" s="14" t="s">
        <v>35</v>
      </c>
      <c r="G435" s="13"/>
      <c r="H435" s="14">
        <f t="shared" si="6"/>
        <v>1</v>
      </c>
      <c r="I435" s="14">
        <v>1</v>
      </c>
      <c r="J435" s="14">
        <v>1</v>
      </c>
      <c r="K435" s="13" t="s">
        <v>1262</v>
      </c>
      <c r="L435" s="15" t="s">
        <v>460</v>
      </c>
      <c r="M435" s="15">
        <v>8177</v>
      </c>
      <c r="N435" s="15">
        <v>9265</v>
      </c>
      <c r="O435" s="15">
        <v>281770</v>
      </c>
      <c r="P435" s="15">
        <v>892650</v>
      </c>
      <c r="Q435" s="15"/>
    </row>
    <row r="436" spans="1:17" ht="25.5" x14ac:dyDescent="0.25">
      <c r="A436" s="11" t="s">
        <v>3751</v>
      </c>
      <c r="B436" s="13" t="s">
        <v>743</v>
      </c>
      <c r="C436" s="16" t="s">
        <v>4162</v>
      </c>
      <c r="D436" s="13" t="s">
        <v>41</v>
      </c>
      <c r="E436" s="14" t="s">
        <v>236</v>
      </c>
      <c r="F436" s="14" t="s">
        <v>35</v>
      </c>
      <c r="G436" s="13"/>
      <c r="H436" s="14">
        <f>G436+I436</f>
        <v>1</v>
      </c>
      <c r="I436" s="14">
        <v>1</v>
      </c>
      <c r="J436" s="14">
        <v>1</v>
      </c>
      <c r="K436" s="13" t="s">
        <v>1262</v>
      </c>
      <c r="L436" s="15" t="s">
        <v>460</v>
      </c>
      <c r="M436" s="15">
        <v>7411</v>
      </c>
      <c r="N436" s="15">
        <v>9945</v>
      </c>
      <c r="O436" s="15">
        <v>274110</v>
      </c>
      <c r="P436" s="15">
        <v>899450</v>
      </c>
      <c r="Q436" s="15"/>
    </row>
    <row r="437" spans="1:17" x14ac:dyDescent="0.25">
      <c r="A437" s="11" t="s">
        <v>3751</v>
      </c>
      <c r="B437" s="13" t="s">
        <v>167</v>
      </c>
      <c r="C437" s="16" t="s">
        <v>3993</v>
      </c>
      <c r="D437" s="13" t="s">
        <v>20</v>
      </c>
      <c r="E437" s="13" t="s">
        <v>400</v>
      </c>
      <c r="F437" s="14" t="s">
        <v>35</v>
      </c>
      <c r="G437" s="13"/>
      <c r="H437" s="14">
        <f>G437+I437</f>
        <v>3</v>
      </c>
      <c r="I437" s="14">
        <v>3</v>
      </c>
      <c r="J437" s="14">
        <v>3</v>
      </c>
      <c r="K437" s="13" t="s">
        <v>3988</v>
      </c>
      <c r="L437" s="15" t="s">
        <v>169</v>
      </c>
      <c r="M437" s="15">
        <v>86550</v>
      </c>
      <c r="N437" s="15">
        <v>19030</v>
      </c>
      <c r="O437" s="15">
        <v>286550</v>
      </c>
      <c r="P437" s="15">
        <v>719030</v>
      </c>
      <c r="Q437" s="15"/>
    </row>
    <row r="438" spans="1:17" x14ac:dyDescent="0.25">
      <c r="A438" s="11" t="s">
        <v>3751</v>
      </c>
      <c r="B438" s="13" t="s">
        <v>167</v>
      </c>
      <c r="C438" s="16" t="s">
        <v>3994</v>
      </c>
      <c r="D438" s="13" t="s">
        <v>20</v>
      </c>
      <c r="E438" s="13" t="s">
        <v>400</v>
      </c>
      <c r="F438" s="14" t="s">
        <v>35</v>
      </c>
      <c r="G438" s="13"/>
      <c r="H438" s="14">
        <f>G438+I438</f>
        <v>2</v>
      </c>
      <c r="I438" s="14">
        <v>2</v>
      </c>
      <c r="J438" s="14">
        <v>2</v>
      </c>
      <c r="K438" s="13" t="s">
        <v>569</v>
      </c>
      <c r="L438" s="15" t="s">
        <v>130</v>
      </c>
      <c r="M438" s="15">
        <v>11620</v>
      </c>
      <c r="N438" s="15">
        <v>28010</v>
      </c>
      <c r="O438" s="15">
        <v>311620</v>
      </c>
      <c r="P438" s="15">
        <v>728010</v>
      </c>
      <c r="Q438" s="15"/>
    </row>
    <row r="439" spans="1:17" x14ac:dyDescent="0.25">
      <c r="A439" s="11" t="s">
        <v>3751</v>
      </c>
      <c r="B439" s="13" t="s">
        <v>167</v>
      </c>
      <c r="C439" s="16" t="s">
        <v>399</v>
      </c>
      <c r="D439" s="13" t="s">
        <v>401</v>
      </c>
      <c r="E439" s="13" t="s">
        <v>400</v>
      </c>
      <c r="F439" s="14" t="s">
        <v>35</v>
      </c>
      <c r="G439" s="13"/>
      <c r="H439" s="14">
        <f>G439+I439</f>
        <v>3</v>
      </c>
      <c r="I439" s="14">
        <v>3</v>
      </c>
      <c r="J439" s="14">
        <v>2</v>
      </c>
      <c r="K439" s="13" t="s">
        <v>4252</v>
      </c>
      <c r="L439" s="15" t="s">
        <v>130</v>
      </c>
      <c r="M439" s="15">
        <v>5210</v>
      </c>
      <c r="N439" s="15">
        <v>17234</v>
      </c>
      <c r="O439" s="15">
        <v>305210</v>
      </c>
      <c r="P439" s="15">
        <v>717234</v>
      </c>
      <c r="Q439" s="15"/>
    </row>
    <row r="440" spans="1:17" x14ac:dyDescent="0.25">
      <c r="A440" s="11" t="s">
        <v>3751</v>
      </c>
      <c r="B440" s="13" t="s">
        <v>167</v>
      </c>
      <c r="C440" s="16" t="s">
        <v>3991</v>
      </c>
      <c r="D440" s="13" t="s">
        <v>20</v>
      </c>
      <c r="E440" s="14" t="s">
        <v>3992</v>
      </c>
      <c r="F440" s="14" t="s">
        <v>35</v>
      </c>
      <c r="G440" s="13"/>
      <c r="H440" s="14">
        <f>G440+I440</f>
        <v>1</v>
      </c>
      <c r="I440" s="14">
        <v>1</v>
      </c>
      <c r="J440" s="14">
        <v>1</v>
      </c>
      <c r="K440" s="13" t="s">
        <v>572</v>
      </c>
      <c r="L440" s="15" t="s">
        <v>130</v>
      </c>
      <c r="M440" s="15">
        <v>31470</v>
      </c>
      <c r="N440" s="15">
        <v>30910</v>
      </c>
      <c r="O440" s="15">
        <v>331470</v>
      </c>
      <c r="P440" s="15">
        <v>730910</v>
      </c>
      <c r="Q440" s="15"/>
    </row>
    <row r="441" spans="1:17" x14ac:dyDescent="0.25">
      <c r="A441" s="11" t="s">
        <v>3751</v>
      </c>
      <c r="B441" s="13" t="s">
        <v>1594</v>
      </c>
      <c r="C441" s="16" t="s">
        <v>4216</v>
      </c>
      <c r="D441" s="13" t="s">
        <v>18</v>
      </c>
      <c r="E441" s="14" t="s">
        <v>1596</v>
      </c>
      <c r="F441" s="14" t="s">
        <v>35</v>
      </c>
      <c r="G441" s="13"/>
      <c r="H441" s="14">
        <f t="shared" ref="H441:H497" si="7">G441+I441</f>
        <v>6</v>
      </c>
      <c r="I441" s="14">
        <v>6</v>
      </c>
      <c r="J441" s="14">
        <v>5</v>
      </c>
      <c r="K441" s="13" t="s">
        <v>4336</v>
      </c>
      <c r="L441" s="15" t="s">
        <v>429</v>
      </c>
      <c r="M441" s="15">
        <v>9872</v>
      </c>
      <c r="N441" s="15">
        <v>7173</v>
      </c>
      <c r="O441" s="15">
        <v>298720</v>
      </c>
      <c r="P441" s="15">
        <v>671730</v>
      </c>
      <c r="Q441" s="15"/>
    </row>
    <row r="442" spans="1:17" ht="25.5" x14ac:dyDescent="0.25">
      <c r="A442" s="11" t="s">
        <v>3751</v>
      </c>
      <c r="B442" s="13" t="s">
        <v>163</v>
      </c>
      <c r="C442" s="16" t="s">
        <v>3973</v>
      </c>
      <c r="D442" s="13" t="s">
        <v>20</v>
      </c>
      <c r="E442" s="14" t="s">
        <v>190</v>
      </c>
      <c r="F442" s="14" t="s">
        <v>56</v>
      </c>
      <c r="G442" s="13"/>
      <c r="H442" s="14">
        <f>G442+I442</f>
        <v>1</v>
      </c>
      <c r="I442" s="14">
        <v>1</v>
      </c>
      <c r="J442" s="14">
        <v>1</v>
      </c>
      <c r="K442" s="13" t="s">
        <v>541</v>
      </c>
      <c r="L442" s="15" t="s">
        <v>189</v>
      </c>
      <c r="M442" s="15">
        <v>1089</v>
      </c>
      <c r="N442" s="15">
        <v>7865</v>
      </c>
      <c r="O442" s="15">
        <v>310890</v>
      </c>
      <c r="P442" s="15">
        <v>378650</v>
      </c>
      <c r="Q442" s="15"/>
    </row>
    <row r="443" spans="1:17" x14ac:dyDescent="0.25">
      <c r="A443" s="11" t="s">
        <v>3751</v>
      </c>
      <c r="B443" s="13" t="s">
        <v>55</v>
      </c>
      <c r="C443" s="16" t="s">
        <v>3469</v>
      </c>
      <c r="D443" s="13" t="s">
        <v>220</v>
      </c>
      <c r="E443" s="14" t="s">
        <v>221</v>
      </c>
      <c r="F443" s="14" t="s">
        <v>56</v>
      </c>
      <c r="G443" s="13"/>
      <c r="H443" s="14">
        <f t="shared" si="7"/>
        <v>2</v>
      </c>
      <c r="I443" s="14">
        <v>2</v>
      </c>
      <c r="J443" s="14">
        <v>1</v>
      </c>
      <c r="K443" s="13" t="s">
        <v>1234</v>
      </c>
      <c r="L443" s="15" t="s">
        <v>153</v>
      </c>
      <c r="M443" s="15">
        <v>63</v>
      </c>
      <c r="N443" s="15">
        <v>391</v>
      </c>
      <c r="O443" s="15">
        <v>206300</v>
      </c>
      <c r="P443" s="15">
        <v>239100</v>
      </c>
      <c r="Q443" s="15"/>
    </row>
    <row r="444" spans="1:17" ht="25.5" x14ac:dyDescent="0.25">
      <c r="A444" s="11" t="s">
        <v>3751</v>
      </c>
      <c r="B444" s="13" t="s">
        <v>55</v>
      </c>
      <c r="C444" s="16" t="s">
        <v>2694</v>
      </c>
      <c r="D444" s="13" t="s">
        <v>220</v>
      </c>
      <c r="E444" s="14" t="s">
        <v>57</v>
      </c>
      <c r="F444" s="14" t="s">
        <v>56</v>
      </c>
      <c r="G444" s="13"/>
      <c r="H444" s="14">
        <f t="shared" si="7"/>
        <v>1</v>
      </c>
      <c r="I444" s="14">
        <v>1</v>
      </c>
      <c r="J444" s="14">
        <v>1</v>
      </c>
      <c r="K444" s="13" t="s">
        <v>3022</v>
      </c>
      <c r="L444" s="15" t="s">
        <v>184</v>
      </c>
      <c r="M444" s="15">
        <v>94808</v>
      </c>
      <c r="N444" s="15">
        <v>39042</v>
      </c>
      <c r="O444" s="15">
        <v>194808</v>
      </c>
      <c r="P444" s="15">
        <v>239042</v>
      </c>
      <c r="Q444" s="15"/>
    </row>
    <row r="445" spans="1:17" x14ac:dyDescent="0.25">
      <c r="A445" s="11" t="s">
        <v>3751</v>
      </c>
      <c r="B445" s="13" t="s">
        <v>55</v>
      </c>
      <c r="C445" s="16" t="s">
        <v>182</v>
      </c>
      <c r="D445" s="13" t="s">
        <v>39</v>
      </c>
      <c r="E445" s="14" t="s">
        <v>183</v>
      </c>
      <c r="F445" s="14" t="s">
        <v>56</v>
      </c>
      <c r="G445" s="13">
        <v>1</v>
      </c>
      <c r="H445" s="14">
        <f>G445+I445</f>
        <v>2</v>
      </c>
      <c r="I445" s="14">
        <v>1</v>
      </c>
      <c r="J445" s="14">
        <v>2</v>
      </c>
      <c r="K445" s="13" t="s">
        <v>4487</v>
      </c>
      <c r="L445" s="15" t="s">
        <v>184</v>
      </c>
      <c r="M445" s="15">
        <v>7373</v>
      </c>
      <c r="N445" s="15">
        <v>2509</v>
      </c>
      <c r="O445" s="15">
        <v>173730</v>
      </c>
      <c r="P445" s="15">
        <v>225090</v>
      </c>
      <c r="Q445" s="15"/>
    </row>
    <row r="446" spans="1:17" x14ac:dyDescent="0.25">
      <c r="A446" s="11" t="s">
        <v>3751</v>
      </c>
      <c r="B446" s="13" t="s">
        <v>55</v>
      </c>
      <c r="C446" s="16" t="s">
        <v>3802</v>
      </c>
      <c r="D446" s="13" t="s">
        <v>39</v>
      </c>
      <c r="E446" s="14" t="s">
        <v>183</v>
      </c>
      <c r="F446" s="14" t="s">
        <v>56</v>
      </c>
      <c r="G446" s="13"/>
      <c r="H446" s="14">
        <f t="shared" si="7"/>
        <v>1</v>
      </c>
      <c r="I446" s="14">
        <v>1</v>
      </c>
      <c r="J446" s="14">
        <v>1</v>
      </c>
      <c r="K446" s="13" t="s">
        <v>74</v>
      </c>
      <c r="L446" s="15" t="s">
        <v>184</v>
      </c>
      <c r="M446" s="15">
        <v>7373</v>
      </c>
      <c r="N446" s="15">
        <v>2509</v>
      </c>
      <c r="O446" s="15">
        <v>173730</v>
      </c>
      <c r="P446" s="15">
        <v>225090</v>
      </c>
      <c r="Q446" s="15"/>
    </row>
    <row r="447" spans="1:17" x14ac:dyDescent="0.25">
      <c r="A447" s="11" t="s">
        <v>3751</v>
      </c>
      <c r="B447" s="13" t="s">
        <v>55</v>
      </c>
      <c r="C447" s="16" t="s">
        <v>3803</v>
      </c>
      <c r="D447" s="13" t="s">
        <v>39</v>
      </c>
      <c r="E447" s="14" t="s">
        <v>183</v>
      </c>
      <c r="F447" s="14" t="s">
        <v>56</v>
      </c>
      <c r="G447" s="13"/>
      <c r="H447" s="14">
        <f>G447+I447</f>
        <v>1</v>
      </c>
      <c r="I447" s="14">
        <v>1</v>
      </c>
      <c r="J447" s="14">
        <v>1</v>
      </c>
      <c r="K447" s="13" t="s">
        <v>74</v>
      </c>
      <c r="L447" s="15" t="s">
        <v>184</v>
      </c>
      <c r="M447" s="15">
        <v>7373</v>
      </c>
      <c r="N447" s="15">
        <v>2509</v>
      </c>
      <c r="O447" s="15">
        <v>173730</v>
      </c>
      <c r="P447" s="15">
        <v>225090</v>
      </c>
      <c r="Q447" s="15"/>
    </row>
    <row r="448" spans="1:17" ht="22.5" x14ac:dyDescent="0.25">
      <c r="A448" s="11" t="s">
        <v>3751</v>
      </c>
      <c r="B448" s="13" t="s">
        <v>55</v>
      </c>
      <c r="C448" s="16" t="s">
        <v>2695</v>
      </c>
      <c r="D448" s="13" t="s">
        <v>41</v>
      </c>
      <c r="E448" s="14" t="s">
        <v>57</v>
      </c>
      <c r="F448" s="14" t="s">
        <v>56</v>
      </c>
      <c r="G448" s="13"/>
      <c r="H448" s="14">
        <f t="shared" si="7"/>
        <v>1</v>
      </c>
      <c r="I448" s="14">
        <v>1</v>
      </c>
      <c r="J448" s="14">
        <v>1</v>
      </c>
      <c r="K448" s="13" t="s">
        <v>3022</v>
      </c>
      <c r="L448" s="15" t="s">
        <v>184</v>
      </c>
      <c r="M448" s="15">
        <v>9722</v>
      </c>
      <c r="N448" s="15">
        <v>822</v>
      </c>
      <c r="O448" s="15">
        <v>197220</v>
      </c>
      <c r="P448" s="15">
        <v>208220</v>
      </c>
      <c r="Q448" s="15"/>
    </row>
    <row r="449" spans="1:17" x14ac:dyDescent="0.25">
      <c r="A449" s="11" t="s">
        <v>3751</v>
      </c>
      <c r="B449" s="13" t="s">
        <v>55</v>
      </c>
      <c r="C449" s="16" t="s">
        <v>3974</v>
      </c>
      <c r="D449" s="13" t="s">
        <v>20</v>
      </c>
      <c r="E449" s="14" t="s">
        <v>57</v>
      </c>
      <c r="F449" s="14" t="s">
        <v>56</v>
      </c>
      <c r="G449" s="13"/>
      <c r="H449" s="14">
        <f>G449+I449</f>
        <v>1</v>
      </c>
      <c r="I449" s="14">
        <v>1</v>
      </c>
      <c r="J449" s="14">
        <v>1</v>
      </c>
      <c r="K449" s="13" t="s">
        <v>541</v>
      </c>
      <c r="L449" s="15" t="s">
        <v>153</v>
      </c>
      <c r="M449" s="15">
        <v>1185</v>
      </c>
      <c r="N449" s="15">
        <v>2146</v>
      </c>
      <c r="O449" s="15">
        <v>211850</v>
      </c>
      <c r="P449" s="15">
        <v>221460</v>
      </c>
      <c r="Q449" s="15"/>
    </row>
    <row r="450" spans="1:17" x14ac:dyDescent="0.25">
      <c r="A450" s="11" t="s">
        <v>3751</v>
      </c>
      <c r="B450" s="13" t="s">
        <v>55</v>
      </c>
      <c r="C450" s="16" t="s">
        <v>4083</v>
      </c>
      <c r="D450" s="13" t="s">
        <v>220</v>
      </c>
      <c r="E450" s="14" t="s">
        <v>57</v>
      </c>
      <c r="F450" s="14" t="s">
        <v>56</v>
      </c>
      <c r="G450" s="13"/>
      <c r="H450" s="14">
        <f>G450+I450</f>
        <v>2</v>
      </c>
      <c r="I450" s="14">
        <v>2</v>
      </c>
      <c r="J450" s="14">
        <v>1</v>
      </c>
      <c r="K450" s="13" t="s">
        <v>1234</v>
      </c>
      <c r="L450" s="15" t="s">
        <v>153</v>
      </c>
      <c r="M450" s="15">
        <v>101</v>
      </c>
      <c r="N450" s="15">
        <v>432</v>
      </c>
      <c r="O450" s="15">
        <v>210100</v>
      </c>
      <c r="P450" s="15">
        <v>243200</v>
      </c>
      <c r="Q450" s="15"/>
    </row>
    <row r="451" spans="1:17" ht="22.5" x14ac:dyDescent="0.25">
      <c r="A451" s="11" t="s">
        <v>3751</v>
      </c>
      <c r="B451" s="13" t="s">
        <v>55</v>
      </c>
      <c r="C451" s="16" t="s">
        <v>734</v>
      </c>
      <c r="D451" s="13" t="s">
        <v>41</v>
      </c>
      <c r="E451" s="14" t="s">
        <v>57</v>
      </c>
      <c r="F451" s="14" t="s">
        <v>56</v>
      </c>
      <c r="G451" s="13"/>
      <c r="H451" s="14">
        <f t="shared" si="7"/>
        <v>5</v>
      </c>
      <c r="I451" s="14">
        <v>5</v>
      </c>
      <c r="J451" s="14">
        <v>3</v>
      </c>
      <c r="K451" s="13" t="s">
        <v>4093</v>
      </c>
      <c r="L451" s="15" t="s">
        <v>153</v>
      </c>
      <c r="M451" s="15">
        <v>998</v>
      </c>
      <c r="N451" s="15">
        <v>3698</v>
      </c>
      <c r="O451" s="15">
        <v>209980</v>
      </c>
      <c r="P451" s="15">
        <v>236980</v>
      </c>
      <c r="Q451" s="15"/>
    </row>
    <row r="452" spans="1:17" x14ac:dyDescent="0.25">
      <c r="A452" s="11" t="s">
        <v>3751</v>
      </c>
      <c r="B452" s="13" t="s">
        <v>55</v>
      </c>
      <c r="C452" s="16" t="s">
        <v>58</v>
      </c>
      <c r="D452" s="13" t="s">
        <v>151</v>
      </c>
      <c r="E452" s="14" t="s">
        <v>57</v>
      </c>
      <c r="F452" s="14" t="s">
        <v>56</v>
      </c>
      <c r="G452" s="13"/>
      <c r="H452" s="14">
        <f t="shared" si="7"/>
        <v>2</v>
      </c>
      <c r="I452" s="14">
        <v>2</v>
      </c>
      <c r="J452" s="14">
        <v>2</v>
      </c>
      <c r="K452" s="13" t="s">
        <v>4327</v>
      </c>
      <c r="L452" s="15" t="s">
        <v>153</v>
      </c>
      <c r="M452" s="15">
        <v>211</v>
      </c>
      <c r="N452" s="15">
        <v>326</v>
      </c>
      <c r="O452" s="15">
        <v>211100</v>
      </c>
      <c r="P452" s="15">
        <v>232600</v>
      </c>
      <c r="Q452" s="15"/>
    </row>
    <row r="453" spans="1:17" ht="22.5" x14ac:dyDescent="0.25">
      <c r="A453" s="11" t="s">
        <v>3751</v>
      </c>
      <c r="B453" s="13" t="s">
        <v>55</v>
      </c>
      <c r="C453" s="16" t="s">
        <v>636</v>
      </c>
      <c r="D453" s="13" t="s">
        <v>638</v>
      </c>
      <c r="E453" s="14" t="s">
        <v>57</v>
      </c>
      <c r="F453" s="14" t="s">
        <v>56</v>
      </c>
      <c r="G453" s="13"/>
      <c r="H453" s="14">
        <f t="shared" si="7"/>
        <v>1</v>
      </c>
      <c r="I453" s="14">
        <v>1</v>
      </c>
      <c r="J453" s="14">
        <v>1</v>
      </c>
      <c r="K453" s="13" t="s">
        <v>1076</v>
      </c>
      <c r="L453" s="15" t="s">
        <v>184</v>
      </c>
      <c r="M453" s="15">
        <v>9132</v>
      </c>
      <c r="N453" s="15">
        <v>3545</v>
      </c>
      <c r="O453" s="15">
        <v>191320</v>
      </c>
      <c r="P453" s="15">
        <v>235450</v>
      </c>
      <c r="Q453" s="15"/>
    </row>
    <row r="454" spans="1:17" ht="22.5" x14ac:dyDescent="0.25">
      <c r="A454" s="11" t="s">
        <v>3751</v>
      </c>
      <c r="B454" s="13" t="s">
        <v>55</v>
      </c>
      <c r="C454" s="16" t="s">
        <v>4247</v>
      </c>
      <c r="D454" s="13" t="s">
        <v>4248</v>
      </c>
      <c r="E454" s="14" t="s">
        <v>57</v>
      </c>
      <c r="F454" s="14" t="s">
        <v>56</v>
      </c>
      <c r="G454" s="13"/>
      <c r="H454" s="14">
        <f>G454+I454</f>
        <v>1</v>
      </c>
      <c r="I454" s="14">
        <v>1</v>
      </c>
      <c r="J454" s="14">
        <v>1</v>
      </c>
      <c r="K454" s="13" t="s">
        <v>1609</v>
      </c>
      <c r="L454" s="15" t="s">
        <v>184</v>
      </c>
      <c r="M454" s="15">
        <v>9501</v>
      </c>
      <c r="N454" s="15">
        <v>1882</v>
      </c>
      <c r="O454" s="15">
        <v>195010</v>
      </c>
      <c r="P454" s="15">
        <v>218820</v>
      </c>
      <c r="Q454" s="15"/>
    </row>
    <row r="455" spans="1:17" ht="22.5" x14ac:dyDescent="0.25">
      <c r="A455" s="11" t="s">
        <v>3751</v>
      </c>
      <c r="B455" s="13" t="s">
        <v>593</v>
      </c>
      <c r="C455" s="16" t="s">
        <v>402</v>
      </c>
      <c r="D455" s="13" t="s">
        <v>3842</v>
      </c>
      <c r="E455" s="14" t="s">
        <v>623</v>
      </c>
      <c r="F455" s="14" t="s">
        <v>56</v>
      </c>
      <c r="G455" s="13">
        <v>1</v>
      </c>
      <c r="H455" s="14">
        <f t="shared" si="7"/>
        <v>3</v>
      </c>
      <c r="I455" s="14">
        <v>2</v>
      </c>
      <c r="J455" s="14">
        <v>3</v>
      </c>
      <c r="K455" s="13" t="s">
        <v>4510</v>
      </c>
      <c r="L455" s="15" t="s">
        <v>596</v>
      </c>
      <c r="M455" s="15">
        <v>8325</v>
      </c>
      <c r="N455" s="15">
        <v>7960</v>
      </c>
      <c r="O455" s="15">
        <v>283250</v>
      </c>
      <c r="P455" s="15">
        <v>179600</v>
      </c>
      <c r="Q455" s="15"/>
    </row>
    <row r="456" spans="1:17" ht="22.5" x14ac:dyDescent="0.25">
      <c r="A456" s="11" t="s">
        <v>3751</v>
      </c>
      <c r="B456" s="13" t="s">
        <v>593</v>
      </c>
      <c r="C456" s="16" t="s">
        <v>1118</v>
      </c>
      <c r="D456" s="13" t="s">
        <v>41</v>
      </c>
      <c r="E456" s="14" t="s">
        <v>624</v>
      </c>
      <c r="F456" s="14" t="s">
        <v>56</v>
      </c>
      <c r="G456" s="13"/>
      <c r="H456" s="14">
        <f t="shared" si="7"/>
        <v>5</v>
      </c>
      <c r="I456" s="14">
        <v>5</v>
      </c>
      <c r="J456" s="14">
        <v>2</v>
      </c>
      <c r="K456" s="13" t="s">
        <v>4057</v>
      </c>
      <c r="L456" s="15" t="s">
        <v>596</v>
      </c>
      <c r="M456" s="15">
        <v>5373</v>
      </c>
      <c r="N456" s="15">
        <v>8982</v>
      </c>
      <c r="O456" s="15">
        <v>253730</v>
      </c>
      <c r="P456" s="15">
        <v>189820</v>
      </c>
      <c r="Q456" s="15"/>
    </row>
    <row r="457" spans="1:17" x14ac:dyDescent="0.25">
      <c r="A457" s="11" t="s">
        <v>3751</v>
      </c>
      <c r="B457" s="13" t="s">
        <v>593</v>
      </c>
      <c r="C457" s="16" t="s">
        <v>4458</v>
      </c>
      <c r="D457" s="13" t="s">
        <v>4436</v>
      </c>
      <c r="E457" s="14" t="s">
        <v>4459</v>
      </c>
      <c r="F457" s="14" t="s">
        <v>56</v>
      </c>
      <c r="G457" s="13">
        <v>1</v>
      </c>
      <c r="H457" s="14">
        <f>G457+I457</f>
        <v>1</v>
      </c>
      <c r="J457" s="14">
        <v>1</v>
      </c>
      <c r="K457" s="13" t="s">
        <v>4452</v>
      </c>
      <c r="L457" s="15" t="s">
        <v>596</v>
      </c>
      <c r="M457" s="15">
        <v>785</v>
      </c>
      <c r="N457" s="15">
        <v>905</v>
      </c>
      <c r="O457" s="15">
        <v>278500</v>
      </c>
      <c r="P457" s="15">
        <v>190500</v>
      </c>
      <c r="Q457" s="15"/>
    </row>
    <row r="458" spans="1:17" x14ac:dyDescent="0.25">
      <c r="A458" s="11" t="s">
        <v>3751</v>
      </c>
      <c r="B458" s="13" t="s">
        <v>593</v>
      </c>
      <c r="C458" s="16" t="s">
        <v>1369</v>
      </c>
      <c r="D458" s="13" t="s">
        <v>90</v>
      </c>
      <c r="E458" s="13" t="s">
        <v>1873</v>
      </c>
      <c r="F458" s="14" t="s">
        <v>56</v>
      </c>
      <c r="G458" s="13">
        <v>1</v>
      </c>
      <c r="H458" s="14">
        <f t="shared" si="7"/>
        <v>1</v>
      </c>
      <c r="J458" s="14">
        <v>1</v>
      </c>
      <c r="K458" s="13" t="s">
        <v>4410</v>
      </c>
      <c r="L458" s="15" t="s">
        <v>596</v>
      </c>
      <c r="M458" s="15">
        <v>9506</v>
      </c>
      <c r="N458" s="15">
        <v>7226</v>
      </c>
      <c r="O458" s="15">
        <v>295060</v>
      </c>
      <c r="P458" s="15">
        <v>172260</v>
      </c>
      <c r="Q458" s="15"/>
    </row>
    <row r="459" spans="1:17" ht="22.5" x14ac:dyDescent="0.25">
      <c r="A459" s="11" t="s">
        <v>3751</v>
      </c>
      <c r="B459" s="13" t="s">
        <v>593</v>
      </c>
      <c r="C459" s="16" t="s">
        <v>2604</v>
      </c>
      <c r="D459" s="13" t="s">
        <v>41</v>
      </c>
      <c r="E459" s="13" t="s">
        <v>1793</v>
      </c>
      <c r="F459" s="14" t="s">
        <v>56</v>
      </c>
      <c r="G459" s="13"/>
      <c r="H459" s="14">
        <f t="shared" si="7"/>
        <v>1</v>
      </c>
      <c r="I459" s="14">
        <v>1</v>
      </c>
      <c r="J459" s="14">
        <v>1</v>
      </c>
      <c r="K459" s="13" t="s">
        <v>2193</v>
      </c>
      <c r="L459" s="15" t="s">
        <v>119</v>
      </c>
      <c r="M459" s="15">
        <v>92</v>
      </c>
      <c r="N459" s="15">
        <v>733</v>
      </c>
      <c r="O459" s="15">
        <v>309200</v>
      </c>
      <c r="P459" s="15">
        <v>173300</v>
      </c>
      <c r="Q459" s="15"/>
    </row>
    <row r="460" spans="1:17" ht="22.5" x14ac:dyDescent="0.25">
      <c r="A460" s="11" t="s">
        <v>3751</v>
      </c>
      <c r="B460" s="13" t="s">
        <v>161</v>
      </c>
      <c r="C460" s="16" t="s">
        <v>422</v>
      </c>
      <c r="D460" s="13" t="s">
        <v>41</v>
      </c>
      <c r="E460" s="14" t="s">
        <v>301</v>
      </c>
      <c r="F460" s="14" t="s">
        <v>56</v>
      </c>
      <c r="G460" s="13">
        <v>1</v>
      </c>
      <c r="H460" s="14">
        <f t="shared" si="7"/>
        <v>5</v>
      </c>
      <c r="I460" s="14">
        <v>4</v>
      </c>
      <c r="J460" s="14">
        <v>3</v>
      </c>
      <c r="K460" s="13" t="s">
        <v>4175</v>
      </c>
      <c r="L460" s="15" t="s">
        <v>164</v>
      </c>
      <c r="M460" s="15">
        <v>32895</v>
      </c>
      <c r="N460" s="15">
        <v>70723</v>
      </c>
      <c r="O460" s="15">
        <v>232895</v>
      </c>
      <c r="P460" s="15">
        <v>370723</v>
      </c>
      <c r="Q460" s="15"/>
    </row>
    <row r="461" spans="1:17" s="46" customFormat="1" ht="22.5" x14ac:dyDescent="0.25">
      <c r="A461" s="11" t="s">
        <v>3751</v>
      </c>
      <c r="B461" s="55" t="s">
        <v>161</v>
      </c>
      <c r="C461" s="60" t="s">
        <v>2605</v>
      </c>
      <c r="D461" s="55" t="s">
        <v>41</v>
      </c>
      <c r="E461" s="57" t="s">
        <v>301</v>
      </c>
      <c r="F461" s="57" t="s">
        <v>56</v>
      </c>
      <c r="G461" s="55"/>
      <c r="H461" s="57">
        <f t="shared" si="7"/>
        <v>1</v>
      </c>
      <c r="I461" s="57">
        <v>1</v>
      </c>
      <c r="J461" s="57">
        <v>1</v>
      </c>
      <c r="K461" s="55" t="s">
        <v>3022</v>
      </c>
      <c r="L461" s="46" t="s">
        <v>164</v>
      </c>
      <c r="M461" s="46">
        <v>462</v>
      </c>
      <c r="N461" s="46">
        <v>681</v>
      </c>
      <c r="O461" s="46">
        <v>246200</v>
      </c>
      <c r="P461" s="46">
        <v>368100</v>
      </c>
    </row>
    <row r="462" spans="1:17" ht="33.75" x14ac:dyDescent="0.25">
      <c r="A462" s="11" t="s">
        <v>3751</v>
      </c>
      <c r="B462" s="13" t="s">
        <v>161</v>
      </c>
      <c r="C462" s="16" t="s">
        <v>423</v>
      </c>
      <c r="D462" s="13" t="s">
        <v>3397</v>
      </c>
      <c r="E462" s="14" t="s">
        <v>301</v>
      </c>
      <c r="F462" s="14" t="s">
        <v>56</v>
      </c>
      <c r="G462" s="13"/>
      <c r="H462" s="14">
        <f t="shared" si="7"/>
        <v>7</v>
      </c>
      <c r="I462" s="14">
        <v>7</v>
      </c>
      <c r="J462" s="14">
        <v>5</v>
      </c>
      <c r="K462" s="13" t="s">
        <v>4219</v>
      </c>
      <c r="L462" s="15" t="s">
        <v>164</v>
      </c>
      <c r="M462" s="15">
        <v>50761</v>
      </c>
      <c r="N462" s="15">
        <v>70185</v>
      </c>
      <c r="O462" s="15">
        <v>250761</v>
      </c>
      <c r="P462" s="15">
        <v>370185</v>
      </c>
      <c r="Q462" s="15"/>
    </row>
    <row r="463" spans="1:17" ht="22.5" x14ac:dyDescent="0.25">
      <c r="A463" s="11" t="s">
        <v>3751</v>
      </c>
      <c r="B463" s="13" t="s">
        <v>161</v>
      </c>
      <c r="C463" s="16" t="s">
        <v>421</v>
      </c>
      <c r="D463" s="13" t="s">
        <v>41</v>
      </c>
      <c r="E463" s="14" t="s">
        <v>190</v>
      </c>
      <c r="F463" s="14" t="s">
        <v>56</v>
      </c>
      <c r="G463" s="13"/>
      <c r="H463" s="14">
        <f t="shared" si="7"/>
        <v>3</v>
      </c>
      <c r="I463" s="14">
        <v>3</v>
      </c>
      <c r="J463" s="14">
        <v>2</v>
      </c>
      <c r="K463" s="13" t="s">
        <v>4059</v>
      </c>
      <c r="L463" s="15" t="s">
        <v>164</v>
      </c>
      <c r="M463" s="15">
        <v>8180</v>
      </c>
      <c r="N463" s="15">
        <v>5432</v>
      </c>
      <c r="O463" s="15">
        <v>281800</v>
      </c>
      <c r="P463" s="15">
        <v>354320</v>
      </c>
      <c r="Q463" s="15"/>
    </row>
    <row r="464" spans="1:17" s="46" customFormat="1" ht="22.5" x14ac:dyDescent="0.25">
      <c r="A464" s="11" t="s">
        <v>3751</v>
      </c>
      <c r="B464" s="55" t="s">
        <v>161</v>
      </c>
      <c r="C464" s="60" t="s">
        <v>2606</v>
      </c>
      <c r="D464" s="55" t="s">
        <v>41</v>
      </c>
      <c r="E464" s="57" t="s">
        <v>301</v>
      </c>
      <c r="F464" s="57" t="s">
        <v>56</v>
      </c>
      <c r="G464" s="55"/>
      <c r="H464" s="57">
        <f t="shared" si="7"/>
        <v>2</v>
      </c>
      <c r="I464" s="57">
        <v>2</v>
      </c>
      <c r="J464" s="57">
        <v>1</v>
      </c>
      <c r="K464" s="55" t="s">
        <v>3022</v>
      </c>
      <c r="L464" s="46" t="s">
        <v>164</v>
      </c>
      <c r="M464" s="46">
        <v>395</v>
      </c>
      <c r="N464" s="46">
        <v>724</v>
      </c>
      <c r="O464" s="46">
        <v>239500</v>
      </c>
      <c r="P464" s="46">
        <v>372400</v>
      </c>
    </row>
    <row r="465" spans="1:17" x14ac:dyDescent="0.25">
      <c r="A465" s="11" t="s">
        <v>3751</v>
      </c>
      <c r="B465" s="13" t="s">
        <v>161</v>
      </c>
      <c r="C465" s="16" t="s">
        <v>223</v>
      </c>
      <c r="D465" s="13" t="s">
        <v>220</v>
      </c>
      <c r="E465" s="14" t="s">
        <v>225</v>
      </c>
      <c r="F465" s="14" t="s">
        <v>56</v>
      </c>
      <c r="G465" s="13">
        <v>1</v>
      </c>
      <c r="H465" s="14">
        <f t="shared" si="7"/>
        <v>6</v>
      </c>
      <c r="I465" s="14">
        <v>5</v>
      </c>
      <c r="J465" s="14">
        <v>3</v>
      </c>
      <c r="K465" s="13" t="s">
        <v>4486</v>
      </c>
      <c r="L465" s="15" t="s">
        <v>164</v>
      </c>
      <c r="M465" s="15">
        <v>5886</v>
      </c>
      <c r="N465" s="15">
        <v>2284</v>
      </c>
      <c r="O465" s="15">
        <v>258860</v>
      </c>
      <c r="P465" s="15">
        <v>322840</v>
      </c>
      <c r="Q465" s="15"/>
    </row>
    <row r="466" spans="1:17" ht="22.5" x14ac:dyDescent="0.25">
      <c r="A466" s="11" t="s">
        <v>3751</v>
      </c>
      <c r="B466" s="13" t="s">
        <v>161</v>
      </c>
      <c r="C466" s="16" t="s">
        <v>162</v>
      </c>
      <c r="D466" s="13" t="s">
        <v>825</v>
      </c>
      <c r="E466" s="14" t="s">
        <v>826</v>
      </c>
      <c r="F466" s="14" t="s">
        <v>56</v>
      </c>
      <c r="G466" s="13">
        <v>1</v>
      </c>
      <c r="H466" s="14">
        <f t="shared" si="7"/>
        <v>3</v>
      </c>
      <c r="I466" s="14">
        <v>2</v>
      </c>
      <c r="J466" s="14">
        <v>3</v>
      </c>
      <c r="K466" s="13" t="s">
        <v>4470</v>
      </c>
      <c r="L466" s="15" t="s">
        <v>164</v>
      </c>
      <c r="M466" s="15">
        <v>717</v>
      </c>
      <c r="N466" s="15">
        <v>749</v>
      </c>
      <c r="O466" s="15">
        <v>271700</v>
      </c>
      <c r="P466" s="15">
        <v>374900</v>
      </c>
      <c r="Q466" s="15"/>
    </row>
    <row r="467" spans="1:17" x14ac:dyDescent="0.25">
      <c r="A467" s="11" t="s">
        <v>3751</v>
      </c>
      <c r="B467" s="13" t="s">
        <v>161</v>
      </c>
      <c r="C467" s="16" t="s">
        <v>4081</v>
      </c>
      <c r="D467" s="13" t="s">
        <v>220</v>
      </c>
      <c r="E467" s="14" t="s">
        <v>225</v>
      </c>
      <c r="F467" s="14" t="s">
        <v>56</v>
      </c>
      <c r="G467" s="13"/>
      <c r="H467" s="14">
        <f>G467+I467</f>
        <v>2</v>
      </c>
      <c r="I467" s="14">
        <v>2</v>
      </c>
      <c r="J467" s="14">
        <v>1</v>
      </c>
      <c r="K467" s="13" t="s">
        <v>1234</v>
      </c>
      <c r="L467" s="15" t="s">
        <v>164</v>
      </c>
      <c r="M467" s="15">
        <v>587</v>
      </c>
      <c r="N467" s="15">
        <v>286</v>
      </c>
      <c r="O467" s="15">
        <v>258700</v>
      </c>
      <c r="P467" s="15">
        <v>328600</v>
      </c>
      <c r="Q467" s="15"/>
    </row>
    <row r="468" spans="1:17" x14ac:dyDescent="0.25">
      <c r="A468" s="11" t="s">
        <v>3751</v>
      </c>
      <c r="B468" s="13" t="s">
        <v>161</v>
      </c>
      <c r="C468" s="16" t="s">
        <v>181</v>
      </c>
      <c r="D468" s="13" t="s">
        <v>1940</v>
      </c>
      <c r="E468" s="14" t="s">
        <v>246</v>
      </c>
      <c r="F468" s="14" t="s">
        <v>56</v>
      </c>
      <c r="G468" s="13"/>
      <c r="H468" s="14">
        <f>G468+I468</f>
        <v>1</v>
      </c>
      <c r="I468" s="14">
        <v>1</v>
      </c>
      <c r="J468" s="14">
        <v>1</v>
      </c>
      <c r="K468" s="13" t="s">
        <v>4212</v>
      </c>
      <c r="L468" s="15" t="s">
        <v>164</v>
      </c>
      <c r="M468" s="15">
        <v>5938</v>
      </c>
      <c r="N468" s="15">
        <v>7104</v>
      </c>
      <c r="O468" s="15">
        <v>259380</v>
      </c>
      <c r="P468" s="15">
        <v>371040</v>
      </c>
      <c r="Q468" s="15"/>
    </row>
    <row r="469" spans="1:17" x14ac:dyDescent="0.25">
      <c r="A469" s="11" t="s">
        <v>3751</v>
      </c>
      <c r="B469" s="13" t="s">
        <v>161</v>
      </c>
      <c r="C469" s="16" t="s">
        <v>181</v>
      </c>
      <c r="D469" s="13" t="s">
        <v>39</v>
      </c>
      <c r="E469" s="14" t="s">
        <v>246</v>
      </c>
      <c r="F469" s="14" t="s">
        <v>56</v>
      </c>
      <c r="G469" s="13"/>
      <c r="H469" s="14">
        <f t="shared" si="7"/>
        <v>2</v>
      </c>
      <c r="I469" s="14">
        <v>2</v>
      </c>
      <c r="J469" s="14">
        <v>2</v>
      </c>
      <c r="K469" s="13" t="s">
        <v>3830</v>
      </c>
      <c r="L469" s="15" t="s">
        <v>164</v>
      </c>
      <c r="M469" s="15">
        <v>5938</v>
      </c>
      <c r="N469" s="15">
        <v>7104</v>
      </c>
      <c r="O469" s="15">
        <v>259380</v>
      </c>
      <c r="P469" s="15">
        <v>371040</v>
      </c>
      <c r="Q469" s="15"/>
    </row>
    <row r="470" spans="1:17" x14ac:dyDescent="0.25">
      <c r="A470" s="11" t="s">
        <v>3751</v>
      </c>
      <c r="B470" s="13" t="s">
        <v>161</v>
      </c>
      <c r="C470" s="16" t="s">
        <v>181</v>
      </c>
      <c r="D470" s="13" t="s">
        <v>20</v>
      </c>
      <c r="E470" s="14" t="s">
        <v>246</v>
      </c>
      <c r="F470" s="14" t="s">
        <v>56</v>
      </c>
      <c r="G470" s="13"/>
      <c r="H470" s="14">
        <f>G470+I470</f>
        <v>1</v>
      </c>
      <c r="I470" s="14">
        <v>1</v>
      </c>
      <c r="J470" s="14">
        <v>1</v>
      </c>
      <c r="K470" s="13" t="s">
        <v>541</v>
      </c>
      <c r="L470" s="15" t="s">
        <v>164</v>
      </c>
      <c r="M470" s="15">
        <v>5938</v>
      </c>
      <c r="N470" s="15">
        <v>7104</v>
      </c>
      <c r="O470" s="15">
        <v>259380</v>
      </c>
      <c r="P470" s="15">
        <v>371040</v>
      </c>
      <c r="Q470" s="15"/>
    </row>
    <row r="471" spans="1:17" x14ac:dyDescent="0.25">
      <c r="A471" s="11" t="s">
        <v>3751</v>
      </c>
      <c r="B471" s="13" t="s">
        <v>161</v>
      </c>
      <c r="C471" s="16" t="s">
        <v>4082</v>
      </c>
      <c r="D471" s="13" t="s">
        <v>220</v>
      </c>
      <c r="E471" s="14" t="s">
        <v>1374</v>
      </c>
      <c r="F471" s="14" t="s">
        <v>56</v>
      </c>
      <c r="G471" s="13"/>
      <c r="H471" s="14">
        <f t="shared" si="7"/>
        <v>2</v>
      </c>
      <c r="I471" s="14">
        <v>2</v>
      </c>
      <c r="J471" s="14">
        <v>1</v>
      </c>
      <c r="K471" s="13" t="s">
        <v>1234</v>
      </c>
      <c r="L471" s="15" t="s">
        <v>1402</v>
      </c>
      <c r="Q471" s="15"/>
    </row>
    <row r="472" spans="1:17" ht="22.5" x14ac:dyDescent="0.25">
      <c r="A472" s="11" t="s">
        <v>3751</v>
      </c>
      <c r="B472" s="13" t="s">
        <v>161</v>
      </c>
      <c r="C472" s="16" t="s">
        <v>420</v>
      </c>
      <c r="D472" s="13" t="s">
        <v>41</v>
      </c>
      <c r="E472" s="14" t="s">
        <v>301</v>
      </c>
      <c r="F472" s="14" t="s">
        <v>56</v>
      </c>
      <c r="G472" s="13"/>
      <c r="H472" s="14">
        <f t="shared" si="7"/>
        <v>2</v>
      </c>
      <c r="I472" s="14">
        <v>2</v>
      </c>
      <c r="J472" s="14">
        <v>1</v>
      </c>
      <c r="K472" s="13" t="s">
        <v>3022</v>
      </c>
      <c r="L472" s="15" t="s">
        <v>164</v>
      </c>
      <c r="M472" s="15">
        <v>25858</v>
      </c>
      <c r="N472" s="15">
        <v>80546</v>
      </c>
      <c r="O472" s="15">
        <v>225858</v>
      </c>
      <c r="P472" s="15">
        <v>380546</v>
      </c>
      <c r="Q472" s="15"/>
    </row>
    <row r="473" spans="1:17" x14ac:dyDescent="0.25">
      <c r="A473" s="11" t="s">
        <v>3751</v>
      </c>
      <c r="B473" s="13" t="s">
        <v>66</v>
      </c>
      <c r="C473" s="16" t="s">
        <v>4528</v>
      </c>
      <c r="D473" s="13" t="s">
        <v>4436</v>
      </c>
      <c r="E473" s="14" t="s">
        <v>3017</v>
      </c>
      <c r="F473" s="14" t="s">
        <v>56</v>
      </c>
      <c r="G473" s="13"/>
      <c r="H473" s="14">
        <f>G473+I473</f>
        <v>1</v>
      </c>
      <c r="I473" s="14">
        <v>1</v>
      </c>
      <c r="J473" s="14">
        <v>1</v>
      </c>
      <c r="K473" s="13" t="s">
        <v>3266</v>
      </c>
      <c r="L473" s="15" t="s">
        <v>189</v>
      </c>
      <c r="M473" s="15">
        <v>166</v>
      </c>
      <c r="N473" s="15">
        <v>26</v>
      </c>
      <c r="O473" s="15">
        <v>316600</v>
      </c>
      <c r="P473" s="15">
        <v>302600</v>
      </c>
      <c r="Q473" s="15"/>
    </row>
    <row r="474" spans="1:17" ht="22.5" x14ac:dyDescent="0.25">
      <c r="A474" s="11" t="s">
        <v>3751</v>
      </c>
      <c r="B474" s="13" t="s">
        <v>66</v>
      </c>
      <c r="C474" s="16" t="s">
        <v>2961</v>
      </c>
      <c r="D474" s="13" t="s">
        <v>2939</v>
      </c>
      <c r="E474" s="14" t="s">
        <v>878</v>
      </c>
      <c r="F474" s="14" t="s">
        <v>56</v>
      </c>
      <c r="G474" s="13"/>
      <c r="H474" s="14">
        <f t="shared" si="7"/>
        <v>1</v>
      </c>
      <c r="I474" s="14">
        <v>1</v>
      </c>
      <c r="J474" s="14">
        <v>1</v>
      </c>
      <c r="K474" s="13" t="s">
        <v>1609</v>
      </c>
      <c r="L474" s="15" t="s">
        <v>113</v>
      </c>
      <c r="M474" s="15">
        <v>126</v>
      </c>
      <c r="N474" s="15">
        <v>865</v>
      </c>
      <c r="O474" s="15">
        <v>312600</v>
      </c>
      <c r="P474" s="15">
        <v>286500</v>
      </c>
      <c r="Q474" s="15"/>
    </row>
    <row r="475" spans="1:17" ht="33.75" x14ac:dyDescent="0.25">
      <c r="A475" s="11" t="s">
        <v>3751</v>
      </c>
      <c r="B475" s="13" t="s">
        <v>66</v>
      </c>
      <c r="C475" s="16" t="s">
        <v>65</v>
      </c>
      <c r="D475" s="13" t="s">
        <v>3804</v>
      </c>
      <c r="E475" s="14" t="s">
        <v>245</v>
      </c>
      <c r="F475" s="14" t="s">
        <v>56</v>
      </c>
      <c r="G475" s="13"/>
      <c r="H475" s="14">
        <f t="shared" si="7"/>
        <v>4</v>
      </c>
      <c r="I475" s="14">
        <v>4</v>
      </c>
      <c r="J475" s="14">
        <v>3</v>
      </c>
      <c r="K475" s="13" t="s">
        <v>4062</v>
      </c>
      <c r="L475" s="15" t="s">
        <v>113</v>
      </c>
      <c r="M475" s="15">
        <v>211</v>
      </c>
      <c r="N475" s="15">
        <v>193</v>
      </c>
      <c r="O475" s="15">
        <v>321100</v>
      </c>
      <c r="P475" s="15">
        <v>219300</v>
      </c>
      <c r="Q475" s="15"/>
    </row>
    <row r="476" spans="1:17" ht="22.5" x14ac:dyDescent="0.25">
      <c r="A476" s="11" t="s">
        <v>3751</v>
      </c>
      <c r="B476" s="13" t="s">
        <v>66</v>
      </c>
      <c r="C476" s="16" t="s">
        <v>4245</v>
      </c>
      <c r="D476" s="13" t="s">
        <v>3968</v>
      </c>
      <c r="E476" s="14" t="s">
        <v>2095</v>
      </c>
      <c r="F476" s="14" t="s">
        <v>56</v>
      </c>
      <c r="G476" s="13"/>
      <c r="H476" s="14">
        <f t="shared" si="7"/>
        <v>2</v>
      </c>
      <c r="I476" s="14">
        <v>2</v>
      </c>
      <c r="J476" s="14">
        <v>2</v>
      </c>
      <c r="K476" s="13" t="s">
        <v>4244</v>
      </c>
      <c r="L476" s="15" t="s">
        <v>113</v>
      </c>
      <c r="M476" s="15">
        <v>2606</v>
      </c>
      <c r="N476" s="15">
        <v>6048</v>
      </c>
      <c r="O476" s="15">
        <v>326060</v>
      </c>
      <c r="P476" s="15">
        <v>260480</v>
      </c>
      <c r="Q476" s="15"/>
    </row>
    <row r="477" spans="1:17" x14ac:dyDescent="0.25">
      <c r="A477" s="11" t="s">
        <v>3751</v>
      </c>
      <c r="B477" s="13" t="s">
        <v>66</v>
      </c>
      <c r="C477" s="16" t="s">
        <v>3971</v>
      </c>
      <c r="D477" s="13" t="s">
        <v>20</v>
      </c>
      <c r="E477" s="14" t="s">
        <v>3972</v>
      </c>
      <c r="F477" s="14" t="s">
        <v>56</v>
      </c>
      <c r="G477" s="13"/>
      <c r="H477" s="14">
        <f>G477+I477</f>
        <v>1</v>
      </c>
      <c r="I477" s="14">
        <v>1</v>
      </c>
      <c r="J477" s="14">
        <v>1</v>
      </c>
      <c r="K477" s="13" t="s">
        <v>541</v>
      </c>
      <c r="L477" s="15" t="s">
        <v>189</v>
      </c>
      <c r="M477" s="15">
        <v>1512</v>
      </c>
      <c r="N477" s="15">
        <v>1367</v>
      </c>
      <c r="O477" s="15">
        <v>315120</v>
      </c>
      <c r="P477" s="15">
        <v>313670</v>
      </c>
      <c r="Q477" s="15"/>
    </row>
    <row r="478" spans="1:17" x14ac:dyDescent="0.25">
      <c r="A478" s="11" t="s">
        <v>3751</v>
      </c>
      <c r="B478" s="13" t="s">
        <v>66</v>
      </c>
      <c r="C478" s="16" t="s">
        <v>2008</v>
      </c>
      <c r="D478" s="13" t="s">
        <v>26</v>
      </c>
      <c r="E478" s="14" t="s">
        <v>274</v>
      </c>
      <c r="F478" s="14" t="s">
        <v>56</v>
      </c>
      <c r="G478" s="13"/>
      <c r="H478" s="14">
        <f t="shared" si="7"/>
        <v>4</v>
      </c>
      <c r="I478" s="14">
        <v>4</v>
      </c>
      <c r="J478" s="14">
        <v>2</v>
      </c>
      <c r="K478" s="13" t="s">
        <v>4059</v>
      </c>
      <c r="L478" s="15" t="s">
        <v>113</v>
      </c>
      <c r="M478" s="15">
        <v>1603</v>
      </c>
      <c r="N478" s="15">
        <v>3728</v>
      </c>
      <c r="O478" s="15">
        <v>316030</v>
      </c>
      <c r="P478" s="15">
        <v>237280</v>
      </c>
      <c r="Q478" s="15"/>
    </row>
    <row r="479" spans="1:17" x14ac:dyDescent="0.25">
      <c r="A479" s="11" t="s">
        <v>3751</v>
      </c>
      <c r="B479" s="13" t="s">
        <v>66</v>
      </c>
      <c r="C479" s="16" t="s">
        <v>4246</v>
      </c>
      <c r="D479" s="13" t="s">
        <v>100</v>
      </c>
      <c r="E479" s="14" t="s">
        <v>274</v>
      </c>
      <c r="F479" s="14" t="s">
        <v>56</v>
      </c>
      <c r="G479" s="13"/>
      <c r="H479" s="14">
        <f>G479+I479</f>
        <v>1</v>
      </c>
      <c r="I479" s="14">
        <v>1</v>
      </c>
      <c r="J479" s="14">
        <v>1</v>
      </c>
      <c r="K479" s="13" t="s">
        <v>1609</v>
      </c>
      <c r="L479" s="15" t="s">
        <v>153</v>
      </c>
      <c r="M479" s="15">
        <v>995</v>
      </c>
      <c r="N479" s="15">
        <v>902</v>
      </c>
      <c r="O479" s="15">
        <v>299500</v>
      </c>
      <c r="P479" s="15">
        <v>290200</v>
      </c>
      <c r="Q479" s="15"/>
    </row>
    <row r="480" spans="1:17" ht="22.5" x14ac:dyDescent="0.25">
      <c r="A480" s="11" t="s">
        <v>3751</v>
      </c>
      <c r="B480" s="13" t="s">
        <v>66</v>
      </c>
      <c r="C480" s="16" t="s">
        <v>1142</v>
      </c>
      <c r="D480" s="13" t="s">
        <v>3969</v>
      </c>
      <c r="E480" s="14" t="s">
        <v>570</v>
      </c>
      <c r="F480" s="14" t="s">
        <v>56</v>
      </c>
      <c r="G480" s="13"/>
      <c r="H480" s="14">
        <f t="shared" si="7"/>
        <v>3</v>
      </c>
      <c r="I480" s="14">
        <v>3</v>
      </c>
      <c r="J480" s="14">
        <v>3</v>
      </c>
      <c r="K480" s="13" t="s">
        <v>4257</v>
      </c>
      <c r="L480" s="15" t="s">
        <v>189</v>
      </c>
      <c r="M480" s="15">
        <v>219</v>
      </c>
      <c r="N480" s="15">
        <v>49</v>
      </c>
      <c r="O480" s="15">
        <v>321900</v>
      </c>
      <c r="P480" s="15">
        <v>304900</v>
      </c>
      <c r="Q480" s="15"/>
    </row>
    <row r="481" spans="1:17" x14ac:dyDescent="0.25">
      <c r="A481" s="11" t="s">
        <v>3751</v>
      </c>
      <c r="B481" s="13" t="s">
        <v>66</v>
      </c>
      <c r="C481" s="16" t="s">
        <v>3975</v>
      </c>
      <c r="D481" s="13" t="s">
        <v>20</v>
      </c>
      <c r="E481" s="14" t="s">
        <v>3976</v>
      </c>
      <c r="F481" s="14" t="s">
        <v>56</v>
      </c>
      <c r="G481" s="13"/>
      <c r="H481" s="14">
        <f>G481+I481</f>
        <v>1</v>
      </c>
      <c r="I481" s="14">
        <v>1</v>
      </c>
      <c r="J481" s="14">
        <v>1</v>
      </c>
      <c r="K481" s="13" t="s">
        <v>541</v>
      </c>
      <c r="L481" s="15" t="s">
        <v>113</v>
      </c>
      <c r="M481" s="15">
        <v>1628</v>
      </c>
      <c r="N481" s="15">
        <v>3784</v>
      </c>
      <c r="O481" s="15">
        <v>316280</v>
      </c>
      <c r="P481" s="15">
        <v>237840</v>
      </c>
      <c r="Q481" s="15"/>
    </row>
    <row r="482" spans="1:17" ht="25.5" x14ac:dyDescent="0.25">
      <c r="A482" s="11" t="s">
        <v>3751</v>
      </c>
      <c r="B482" s="13" t="s">
        <v>66</v>
      </c>
      <c r="C482" s="16" t="s">
        <v>3970</v>
      </c>
      <c r="D482" s="13" t="s">
        <v>20</v>
      </c>
      <c r="E482" s="14" t="s">
        <v>190</v>
      </c>
      <c r="F482" s="14" t="s">
        <v>56</v>
      </c>
      <c r="G482" s="13"/>
      <c r="H482" s="14">
        <f>G482+I482</f>
        <v>1</v>
      </c>
      <c r="I482" s="14">
        <v>1</v>
      </c>
      <c r="J482" s="14">
        <v>1</v>
      </c>
      <c r="K482" s="13" t="s">
        <v>541</v>
      </c>
      <c r="L482" s="15" t="s">
        <v>189</v>
      </c>
      <c r="M482" s="15">
        <v>61</v>
      </c>
      <c r="N482" s="15">
        <v>433</v>
      </c>
      <c r="O482" s="15">
        <v>306100</v>
      </c>
      <c r="P482" s="15">
        <v>343300</v>
      </c>
      <c r="Q482" s="15"/>
    </row>
    <row r="483" spans="1:17" ht="22.5" x14ac:dyDescent="0.25">
      <c r="A483" s="11" t="s">
        <v>3751</v>
      </c>
      <c r="B483" s="13" t="s">
        <v>66</v>
      </c>
      <c r="C483" s="16" t="s">
        <v>632</v>
      </c>
      <c r="D483" s="13" t="s">
        <v>616</v>
      </c>
      <c r="E483" s="14" t="s">
        <v>570</v>
      </c>
      <c r="F483" s="14" t="s">
        <v>56</v>
      </c>
      <c r="G483" s="13"/>
      <c r="H483" s="14">
        <f t="shared" si="7"/>
        <v>1</v>
      </c>
      <c r="I483" s="14">
        <v>1</v>
      </c>
      <c r="J483" s="14">
        <v>1</v>
      </c>
      <c r="K483" s="13" t="s">
        <v>180</v>
      </c>
      <c r="L483" s="15" t="s">
        <v>189</v>
      </c>
      <c r="M483" s="15">
        <v>260</v>
      </c>
      <c r="N483" s="15">
        <v>49</v>
      </c>
      <c r="O483" s="15">
        <v>326000</v>
      </c>
      <c r="P483" s="15">
        <v>304900</v>
      </c>
      <c r="Q483" s="15"/>
    </row>
    <row r="484" spans="1:17" x14ac:dyDescent="0.25">
      <c r="A484" s="11" t="s">
        <v>3751</v>
      </c>
      <c r="B484" s="13" t="s">
        <v>66</v>
      </c>
      <c r="C484" s="16" t="s">
        <v>3849</v>
      </c>
      <c r="D484" s="13" t="s">
        <v>1207</v>
      </c>
      <c r="E484" s="14" t="s">
        <v>570</v>
      </c>
      <c r="F484" s="14" t="s">
        <v>56</v>
      </c>
      <c r="G484" s="13"/>
      <c r="H484" s="14">
        <f t="shared" si="7"/>
        <v>1</v>
      </c>
      <c r="I484" s="14">
        <v>1</v>
      </c>
      <c r="J484" s="14">
        <v>1</v>
      </c>
      <c r="K484" s="13" t="s">
        <v>193</v>
      </c>
      <c r="L484" s="15" t="s">
        <v>189</v>
      </c>
      <c r="M484" s="15">
        <v>260</v>
      </c>
      <c r="N484" s="15">
        <v>49</v>
      </c>
      <c r="O484" s="15">
        <v>326000</v>
      </c>
      <c r="P484" s="15">
        <v>304900</v>
      </c>
      <c r="Q484" s="15"/>
    </row>
    <row r="485" spans="1:17" x14ac:dyDescent="0.25">
      <c r="A485" s="11" t="s">
        <v>3751</v>
      </c>
      <c r="B485" s="13" t="s">
        <v>66</v>
      </c>
      <c r="C485" s="16" t="s">
        <v>3850</v>
      </c>
      <c r="D485" s="13" t="s">
        <v>1207</v>
      </c>
      <c r="E485" s="14" t="s">
        <v>570</v>
      </c>
      <c r="F485" s="14" t="s">
        <v>56</v>
      </c>
      <c r="G485" s="13"/>
      <c r="H485" s="14">
        <f>G485+I485</f>
        <v>1</v>
      </c>
      <c r="I485" s="14">
        <v>1</v>
      </c>
      <c r="J485" s="14">
        <v>1</v>
      </c>
      <c r="K485" s="13" t="s">
        <v>193</v>
      </c>
      <c r="L485" s="15" t="s">
        <v>189</v>
      </c>
      <c r="M485" s="15">
        <v>260</v>
      </c>
      <c r="N485" s="15">
        <v>49</v>
      </c>
      <c r="O485" s="15">
        <v>326000</v>
      </c>
      <c r="P485" s="15">
        <v>304900</v>
      </c>
      <c r="Q485" s="15"/>
    </row>
    <row r="486" spans="1:17" ht="22.5" x14ac:dyDescent="0.25">
      <c r="A486" s="11" t="s">
        <v>3751</v>
      </c>
      <c r="B486" s="13" t="s">
        <v>66</v>
      </c>
      <c r="C486" s="16" t="s">
        <v>273</v>
      </c>
      <c r="D486" s="13" t="s">
        <v>41</v>
      </c>
      <c r="E486" s="14" t="s">
        <v>274</v>
      </c>
      <c r="F486" s="14" t="s">
        <v>56</v>
      </c>
      <c r="G486" s="13"/>
      <c r="H486" s="14">
        <f t="shared" si="7"/>
        <v>5</v>
      </c>
      <c r="I486" s="14">
        <v>5</v>
      </c>
      <c r="J486" s="14">
        <v>2</v>
      </c>
      <c r="K486" s="13" t="s">
        <v>4059</v>
      </c>
      <c r="L486" s="15" t="s">
        <v>113</v>
      </c>
      <c r="M486" s="15">
        <v>1819</v>
      </c>
      <c r="N486" s="15">
        <v>2905</v>
      </c>
      <c r="O486" s="15">
        <v>318190</v>
      </c>
      <c r="P486" s="15">
        <v>229050</v>
      </c>
      <c r="Q486" s="15"/>
    </row>
    <row r="487" spans="1:17" x14ac:dyDescent="0.25">
      <c r="A487" s="11" t="s">
        <v>3751</v>
      </c>
      <c r="B487" s="13" t="s">
        <v>66</v>
      </c>
      <c r="C487" s="16" t="s">
        <v>4527</v>
      </c>
      <c r="D487" s="13" t="s">
        <v>90</v>
      </c>
      <c r="E487" s="14" t="s">
        <v>2095</v>
      </c>
      <c r="F487" s="14" t="s">
        <v>56</v>
      </c>
      <c r="G487" s="13"/>
      <c r="H487" s="14">
        <f>G487+I487</f>
        <v>1</v>
      </c>
      <c r="I487" s="14">
        <v>1</v>
      </c>
      <c r="J487" s="14">
        <v>1</v>
      </c>
      <c r="K487" s="13" t="s">
        <v>3271</v>
      </c>
      <c r="L487" s="15" t="s">
        <v>113</v>
      </c>
      <c r="M487" s="15">
        <v>2512</v>
      </c>
      <c r="N487" s="15">
        <v>6136</v>
      </c>
      <c r="O487" s="15">
        <v>325120</v>
      </c>
      <c r="P487" s="15">
        <v>261360</v>
      </c>
      <c r="Q487" s="15"/>
    </row>
    <row r="488" spans="1:17" ht="22.5" x14ac:dyDescent="0.25">
      <c r="A488" s="11" t="s">
        <v>3751</v>
      </c>
      <c r="B488" s="13" t="s">
        <v>66</v>
      </c>
      <c r="C488" s="16" t="s">
        <v>2096</v>
      </c>
      <c r="D488" s="13" t="s">
        <v>3968</v>
      </c>
      <c r="E488" s="14" t="s">
        <v>2095</v>
      </c>
      <c r="F488" s="14" t="s">
        <v>56</v>
      </c>
      <c r="G488" s="13"/>
      <c r="H488" s="14">
        <f t="shared" si="7"/>
        <v>1</v>
      </c>
      <c r="I488" s="14">
        <v>1</v>
      </c>
      <c r="J488" s="14">
        <v>1</v>
      </c>
      <c r="K488" s="13" t="s">
        <v>541</v>
      </c>
      <c r="L488" s="15" t="s">
        <v>113</v>
      </c>
      <c r="M488" s="15">
        <v>2619</v>
      </c>
      <c r="N488" s="15">
        <v>5977</v>
      </c>
      <c r="O488" s="15">
        <v>326190</v>
      </c>
      <c r="P488" s="15">
        <v>259770</v>
      </c>
      <c r="Q488" s="15"/>
    </row>
    <row r="489" spans="1:17" ht="22.5" x14ac:dyDescent="0.25">
      <c r="A489" s="11" t="s">
        <v>3751</v>
      </c>
      <c r="B489" s="13" t="s">
        <v>778</v>
      </c>
      <c r="C489" s="16" t="s">
        <v>4413</v>
      </c>
      <c r="D489" s="13" t="s">
        <v>39</v>
      </c>
      <c r="E489" s="14" t="s">
        <v>2151</v>
      </c>
      <c r="F489" s="13" t="s">
        <v>776</v>
      </c>
      <c r="G489" s="13">
        <v>1</v>
      </c>
      <c r="H489" s="14">
        <f>G489+I489</f>
        <v>3</v>
      </c>
      <c r="I489" s="14">
        <v>2</v>
      </c>
      <c r="J489" s="14">
        <v>3</v>
      </c>
      <c r="K489" s="13" t="s">
        <v>4428</v>
      </c>
      <c r="L489" s="15" t="s">
        <v>782</v>
      </c>
      <c r="M489" s="15">
        <v>312</v>
      </c>
      <c r="N489" s="15">
        <v>903</v>
      </c>
      <c r="O489" s="45"/>
      <c r="P489" s="45"/>
      <c r="Q489" s="15"/>
    </row>
    <row r="490" spans="1:17" ht="22.5" x14ac:dyDescent="0.25">
      <c r="A490" s="11" t="s">
        <v>3751</v>
      </c>
      <c r="B490" s="13" t="s">
        <v>778</v>
      </c>
      <c r="C490" s="16" t="s">
        <v>4396</v>
      </c>
      <c r="D490" s="13" t="s">
        <v>4397</v>
      </c>
      <c r="E490" s="14" t="s">
        <v>1431</v>
      </c>
      <c r="F490" s="13" t="s">
        <v>776</v>
      </c>
      <c r="G490" s="13"/>
      <c r="H490" s="14">
        <f>G490+I490</f>
        <v>1</v>
      </c>
      <c r="I490" s="14">
        <v>1</v>
      </c>
      <c r="J490" s="14">
        <v>1</v>
      </c>
      <c r="K490" s="13" t="s">
        <v>4391</v>
      </c>
      <c r="L490" s="15" t="s">
        <v>781</v>
      </c>
      <c r="M490" s="15">
        <v>372</v>
      </c>
      <c r="N490" s="15">
        <v>78</v>
      </c>
      <c r="Q490" s="15"/>
    </row>
    <row r="491" spans="1:17" ht="22.5" x14ac:dyDescent="0.25">
      <c r="A491" s="11" t="s">
        <v>3751</v>
      </c>
      <c r="B491" s="13" t="s">
        <v>778</v>
      </c>
      <c r="C491" s="16" t="s">
        <v>3820</v>
      </c>
      <c r="D491" s="13" t="s">
        <v>1212</v>
      </c>
      <c r="E491" s="14" t="s">
        <v>1431</v>
      </c>
      <c r="F491" s="13" t="s">
        <v>776</v>
      </c>
      <c r="G491" s="13"/>
      <c r="H491" s="14">
        <f>G491+I491</f>
        <v>2</v>
      </c>
      <c r="I491" s="14">
        <v>2</v>
      </c>
      <c r="J491" s="14">
        <v>2</v>
      </c>
      <c r="K491" s="13" t="s">
        <v>3838</v>
      </c>
      <c r="L491" s="15" t="s">
        <v>781</v>
      </c>
      <c r="M491" s="15">
        <v>372</v>
      </c>
      <c r="N491" s="15">
        <v>78</v>
      </c>
      <c r="Q491" s="15"/>
    </row>
    <row r="492" spans="1:17" ht="22.5" x14ac:dyDescent="0.25">
      <c r="A492" s="11" t="s">
        <v>3751</v>
      </c>
      <c r="B492" s="13" t="s">
        <v>778</v>
      </c>
      <c r="C492" s="16" t="s">
        <v>3881</v>
      </c>
      <c r="D492" s="13" t="s">
        <v>1207</v>
      </c>
      <c r="E492" s="14" t="s">
        <v>1431</v>
      </c>
      <c r="F492" s="13" t="s">
        <v>776</v>
      </c>
      <c r="G492" s="13"/>
      <c r="H492" s="14">
        <f>G492+I492</f>
        <v>1</v>
      </c>
      <c r="I492" s="14">
        <v>1</v>
      </c>
      <c r="J492" s="14">
        <v>1</v>
      </c>
      <c r="K492" s="13" t="s">
        <v>684</v>
      </c>
      <c r="L492" s="15" t="s">
        <v>781</v>
      </c>
      <c r="M492" s="15">
        <v>372</v>
      </c>
      <c r="N492" s="15">
        <v>78</v>
      </c>
      <c r="Q492" s="15"/>
    </row>
    <row r="493" spans="1:17" ht="22.5" x14ac:dyDescent="0.25">
      <c r="A493" s="11" t="s">
        <v>3751</v>
      </c>
      <c r="B493" s="13" t="s">
        <v>778</v>
      </c>
      <c r="C493" s="16" t="s">
        <v>1228</v>
      </c>
      <c r="D493" s="13" t="s">
        <v>3876</v>
      </c>
      <c r="E493" s="14" t="s">
        <v>1230</v>
      </c>
      <c r="F493" s="13" t="s">
        <v>776</v>
      </c>
      <c r="G493" s="13">
        <v>1</v>
      </c>
      <c r="H493" s="14">
        <f t="shared" si="7"/>
        <v>2</v>
      </c>
      <c r="I493" s="14">
        <v>1</v>
      </c>
      <c r="J493" s="14">
        <v>2</v>
      </c>
      <c r="K493" s="13" t="s">
        <v>4507</v>
      </c>
      <c r="L493" s="15" t="s">
        <v>781</v>
      </c>
      <c r="M493" s="15">
        <v>141</v>
      </c>
      <c r="N493" s="15">
        <v>18</v>
      </c>
      <c r="Q493" s="15"/>
    </row>
    <row r="494" spans="1:17" s="14" customFormat="1" ht="25.5" x14ac:dyDescent="0.25">
      <c r="A494" s="11" t="s">
        <v>3751</v>
      </c>
      <c r="B494" s="13" t="s">
        <v>778</v>
      </c>
      <c r="C494" s="16" t="s">
        <v>3922</v>
      </c>
      <c r="D494" s="13" t="s">
        <v>1932</v>
      </c>
      <c r="E494" s="14" t="s">
        <v>778</v>
      </c>
      <c r="F494" s="13" t="s">
        <v>776</v>
      </c>
      <c r="G494" s="13"/>
      <c r="H494" s="14">
        <f>G494+I494</f>
        <v>5</v>
      </c>
      <c r="I494" s="14">
        <v>5</v>
      </c>
      <c r="J494" s="14">
        <v>4</v>
      </c>
      <c r="K494" s="14" t="s">
        <v>3946</v>
      </c>
      <c r="O494" s="14">
        <v>54.735657000000003</v>
      </c>
      <c r="P494" s="14">
        <v>-6.1157349999999999</v>
      </c>
      <c r="Q494" s="13"/>
    </row>
    <row r="495" spans="1:17" ht="22.5" x14ac:dyDescent="0.25">
      <c r="A495" s="11" t="s">
        <v>3751</v>
      </c>
      <c r="B495" s="13" t="s">
        <v>778</v>
      </c>
      <c r="C495" s="16" t="s">
        <v>3478</v>
      </c>
      <c r="D495" s="13" t="s">
        <v>3875</v>
      </c>
      <c r="E495" s="14" t="s">
        <v>3479</v>
      </c>
      <c r="F495" s="13" t="s">
        <v>776</v>
      </c>
      <c r="G495" s="13"/>
      <c r="H495" s="14">
        <f t="shared" si="7"/>
        <v>1</v>
      </c>
      <c r="I495" s="14">
        <v>1</v>
      </c>
      <c r="J495" s="14">
        <v>1</v>
      </c>
      <c r="K495" s="13" t="s">
        <v>684</v>
      </c>
      <c r="L495" s="15" t="s">
        <v>781</v>
      </c>
      <c r="M495" s="15">
        <v>37</v>
      </c>
      <c r="N495" s="15">
        <v>438</v>
      </c>
      <c r="O495" s="15">
        <v>449041</v>
      </c>
      <c r="P495" s="15">
        <v>5761192</v>
      </c>
      <c r="Q495" s="15"/>
    </row>
    <row r="496" spans="1:17" ht="22.5" x14ac:dyDescent="0.25">
      <c r="A496" s="11" t="s">
        <v>3751</v>
      </c>
      <c r="B496" s="13" t="s">
        <v>778</v>
      </c>
      <c r="C496" s="16" t="s">
        <v>1405</v>
      </c>
      <c r="D496" s="13" t="s">
        <v>39</v>
      </c>
      <c r="E496" s="14" t="s">
        <v>1406</v>
      </c>
      <c r="F496" s="13" t="s">
        <v>776</v>
      </c>
      <c r="G496" s="13">
        <v>4</v>
      </c>
      <c r="H496" s="14">
        <f t="shared" si="7"/>
        <v>4</v>
      </c>
      <c r="J496" s="14">
        <v>4</v>
      </c>
      <c r="K496" s="13" t="s">
        <v>4568</v>
      </c>
      <c r="L496" s="15" t="s">
        <v>781</v>
      </c>
      <c r="M496" s="15">
        <v>1908</v>
      </c>
      <c r="N496" s="15">
        <v>4180</v>
      </c>
      <c r="O496" s="45"/>
      <c r="P496" s="45"/>
      <c r="Q496" s="15"/>
    </row>
    <row r="497" spans="1:17" ht="45" x14ac:dyDescent="0.25">
      <c r="A497" s="11" t="s">
        <v>3751</v>
      </c>
      <c r="B497" s="13" t="s">
        <v>778</v>
      </c>
      <c r="C497" s="16" t="s">
        <v>777</v>
      </c>
      <c r="D497" s="13" t="s">
        <v>4473</v>
      </c>
      <c r="E497" s="14" t="s">
        <v>778</v>
      </c>
      <c r="F497" s="13" t="s">
        <v>776</v>
      </c>
      <c r="G497" s="13">
        <v>7</v>
      </c>
      <c r="H497" s="14">
        <f t="shared" si="7"/>
        <v>10</v>
      </c>
      <c r="I497" s="14">
        <v>3</v>
      </c>
      <c r="J497" s="14">
        <v>9</v>
      </c>
      <c r="K497" s="13" t="s">
        <v>4567</v>
      </c>
      <c r="L497" s="15" t="s">
        <v>782</v>
      </c>
      <c r="M497" s="15">
        <v>2478</v>
      </c>
      <c r="N497" s="15">
        <v>8284</v>
      </c>
      <c r="Q497" s="15"/>
    </row>
    <row r="498" spans="1:17" ht="22.5" x14ac:dyDescent="0.25">
      <c r="A498" s="11" t="s">
        <v>3751</v>
      </c>
      <c r="B498" s="13" t="s">
        <v>778</v>
      </c>
      <c r="C498" s="16" t="s">
        <v>1287</v>
      </c>
      <c r="D498" s="13" t="s">
        <v>151</v>
      </c>
      <c r="E498" s="14" t="s">
        <v>778</v>
      </c>
      <c r="F498" s="13" t="s">
        <v>776</v>
      </c>
      <c r="G498" s="13">
        <v>2</v>
      </c>
      <c r="H498" s="14">
        <f t="shared" ref="H498:H579" si="8">G498+I498</f>
        <v>3</v>
      </c>
      <c r="I498" s="14">
        <v>1</v>
      </c>
      <c r="J498" s="14">
        <v>3</v>
      </c>
      <c r="K498" s="13" t="s">
        <v>4449</v>
      </c>
      <c r="L498" s="15" t="s">
        <v>781</v>
      </c>
      <c r="M498" s="15">
        <v>135</v>
      </c>
      <c r="N498" s="15">
        <v>510</v>
      </c>
      <c r="Q498" s="15"/>
    </row>
    <row r="499" spans="1:17" ht="22.5" x14ac:dyDescent="0.25">
      <c r="A499" s="11" t="s">
        <v>3751</v>
      </c>
      <c r="B499" s="13" t="s">
        <v>778</v>
      </c>
      <c r="C499" s="16" t="s">
        <v>4079</v>
      </c>
      <c r="D499" s="13" t="s">
        <v>4072</v>
      </c>
      <c r="E499" s="14" t="s">
        <v>4080</v>
      </c>
      <c r="F499" s="13" t="s">
        <v>776</v>
      </c>
      <c r="G499" s="13"/>
      <c r="H499" s="14">
        <f t="shared" si="8"/>
        <v>2</v>
      </c>
      <c r="I499" s="14">
        <v>2</v>
      </c>
      <c r="J499" s="14">
        <v>1</v>
      </c>
      <c r="K499" s="13" t="s">
        <v>1234</v>
      </c>
      <c r="L499" s="15" t="s">
        <v>781</v>
      </c>
      <c r="M499" s="15">
        <v>232</v>
      </c>
      <c r="N499" s="15">
        <v>118</v>
      </c>
      <c r="O499" s="45"/>
      <c r="P499" s="45"/>
      <c r="Q499" s="15"/>
    </row>
    <row r="500" spans="1:17" ht="22.5" x14ac:dyDescent="0.25">
      <c r="A500" s="11" t="s">
        <v>3751</v>
      </c>
      <c r="B500" s="13" t="s">
        <v>778</v>
      </c>
      <c r="C500" s="16" t="s">
        <v>943</v>
      </c>
      <c r="D500" s="13" t="s">
        <v>151</v>
      </c>
      <c r="E500" s="14" t="s">
        <v>778</v>
      </c>
      <c r="F500" s="13" t="s">
        <v>776</v>
      </c>
      <c r="G500" s="13">
        <v>2</v>
      </c>
      <c r="H500" s="14">
        <f t="shared" si="8"/>
        <v>2</v>
      </c>
      <c r="J500" s="14">
        <v>2</v>
      </c>
      <c r="K500" s="13" t="s">
        <v>4448</v>
      </c>
      <c r="L500" s="15" t="s">
        <v>781</v>
      </c>
      <c r="M500" s="15">
        <v>193</v>
      </c>
      <c r="N500" s="15">
        <v>268</v>
      </c>
      <c r="Q500" s="15"/>
    </row>
    <row r="501" spans="1:17" ht="22.5" x14ac:dyDescent="0.25">
      <c r="A501" s="11" t="s">
        <v>3751</v>
      </c>
      <c r="B501" s="13" t="s">
        <v>1444</v>
      </c>
      <c r="C501" s="16" t="s">
        <v>1445</v>
      </c>
      <c r="D501" s="13" t="s">
        <v>780</v>
      </c>
      <c r="E501" s="14" t="s">
        <v>1444</v>
      </c>
      <c r="F501" s="13" t="s">
        <v>776</v>
      </c>
      <c r="G501" s="13">
        <v>1</v>
      </c>
      <c r="H501" s="14">
        <f t="shared" si="8"/>
        <v>1</v>
      </c>
      <c r="J501" s="14">
        <v>1</v>
      </c>
      <c r="K501" s="13" t="s">
        <v>4375</v>
      </c>
      <c r="L501" s="15" t="s">
        <v>992</v>
      </c>
      <c r="M501" s="15">
        <v>905</v>
      </c>
      <c r="N501" s="15">
        <v>178</v>
      </c>
      <c r="O501" s="45"/>
      <c r="P501" s="45"/>
      <c r="Q501" s="15"/>
    </row>
    <row r="502" spans="1:17" ht="22.5" x14ac:dyDescent="0.25">
      <c r="A502" s="11" t="s">
        <v>3751</v>
      </c>
      <c r="B502" s="13" t="s">
        <v>1444</v>
      </c>
      <c r="C502" s="16" t="s">
        <v>2629</v>
      </c>
      <c r="D502" s="13" t="s">
        <v>220</v>
      </c>
      <c r="E502" s="14" t="s">
        <v>2630</v>
      </c>
      <c r="F502" s="13" t="s">
        <v>776</v>
      </c>
      <c r="G502" s="13"/>
      <c r="H502" s="14">
        <f t="shared" si="8"/>
        <v>2</v>
      </c>
      <c r="I502" s="14">
        <v>2</v>
      </c>
      <c r="J502" s="14">
        <v>1</v>
      </c>
      <c r="K502" s="13" t="s">
        <v>2886</v>
      </c>
      <c r="L502" s="15" t="s">
        <v>992</v>
      </c>
      <c r="M502" s="15">
        <v>995</v>
      </c>
      <c r="N502" s="15">
        <v>213</v>
      </c>
      <c r="O502" s="45"/>
      <c r="P502" s="45"/>
      <c r="Q502" s="15"/>
    </row>
    <row r="503" spans="1:17" ht="22.5" x14ac:dyDescent="0.25">
      <c r="A503" s="11" t="s">
        <v>3751</v>
      </c>
      <c r="B503" s="13" t="s">
        <v>1444</v>
      </c>
      <c r="C503" s="16" t="s">
        <v>1895</v>
      </c>
      <c r="D503" s="13" t="s">
        <v>401</v>
      </c>
      <c r="E503" s="14" t="s">
        <v>1444</v>
      </c>
      <c r="F503" s="13" t="s">
        <v>776</v>
      </c>
      <c r="G503" s="13"/>
      <c r="H503" s="14">
        <f t="shared" si="8"/>
        <v>1</v>
      </c>
      <c r="I503" s="14">
        <v>1</v>
      </c>
      <c r="J503" s="14">
        <v>1</v>
      </c>
      <c r="K503" s="13" t="s">
        <v>4262</v>
      </c>
      <c r="L503" s="15" t="s">
        <v>992</v>
      </c>
      <c r="M503" s="15">
        <v>847</v>
      </c>
      <c r="N503" s="15">
        <v>452</v>
      </c>
      <c r="O503" s="45"/>
      <c r="P503" s="45"/>
      <c r="Q503" s="15"/>
    </row>
    <row r="504" spans="1:17" ht="33.75" x14ac:dyDescent="0.25">
      <c r="A504" s="11" t="s">
        <v>3751</v>
      </c>
      <c r="B504" s="13" t="s">
        <v>1631</v>
      </c>
      <c r="C504" s="16" t="s">
        <v>1398</v>
      </c>
      <c r="D504" s="13" t="s">
        <v>4569</v>
      </c>
      <c r="E504" s="14" t="s">
        <v>1292</v>
      </c>
      <c r="F504" s="13" t="s">
        <v>776</v>
      </c>
      <c r="G504" s="13">
        <v>5</v>
      </c>
      <c r="H504" s="14">
        <f t="shared" si="8"/>
        <v>5</v>
      </c>
      <c r="J504" s="14">
        <v>4</v>
      </c>
      <c r="K504" s="13" t="s">
        <v>4570</v>
      </c>
      <c r="L504" s="15" t="s">
        <v>782</v>
      </c>
      <c r="M504" s="15">
        <v>531</v>
      </c>
      <c r="N504" s="15">
        <v>448</v>
      </c>
      <c r="O504" s="45"/>
      <c r="P504" s="45"/>
      <c r="Q504" s="15"/>
    </row>
    <row r="505" spans="1:17" ht="22.5" x14ac:dyDescent="0.25">
      <c r="A505" s="11" t="s">
        <v>3751</v>
      </c>
      <c r="B505" s="13" t="s">
        <v>1968</v>
      </c>
      <c r="C505" s="16" t="s">
        <v>3883</v>
      </c>
      <c r="D505" s="13" t="s">
        <v>3876</v>
      </c>
      <c r="E505" s="14" t="s">
        <v>3884</v>
      </c>
      <c r="F505" s="13" t="s">
        <v>776</v>
      </c>
      <c r="G505" s="13"/>
      <c r="H505" s="14">
        <f>G505+I505</f>
        <v>2</v>
      </c>
      <c r="I505" s="14">
        <v>2</v>
      </c>
      <c r="J505" s="14">
        <v>2</v>
      </c>
      <c r="K505" s="13" t="s">
        <v>4111</v>
      </c>
      <c r="L505" s="15" t="s">
        <v>992</v>
      </c>
      <c r="M505" s="15">
        <v>762</v>
      </c>
      <c r="N505" s="15">
        <v>885</v>
      </c>
      <c r="O505" s="45"/>
      <c r="P505" s="45"/>
      <c r="Q505" s="15"/>
    </row>
    <row r="506" spans="1:17" ht="22.5" x14ac:dyDescent="0.25">
      <c r="A506" s="11" t="s">
        <v>3751</v>
      </c>
      <c r="B506" s="13" t="s">
        <v>1968</v>
      </c>
      <c r="C506" s="16" t="s">
        <v>2741</v>
      </c>
      <c r="D506" s="13" t="s">
        <v>2618</v>
      </c>
      <c r="E506" s="14" t="s">
        <v>1968</v>
      </c>
      <c r="F506" s="13" t="s">
        <v>776</v>
      </c>
      <c r="G506" s="13"/>
      <c r="H506" s="14">
        <f t="shared" si="8"/>
        <v>1</v>
      </c>
      <c r="I506" s="14">
        <v>1</v>
      </c>
      <c r="J506" s="14">
        <v>1</v>
      </c>
      <c r="K506" s="13" t="s">
        <v>3162</v>
      </c>
      <c r="L506" s="15" t="s">
        <v>1348</v>
      </c>
      <c r="M506" s="15">
        <v>729</v>
      </c>
      <c r="N506" s="15">
        <v>77</v>
      </c>
      <c r="O506" s="45"/>
      <c r="P506" s="45"/>
      <c r="Q506" s="15"/>
    </row>
    <row r="507" spans="1:17" ht="22.5" x14ac:dyDescent="0.25">
      <c r="A507" s="11" t="s">
        <v>3751</v>
      </c>
      <c r="B507" s="13" t="s">
        <v>1968</v>
      </c>
      <c r="C507" s="16" t="s">
        <v>1999</v>
      </c>
      <c r="D507" s="13" t="s">
        <v>780</v>
      </c>
      <c r="E507" s="14" t="s">
        <v>2000</v>
      </c>
      <c r="F507" s="13" t="s">
        <v>776</v>
      </c>
      <c r="G507" s="13"/>
      <c r="H507" s="14">
        <f t="shared" si="8"/>
        <v>2</v>
      </c>
      <c r="I507" s="14">
        <v>2</v>
      </c>
      <c r="J507" s="14">
        <v>1</v>
      </c>
      <c r="K507" s="13" t="s">
        <v>1234</v>
      </c>
      <c r="L507" s="15" t="s">
        <v>992</v>
      </c>
      <c r="M507" s="15">
        <v>644</v>
      </c>
      <c r="N507" s="15">
        <v>125</v>
      </c>
      <c r="O507" s="45"/>
      <c r="P507" s="45"/>
      <c r="Q507" s="15"/>
    </row>
    <row r="508" spans="1:17" ht="22.5" x14ac:dyDescent="0.25">
      <c r="A508" s="11" t="s">
        <v>3751</v>
      </c>
      <c r="B508" s="13" t="s">
        <v>1099</v>
      </c>
      <c r="C508" s="16" t="s">
        <v>4084</v>
      </c>
      <c r="D508" s="13" t="s">
        <v>780</v>
      </c>
      <c r="E508" s="14" t="s">
        <v>4085</v>
      </c>
      <c r="F508" s="13" t="s">
        <v>776</v>
      </c>
      <c r="G508" s="13"/>
      <c r="H508" s="14">
        <f>G508+I508</f>
        <v>3</v>
      </c>
      <c r="I508" s="14">
        <v>3</v>
      </c>
      <c r="J508" s="14">
        <v>2</v>
      </c>
      <c r="K508" s="13" t="s">
        <v>4105</v>
      </c>
      <c r="L508" s="15" t="s">
        <v>782</v>
      </c>
      <c r="M508" s="15">
        <v>562</v>
      </c>
      <c r="N508" s="15">
        <v>504</v>
      </c>
      <c r="O508" s="45"/>
      <c r="P508" s="45"/>
      <c r="Q508" s="15"/>
    </row>
    <row r="509" spans="1:17" ht="22.5" x14ac:dyDescent="0.25">
      <c r="A509" s="11" t="s">
        <v>3751</v>
      </c>
      <c r="B509" s="13" t="s">
        <v>1099</v>
      </c>
      <c r="C509" s="16" t="s">
        <v>1404</v>
      </c>
      <c r="D509" s="13" t="s">
        <v>39</v>
      </c>
      <c r="E509" s="14" t="s">
        <v>1292</v>
      </c>
      <c r="F509" s="13" t="s">
        <v>776</v>
      </c>
      <c r="G509" s="13">
        <v>3</v>
      </c>
      <c r="H509" s="14">
        <f t="shared" si="8"/>
        <v>3</v>
      </c>
      <c r="J509" s="14">
        <v>3</v>
      </c>
      <c r="K509" s="13" t="s">
        <v>4508</v>
      </c>
      <c r="L509" s="15" t="s">
        <v>782</v>
      </c>
      <c r="M509" s="15">
        <v>409</v>
      </c>
      <c r="N509" s="15">
        <v>373</v>
      </c>
      <c r="O509" s="45"/>
      <c r="P509" s="45"/>
      <c r="Q509" s="15"/>
    </row>
    <row r="510" spans="1:17" ht="22.5" x14ac:dyDescent="0.25">
      <c r="A510" s="11" t="s">
        <v>3751</v>
      </c>
      <c r="B510" s="13" t="s">
        <v>1099</v>
      </c>
      <c r="C510" s="16" t="s">
        <v>1399</v>
      </c>
      <c r="D510" s="13" t="s">
        <v>39</v>
      </c>
      <c r="E510" s="14" t="s">
        <v>1292</v>
      </c>
      <c r="F510" s="13" t="s">
        <v>776</v>
      </c>
      <c r="G510" s="13">
        <v>4</v>
      </c>
      <c r="H510" s="14">
        <f t="shared" si="8"/>
        <v>4</v>
      </c>
      <c r="J510" s="14">
        <v>3</v>
      </c>
      <c r="K510" s="13" t="s">
        <v>4508</v>
      </c>
      <c r="L510" s="15" t="s">
        <v>782</v>
      </c>
      <c r="M510" s="15">
        <v>414</v>
      </c>
      <c r="N510" s="15">
        <v>351</v>
      </c>
      <c r="O510" s="45"/>
      <c r="P510" s="45"/>
      <c r="Q510" s="15"/>
    </row>
    <row r="511" spans="1:17" ht="22.5" x14ac:dyDescent="0.25">
      <c r="A511" s="11" t="s">
        <v>3751</v>
      </c>
      <c r="B511" s="13" t="s">
        <v>1099</v>
      </c>
      <c r="C511" s="16" t="s">
        <v>1100</v>
      </c>
      <c r="D511" s="13" t="s">
        <v>4234</v>
      </c>
      <c r="E511" s="14" t="s">
        <v>1100</v>
      </c>
      <c r="F511" s="13" t="s">
        <v>776</v>
      </c>
      <c r="G511" s="13">
        <v>1</v>
      </c>
      <c r="H511" s="14">
        <f>G511+I511</f>
        <v>9</v>
      </c>
      <c r="I511" s="14">
        <v>8</v>
      </c>
      <c r="J511" s="14">
        <v>6</v>
      </c>
      <c r="K511" s="13" t="s">
        <v>4304</v>
      </c>
      <c r="L511" s="15" t="s">
        <v>782</v>
      </c>
      <c r="M511" s="15">
        <v>327</v>
      </c>
      <c r="N511" s="15">
        <v>677</v>
      </c>
      <c r="Q511" s="15"/>
    </row>
    <row r="512" spans="1:17" ht="22.5" x14ac:dyDescent="0.25">
      <c r="A512" s="11" t="s">
        <v>3751</v>
      </c>
      <c r="B512" s="13" t="s">
        <v>1099</v>
      </c>
      <c r="C512" s="16" t="s">
        <v>1101</v>
      </c>
      <c r="D512" s="13" t="s">
        <v>18</v>
      </c>
      <c r="E512" s="14" t="s">
        <v>1100</v>
      </c>
      <c r="F512" s="13" t="s">
        <v>776</v>
      </c>
      <c r="G512" s="13"/>
      <c r="H512" s="14">
        <f t="shared" si="8"/>
        <v>6</v>
      </c>
      <c r="I512" s="14">
        <v>6</v>
      </c>
      <c r="J512" s="14">
        <v>4</v>
      </c>
      <c r="K512" s="13" t="s">
        <v>4256</v>
      </c>
      <c r="L512" s="15" t="s">
        <v>782</v>
      </c>
      <c r="M512" s="15">
        <v>327</v>
      </c>
      <c r="N512" s="15">
        <v>677</v>
      </c>
      <c r="Q512" s="15"/>
    </row>
    <row r="513" spans="1:17" ht="22.5" x14ac:dyDescent="0.25">
      <c r="A513" s="11" t="s">
        <v>3751</v>
      </c>
      <c r="B513" s="13" t="s">
        <v>2114</v>
      </c>
      <c r="C513" s="16" t="s">
        <v>2115</v>
      </c>
      <c r="D513" s="13" t="s">
        <v>2116</v>
      </c>
      <c r="E513" s="14" t="s">
        <v>2114</v>
      </c>
      <c r="F513" s="13" t="s">
        <v>776</v>
      </c>
      <c r="G513" s="13"/>
      <c r="H513" s="14">
        <f t="shared" si="8"/>
        <v>1</v>
      </c>
      <c r="I513" s="14">
        <v>1</v>
      </c>
      <c r="J513" s="14">
        <v>1</v>
      </c>
      <c r="K513" s="13" t="s">
        <v>4325</v>
      </c>
      <c r="L513" s="15" t="s">
        <v>992</v>
      </c>
      <c r="M513" s="15">
        <v>2170</v>
      </c>
      <c r="N513" s="15">
        <v>6267</v>
      </c>
      <c r="O513" s="45"/>
      <c r="P513" s="45"/>
      <c r="Q513" s="15"/>
    </row>
    <row r="514" spans="1:17" ht="22.5" x14ac:dyDescent="0.25">
      <c r="A514" s="11" t="s">
        <v>3751</v>
      </c>
      <c r="B514" s="13" t="s">
        <v>2114</v>
      </c>
      <c r="C514" s="16" t="s">
        <v>2368</v>
      </c>
      <c r="D514" s="13" t="s">
        <v>1940</v>
      </c>
      <c r="E514" s="14" t="s">
        <v>2369</v>
      </c>
      <c r="F514" s="13" t="s">
        <v>776</v>
      </c>
      <c r="G514" s="13">
        <v>1</v>
      </c>
      <c r="H514" s="14">
        <f t="shared" si="8"/>
        <v>1</v>
      </c>
      <c r="J514" s="14">
        <v>1</v>
      </c>
      <c r="K514" s="13" t="s">
        <v>4452</v>
      </c>
      <c r="L514" s="15" t="s">
        <v>992</v>
      </c>
      <c r="M514" s="15">
        <v>347</v>
      </c>
      <c r="N514" s="15">
        <v>383</v>
      </c>
      <c r="O514" s="45"/>
      <c r="P514" s="45"/>
      <c r="Q514" s="15"/>
    </row>
    <row r="515" spans="1:17" ht="22.5" x14ac:dyDescent="0.25">
      <c r="A515" s="11" t="s">
        <v>3751</v>
      </c>
      <c r="B515" s="13" t="s">
        <v>1264</v>
      </c>
      <c r="C515" s="16" t="s">
        <v>1362</v>
      </c>
      <c r="D515" s="13" t="s">
        <v>39</v>
      </c>
      <c r="E515" s="14" t="s">
        <v>1363</v>
      </c>
      <c r="F515" s="13" t="s">
        <v>776</v>
      </c>
      <c r="G515" s="13">
        <v>1</v>
      </c>
      <c r="H515" s="14">
        <f t="shared" si="8"/>
        <v>3</v>
      </c>
      <c r="I515" s="14">
        <v>2</v>
      </c>
      <c r="J515" s="14">
        <v>3</v>
      </c>
      <c r="K515" s="13" t="s">
        <v>4185</v>
      </c>
      <c r="L515" s="15" t="s">
        <v>992</v>
      </c>
      <c r="M515" s="15">
        <v>743</v>
      </c>
      <c r="N515" s="15">
        <v>837</v>
      </c>
      <c r="Q515" s="15"/>
    </row>
    <row r="516" spans="1:17" ht="22.5" x14ac:dyDescent="0.25">
      <c r="A516" s="11" t="s">
        <v>3751</v>
      </c>
      <c r="B516" s="13" t="s">
        <v>1264</v>
      </c>
      <c r="C516" s="16" t="s">
        <v>2631</v>
      </c>
      <c r="D516" s="13" t="s">
        <v>780</v>
      </c>
      <c r="E516" s="14" t="s">
        <v>1646</v>
      </c>
      <c r="F516" s="13" t="s">
        <v>776</v>
      </c>
      <c r="G516" s="13"/>
      <c r="H516" s="14">
        <f t="shared" si="8"/>
        <v>2</v>
      </c>
      <c r="I516" s="14">
        <v>2</v>
      </c>
      <c r="J516" s="14">
        <v>2</v>
      </c>
      <c r="K516" s="13" t="s">
        <v>4106</v>
      </c>
      <c r="L516" s="15" t="s">
        <v>992</v>
      </c>
      <c r="M516" s="15">
        <v>646</v>
      </c>
      <c r="N516" s="15">
        <v>750</v>
      </c>
      <c r="O516" s="45"/>
      <c r="P516" s="45"/>
      <c r="Q516" s="15"/>
    </row>
    <row r="517" spans="1:17" ht="33.75" x14ac:dyDescent="0.25">
      <c r="A517" s="11" t="s">
        <v>3751</v>
      </c>
      <c r="B517" s="13" t="s">
        <v>1264</v>
      </c>
      <c r="C517" s="16" t="s">
        <v>2147</v>
      </c>
      <c r="D517" s="13" t="s">
        <v>3877</v>
      </c>
      <c r="E517" s="14" t="s">
        <v>1646</v>
      </c>
      <c r="F517" s="13" t="s">
        <v>776</v>
      </c>
      <c r="G517" s="13"/>
      <c r="H517" s="14">
        <f t="shared" si="8"/>
        <v>1</v>
      </c>
      <c r="I517" s="14">
        <v>1</v>
      </c>
      <c r="J517" s="14">
        <v>1</v>
      </c>
      <c r="K517" s="13" t="s">
        <v>684</v>
      </c>
      <c r="L517" s="15" t="s">
        <v>992</v>
      </c>
      <c r="M517" s="15">
        <v>624</v>
      </c>
      <c r="N517" s="15">
        <v>845</v>
      </c>
      <c r="O517" s="45"/>
      <c r="P517" s="45"/>
      <c r="Q517" s="15"/>
    </row>
    <row r="518" spans="1:17" x14ac:dyDescent="0.25">
      <c r="A518" s="11" t="s">
        <v>3751</v>
      </c>
      <c r="B518" s="13" t="s">
        <v>980</v>
      </c>
      <c r="C518" s="16" t="s">
        <v>4091</v>
      </c>
      <c r="D518" s="13" t="s">
        <v>4072</v>
      </c>
      <c r="E518" s="14" t="s">
        <v>4092</v>
      </c>
      <c r="F518" s="13" t="s">
        <v>773</v>
      </c>
      <c r="G518" s="13"/>
      <c r="H518" s="14">
        <f>G518+I518</f>
        <v>1</v>
      </c>
      <c r="I518" s="14">
        <v>1</v>
      </c>
      <c r="J518" s="14">
        <v>1</v>
      </c>
      <c r="K518" s="13" t="s">
        <v>2886</v>
      </c>
      <c r="L518" s="15" t="s">
        <v>668</v>
      </c>
      <c r="M518" s="15">
        <v>901</v>
      </c>
      <c r="N518" s="15">
        <v>779</v>
      </c>
      <c r="Q518" s="15"/>
    </row>
    <row r="519" spans="1:17" ht="22.5" x14ac:dyDescent="0.25">
      <c r="A519" s="11" t="s">
        <v>3751</v>
      </c>
      <c r="B519" s="13" t="s">
        <v>1157</v>
      </c>
      <c r="C519" s="16" t="s">
        <v>1158</v>
      </c>
      <c r="D519" s="13" t="s">
        <v>4072</v>
      </c>
      <c r="E519" s="13" t="s">
        <v>2621</v>
      </c>
      <c r="F519" s="13" t="s">
        <v>773</v>
      </c>
      <c r="G519" s="13"/>
      <c r="H519" s="14">
        <f t="shared" si="8"/>
        <v>2</v>
      </c>
      <c r="I519" s="14">
        <v>2</v>
      </c>
      <c r="J519" s="14">
        <v>2</v>
      </c>
      <c r="K519" s="13" t="s">
        <v>4094</v>
      </c>
      <c r="L519" s="15" t="s">
        <v>1160</v>
      </c>
      <c r="M519" s="15">
        <v>235</v>
      </c>
      <c r="N519" s="15">
        <v>4</v>
      </c>
      <c r="Q519" s="15"/>
    </row>
    <row r="520" spans="1:17" ht="45" x14ac:dyDescent="0.25">
      <c r="A520" s="11" t="s">
        <v>3751</v>
      </c>
      <c r="B520" s="13" t="s">
        <v>1157</v>
      </c>
      <c r="C520" s="16" t="s">
        <v>1209</v>
      </c>
      <c r="D520" s="13" t="s">
        <v>1210</v>
      </c>
      <c r="E520" s="13" t="s">
        <v>2621</v>
      </c>
      <c r="F520" s="13" t="s">
        <v>773</v>
      </c>
      <c r="G520" s="13"/>
      <c r="H520" s="14">
        <f t="shared" si="8"/>
        <v>2</v>
      </c>
      <c r="I520" s="14">
        <v>2</v>
      </c>
      <c r="J520" s="14">
        <v>2</v>
      </c>
      <c r="K520" s="13" t="s">
        <v>2376</v>
      </c>
      <c r="L520" s="15" t="s">
        <v>1160</v>
      </c>
      <c r="M520" s="15">
        <v>235</v>
      </c>
      <c r="N520" s="15">
        <v>4</v>
      </c>
      <c r="Q520" s="15"/>
    </row>
    <row r="521" spans="1:17" ht="33.75" x14ac:dyDescent="0.25">
      <c r="A521" s="11" t="s">
        <v>3751</v>
      </c>
      <c r="B521" s="13" t="s">
        <v>1248</v>
      </c>
      <c r="C521" s="16" t="s">
        <v>4583</v>
      </c>
      <c r="D521" s="13" t="s">
        <v>4584</v>
      </c>
      <c r="E521" s="14" t="s">
        <v>4585</v>
      </c>
      <c r="F521" s="13" t="s">
        <v>773</v>
      </c>
      <c r="G521" s="13"/>
      <c r="H521" s="14">
        <f>G521+I521</f>
        <v>2</v>
      </c>
      <c r="I521" s="14">
        <v>2</v>
      </c>
      <c r="J521" s="14">
        <v>1</v>
      </c>
      <c r="K521" s="13" t="s">
        <v>3281</v>
      </c>
      <c r="L521" s="15" t="s">
        <v>2381</v>
      </c>
      <c r="M521" s="15">
        <v>977</v>
      </c>
      <c r="N521" s="15">
        <v>229</v>
      </c>
      <c r="Q521" s="15"/>
    </row>
    <row r="522" spans="1:17" x14ac:dyDescent="0.25">
      <c r="A522" s="11" t="s">
        <v>3751</v>
      </c>
      <c r="B522" s="13" t="s">
        <v>1248</v>
      </c>
      <c r="C522" s="16" t="s">
        <v>1251</v>
      </c>
      <c r="D522" s="13" t="s">
        <v>2618</v>
      </c>
      <c r="E522" s="14" t="s">
        <v>1248</v>
      </c>
      <c r="F522" s="13" t="s">
        <v>773</v>
      </c>
      <c r="G522" s="13"/>
      <c r="H522" s="14">
        <f t="shared" si="8"/>
        <v>2</v>
      </c>
      <c r="I522" s="14">
        <v>2</v>
      </c>
      <c r="J522" s="14">
        <v>1</v>
      </c>
      <c r="K522" s="13" t="s">
        <v>1564</v>
      </c>
      <c r="L522" s="15" t="s">
        <v>670</v>
      </c>
      <c r="M522" s="15">
        <v>603</v>
      </c>
      <c r="N522" s="15">
        <v>907</v>
      </c>
      <c r="Q522" s="15"/>
    </row>
    <row r="523" spans="1:17" x14ac:dyDescent="0.25">
      <c r="A523" s="11" t="s">
        <v>3751</v>
      </c>
      <c r="B523" s="13" t="s">
        <v>1248</v>
      </c>
      <c r="C523" s="16" t="s">
        <v>4198</v>
      </c>
      <c r="D523" s="13" t="s">
        <v>2618</v>
      </c>
      <c r="E523" s="14" t="s">
        <v>4199</v>
      </c>
      <c r="F523" s="13" t="s">
        <v>773</v>
      </c>
      <c r="G523" s="13"/>
      <c r="H523" s="14">
        <f>G523+I523</f>
        <v>1</v>
      </c>
      <c r="I523" s="14">
        <v>1</v>
      </c>
      <c r="J523" s="14">
        <v>1</v>
      </c>
      <c r="K523" s="13" t="s">
        <v>3162</v>
      </c>
      <c r="L523" s="15" t="s">
        <v>808</v>
      </c>
      <c r="M523" s="15">
        <v>772</v>
      </c>
      <c r="N523" s="15">
        <v>25</v>
      </c>
      <c r="Q523" s="15"/>
    </row>
    <row r="524" spans="1:17" x14ac:dyDescent="0.25">
      <c r="A524" s="11" t="s">
        <v>3751</v>
      </c>
      <c r="B524" s="13" t="s">
        <v>1688</v>
      </c>
      <c r="C524" s="16" t="s">
        <v>4086</v>
      </c>
      <c r="D524" s="13" t="s">
        <v>780</v>
      </c>
      <c r="E524" s="14" t="s">
        <v>4087</v>
      </c>
      <c r="F524" s="13" t="s">
        <v>773</v>
      </c>
      <c r="G524" s="13"/>
      <c r="H524" s="14">
        <f>G524+I524</f>
        <v>2</v>
      </c>
      <c r="I524" s="14">
        <v>2</v>
      </c>
      <c r="J524" s="14">
        <v>1</v>
      </c>
      <c r="K524" s="13" t="s">
        <v>1234</v>
      </c>
      <c r="L524" s="15" t="s">
        <v>802</v>
      </c>
      <c r="M524" s="15">
        <v>879</v>
      </c>
      <c r="N524" s="15">
        <v>592</v>
      </c>
      <c r="Q524" s="15"/>
    </row>
    <row r="525" spans="1:17" ht="33.75" x14ac:dyDescent="0.25">
      <c r="A525" s="11" t="s">
        <v>3751</v>
      </c>
      <c r="B525" s="13" t="s">
        <v>1688</v>
      </c>
      <c r="C525" s="16" t="s">
        <v>4424</v>
      </c>
      <c r="D525" s="13" t="s">
        <v>4425</v>
      </c>
      <c r="E525" s="14" t="s">
        <v>4426</v>
      </c>
      <c r="F525" s="13" t="s">
        <v>773</v>
      </c>
      <c r="G525" s="13">
        <v>1</v>
      </c>
      <c r="H525" s="14">
        <f>G525+I525</f>
        <v>1</v>
      </c>
      <c r="J525" s="14">
        <v>1</v>
      </c>
      <c r="K525" s="13" t="s">
        <v>3189</v>
      </c>
      <c r="L525" s="15" t="s">
        <v>1348</v>
      </c>
      <c r="M525" s="15">
        <v>107</v>
      </c>
      <c r="N525" s="15">
        <v>245</v>
      </c>
      <c r="Q525" s="15"/>
    </row>
    <row r="526" spans="1:17" x14ac:dyDescent="0.25">
      <c r="A526" s="11" t="s">
        <v>3751</v>
      </c>
      <c r="B526" s="13" t="s">
        <v>793</v>
      </c>
      <c r="C526" s="16" t="s">
        <v>4200</v>
      </c>
      <c r="D526" s="13" t="s">
        <v>2620</v>
      </c>
      <c r="E526" s="14" t="s">
        <v>3216</v>
      </c>
      <c r="F526" s="13" t="s">
        <v>773</v>
      </c>
      <c r="G526" s="13"/>
      <c r="H526" s="14">
        <f>G526+I526</f>
        <v>2</v>
      </c>
      <c r="I526" s="14">
        <v>2</v>
      </c>
      <c r="J526" s="14">
        <v>1</v>
      </c>
      <c r="K526" s="13" t="s">
        <v>1564</v>
      </c>
      <c r="L526" s="15" t="s">
        <v>798</v>
      </c>
      <c r="M526" s="15">
        <v>185</v>
      </c>
      <c r="N526" s="15">
        <v>213</v>
      </c>
      <c r="Q526" s="15"/>
    </row>
    <row r="527" spans="1:17" x14ac:dyDescent="0.25">
      <c r="A527" s="11" t="s">
        <v>3751</v>
      </c>
      <c r="B527" s="13" t="s">
        <v>793</v>
      </c>
      <c r="C527" s="16" t="s">
        <v>3897</v>
      </c>
      <c r="D527" s="13" t="s">
        <v>39</v>
      </c>
      <c r="E527" s="14" t="s">
        <v>3898</v>
      </c>
      <c r="F527" s="13" t="s">
        <v>773</v>
      </c>
      <c r="G527" s="13"/>
      <c r="H527" s="14">
        <f>G527+I527</f>
        <v>1</v>
      </c>
      <c r="I527" s="14">
        <v>1</v>
      </c>
      <c r="J527" s="14">
        <v>1</v>
      </c>
      <c r="K527" s="13" t="s">
        <v>224</v>
      </c>
      <c r="L527" s="15" t="s">
        <v>798</v>
      </c>
      <c r="M527" s="15">
        <v>203</v>
      </c>
      <c r="N527" s="15">
        <v>444</v>
      </c>
      <c r="Q527" s="15"/>
    </row>
    <row r="528" spans="1:17" ht="25.5" x14ac:dyDescent="0.25">
      <c r="A528" s="11" t="s">
        <v>3751</v>
      </c>
      <c r="B528" s="13" t="s">
        <v>793</v>
      </c>
      <c r="C528" s="16" t="s">
        <v>2744</v>
      </c>
      <c r="D528" s="13" t="s">
        <v>220</v>
      </c>
      <c r="E528" s="14" t="s">
        <v>2745</v>
      </c>
      <c r="F528" s="13" t="s">
        <v>773</v>
      </c>
      <c r="G528" s="13"/>
      <c r="H528" s="14">
        <f t="shared" si="8"/>
        <v>2</v>
      </c>
      <c r="I528" s="14">
        <v>2</v>
      </c>
      <c r="J528" s="14">
        <v>1</v>
      </c>
      <c r="K528" s="13" t="s">
        <v>1234</v>
      </c>
      <c r="L528" s="15" t="s">
        <v>798</v>
      </c>
      <c r="M528" s="15">
        <v>229</v>
      </c>
      <c r="N528" s="15">
        <v>241</v>
      </c>
      <c r="Q528" s="15"/>
    </row>
    <row r="529" spans="1:17" ht="22.5" x14ac:dyDescent="0.25">
      <c r="A529" s="11" t="s">
        <v>3751</v>
      </c>
      <c r="B529" s="13" t="s">
        <v>793</v>
      </c>
      <c r="C529" s="16" t="s">
        <v>4260</v>
      </c>
      <c r="D529" s="13" t="s">
        <v>4261</v>
      </c>
      <c r="E529" s="14" t="s">
        <v>793</v>
      </c>
      <c r="F529" s="13" t="s">
        <v>773</v>
      </c>
      <c r="G529" s="13"/>
      <c r="H529" s="14">
        <f>G529+I529</f>
        <v>1</v>
      </c>
      <c r="I529" s="14">
        <v>1</v>
      </c>
      <c r="J529" s="14">
        <v>1</v>
      </c>
      <c r="K529" s="13" t="s">
        <v>4262</v>
      </c>
      <c r="L529" s="15" t="s">
        <v>798</v>
      </c>
      <c r="M529" s="15">
        <v>32</v>
      </c>
      <c r="N529" s="15">
        <v>246</v>
      </c>
      <c r="Q529" s="15"/>
    </row>
    <row r="530" spans="1:17" ht="33.75" x14ac:dyDescent="0.25">
      <c r="A530" s="11" t="s">
        <v>3751</v>
      </c>
      <c r="B530" s="13" t="s">
        <v>793</v>
      </c>
      <c r="C530" s="16" t="s">
        <v>3866</v>
      </c>
      <c r="D530" s="13" t="s">
        <v>3867</v>
      </c>
      <c r="E530" s="14" t="s">
        <v>3868</v>
      </c>
      <c r="F530" s="13" t="s">
        <v>773</v>
      </c>
      <c r="G530" s="13"/>
      <c r="H530" s="14">
        <f>G530+I530</f>
        <v>2</v>
      </c>
      <c r="I530" s="14">
        <v>2</v>
      </c>
      <c r="J530" s="14">
        <v>2</v>
      </c>
      <c r="K530" s="13" t="s">
        <v>3870</v>
      </c>
      <c r="L530" s="15" t="s">
        <v>798</v>
      </c>
      <c r="M530" s="15">
        <v>107</v>
      </c>
      <c r="N530" s="15">
        <v>219</v>
      </c>
      <c r="Q530" s="15"/>
    </row>
    <row r="531" spans="1:17" x14ac:dyDescent="0.25">
      <c r="A531" s="11" t="s">
        <v>3751</v>
      </c>
      <c r="B531" s="13" t="s">
        <v>793</v>
      </c>
      <c r="C531" s="16" t="s">
        <v>1369</v>
      </c>
      <c r="D531" s="13" t="s">
        <v>39</v>
      </c>
      <c r="E531" s="14" t="s">
        <v>2356</v>
      </c>
      <c r="F531" s="13" t="s">
        <v>773</v>
      </c>
      <c r="G531" s="13">
        <v>1</v>
      </c>
      <c r="H531" s="14">
        <f t="shared" si="8"/>
        <v>2</v>
      </c>
      <c r="I531" s="14">
        <v>1</v>
      </c>
      <c r="J531" s="14">
        <v>2</v>
      </c>
      <c r="K531" s="13" t="s">
        <v>4429</v>
      </c>
      <c r="L531" s="15" t="s">
        <v>798</v>
      </c>
      <c r="M531" s="15">
        <v>269</v>
      </c>
      <c r="N531" s="15">
        <v>394</v>
      </c>
      <c r="Q531" s="15"/>
    </row>
    <row r="532" spans="1:17" x14ac:dyDescent="0.25">
      <c r="A532" s="11" t="s">
        <v>3751</v>
      </c>
      <c r="B532" s="13" t="s">
        <v>1666</v>
      </c>
      <c r="C532" s="16" t="s">
        <v>4073</v>
      </c>
      <c r="D532" s="13" t="s">
        <v>4072</v>
      </c>
      <c r="E532" s="14" t="s">
        <v>4074</v>
      </c>
      <c r="F532" s="13" t="s">
        <v>773</v>
      </c>
      <c r="G532" s="13"/>
      <c r="H532" s="14">
        <f>G532+I532</f>
        <v>1</v>
      </c>
      <c r="I532" s="14">
        <v>1</v>
      </c>
      <c r="J532" s="14">
        <v>1</v>
      </c>
      <c r="K532" s="13" t="s">
        <v>2206</v>
      </c>
      <c r="L532" s="15" t="s">
        <v>1160</v>
      </c>
      <c r="M532" s="15">
        <v>149</v>
      </c>
      <c r="N532" s="15">
        <v>59</v>
      </c>
      <c r="Q532" s="15"/>
    </row>
    <row r="533" spans="1:17" x14ac:dyDescent="0.25">
      <c r="A533" s="11" t="s">
        <v>3751</v>
      </c>
      <c r="B533" s="13" t="s">
        <v>878</v>
      </c>
      <c r="C533" s="16" t="s">
        <v>4196</v>
      </c>
      <c r="D533" s="13" t="s">
        <v>2620</v>
      </c>
      <c r="E533" s="14" t="s">
        <v>878</v>
      </c>
      <c r="F533" s="13" t="s">
        <v>773</v>
      </c>
      <c r="G533" s="13"/>
      <c r="H533" s="14">
        <f>G533+I533</f>
        <v>1</v>
      </c>
      <c r="I533" s="14">
        <v>1</v>
      </c>
      <c r="J533" s="14">
        <v>1</v>
      </c>
      <c r="K533" s="13" t="s">
        <v>1564</v>
      </c>
      <c r="O533" s="45"/>
      <c r="P533" s="45"/>
      <c r="Q533" s="15"/>
    </row>
    <row r="534" spans="1:17" x14ac:dyDescent="0.25">
      <c r="A534" s="11" t="s">
        <v>3751</v>
      </c>
      <c r="B534" s="13" t="s">
        <v>878</v>
      </c>
      <c r="C534" s="16" t="s">
        <v>4197</v>
      </c>
      <c r="D534" s="13" t="s">
        <v>2620</v>
      </c>
      <c r="E534" s="14" t="s">
        <v>878</v>
      </c>
      <c r="F534" s="13" t="s">
        <v>773</v>
      </c>
      <c r="G534" s="13"/>
      <c r="H534" s="14">
        <f>G534+I534</f>
        <v>1</v>
      </c>
      <c r="I534" s="14">
        <v>1</v>
      </c>
      <c r="J534" s="14">
        <v>1</v>
      </c>
      <c r="K534" s="13" t="s">
        <v>1564</v>
      </c>
      <c r="O534" s="45"/>
      <c r="P534" s="45"/>
      <c r="Q534" s="15"/>
    </row>
    <row r="535" spans="1:17" ht="22.5" x14ac:dyDescent="0.25">
      <c r="A535" s="11" t="s">
        <v>3751</v>
      </c>
      <c r="B535" s="13" t="s">
        <v>1977</v>
      </c>
      <c r="C535" s="16" t="s">
        <v>2148</v>
      </c>
      <c r="D535" s="13" t="s">
        <v>2149</v>
      </c>
      <c r="E535" s="14" t="s">
        <v>2150</v>
      </c>
      <c r="F535" s="13" t="s">
        <v>773</v>
      </c>
      <c r="G535" s="13"/>
      <c r="H535" s="14">
        <f t="shared" si="8"/>
        <v>1</v>
      </c>
      <c r="I535" s="14">
        <v>1</v>
      </c>
      <c r="J535" s="14">
        <v>1</v>
      </c>
      <c r="K535" s="13" t="s">
        <v>1583</v>
      </c>
      <c r="L535" s="15" t="s">
        <v>667</v>
      </c>
      <c r="M535" s="15">
        <v>937</v>
      </c>
      <c r="N535" s="15">
        <v>206</v>
      </c>
      <c r="O535" s="45"/>
      <c r="P535" s="45"/>
      <c r="Q535" s="15"/>
    </row>
    <row r="536" spans="1:17" ht="22.5" x14ac:dyDescent="0.25">
      <c r="A536" s="11" t="s">
        <v>3751</v>
      </c>
      <c r="B536" s="13" t="s">
        <v>804</v>
      </c>
      <c r="C536" s="16" t="s">
        <v>804</v>
      </c>
      <c r="D536" s="13" t="s">
        <v>4500</v>
      </c>
      <c r="E536" s="14" t="s">
        <v>804</v>
      </c>
      <c r="F536" s="13" t="s">
        <v>773</v>
      </c>
      <c r="G536" s="13">
        <v>5</v>
      </c>
      <c r="H536" s="14">
        <f>G536+I536</f>
        <v>5</v>
      </c>
      <c r="J536" s="14">
        <v>3</v>
      </c>
      <c r="K536" s="13" t="s">
        <v>4566</v>
      </c>
      <c r="L536" s="46"/>
      <c r="M536" s="46"/>
      <c r="N536" s="46"/>
      <c r="O536" s="73">
        <v>52.665300000000002</v>
      </c>
      <c r="P536" s="73">
        <v>-8.6237999999999992</v>
      </c>
      <c r="Q536" s="15"/>
    </row>
    <row r="537" spans="1:17" x14ac:dyDescent="0.25">
      <c r="A537" s="11" t="s">
        <v>3751</v>
      </c>
      <c r="B537" s="13" t="s">
        <v>804</v>
      </c>
      <c r="C537" s="16" t="s">
        <v>1423</v>
      </c>
      <c r="D537" s="13" t="s">
        <v>8</v>
      </c>
      <c r="E537" s="14" t="s">
        <v>804</v>
      </c>
      <c r="F537" s="13" t="s">
        <v>773</v>
      </c>
      <c r="G537" s="13"/>
      <c r="H537" s="14">
        <f t="shared" si="8"/>
        <v>3</v>
      </c>
      <c r="I537" s="14">
        <v>3</v>
      </c>
      <c r="J537" s="14">
        <v>2</v>
      </c>
      <c r="K537" s="13" t="s">
        <v>4312</v>
      </c>
      <c r="L537" s="73"/>
      <c r="M537" s="73"/>
      <c r="N537" s="73"/>
      <c r="O537" s="73">
        <v>52.665300000000002</v>
      </c>
      <c r="P537" s="73">
        <v>-8.6237999999999992</v>
      </c>
      <c r="Q537" s="15"/>
    </row>
    <row r="538" spans="1:17" ht="22.5" x14ac:dyDescent="0.25">
      <c r="A538" s="11" t="s">
        <v>3751</v>
      </c>
      <c r="B538" s="13" t="s">
        <v>804</v>
      </c>
      <c r="C538" s="16" t="s">
        <v>1397</v>
      </c>
      <c r="D538" s="13" t="s">
        <v>41</v>
      </c>
      <c r="E538" s="50" t="s">
        <v>2803</v>
      </c>
      <c r="F538" s="13" t="s">
        <v>773</v>
      </c>
      <c r="G538" s="13">
        <v>2</v>
      </c>
      <c r="H538" s="14">
        <f t="shared" si="8"/>
        <v>3</v>
      </c>
      <c r="I538" s="14">
        <v>1</v>
      </c>
      <c r="J538" s="14">
        <v>3</v>
      </c>
      <c r="K538" s="13" t="s">
        <v>4516</v>
      </c>
      <c r="L538" s="15" t="s">
        <v>808</v>
      </c>
      <c r="M538" s="15">
        <v>646</v>
      </c>
      <c r="N538" s="15">
        <v>403</v>
      </c>
      <c r="O538" s="45"/>
      <c r="P538" s="45"/>
      <c r="Q538" s="15"/>
    </row>
    <row r="539" spans="1:17" x14ac:dyDescent="0.25">
      <c r="A539" s="11" t="s">
        <v>3751</v>
      </c>
      <c r="B539" s="13" t="s">
        <v>804</v>
      </c>
      <c r="C539" s="16" t="s">
        <v>1397</v>
      </c>
      <c r="D539" s="13" t="s">
        <v>39</v>
      </c>
      <c r="E539" s="14" t="s">
        <v>804</v>
      </c>
      <c r="F539" s="13" t="s">
        <v>773</v>
      </c>
      <c r="G539" s="13"/>
      <c r="H539" s="14">
        <f>G539+I539</f>
        <v>5</v>
      </c>
      <c r="I539" s="14">
        <v>5</v>
      </c>
      <c r="J539" s="14">
        <v>4</v>
      </c>
      <c r="K539" s="13" t="s">
        <v>3869</v>
      </c>
      <c r="L539" s="15" t="s">
        <v>808</v>
      </c>
      <c r="M539" s="15">
        <v>647</v>
      </c>
      <c r="N539" s="15">
        <v>415</v>
      </c>
      <c r="Q539" s="15"/>
    </row>
    <row r="540" spans="1:17" x14ac:dyDescent="0.25">
      <c r="A540" s="11" t="s">
        <v>3751</v>
      </c>
      <c r="B540" s="13" t="s">
        <v>804</v>
      </c>
      <c r="C540" s="16" t="s">
        <v>3813</v>
      </c>
      <c r="D540" s="13" t="s">
        <v>39</v>
      </c>
      <c r="E540" s="14" t="s">
        <v>804</v>
      </c>
      <c r="F540" s="13" t="s">
        <v>773</v>
      </c>
      <c r="G540" s="13"/>
      <c r="H540" s="14">
        <f t="shared" si="8"/>
        <v>1</v>
      </c>
      <c r="I540" s="14">
        <v>1</v>
      </c>
      <c r="J540" s="14">
        <v>1</v>
      </c>
      <c r="K540" s="13" t="s">
        <v>128</v>
      </c>
      <c r="L540" s="15" t="s">
        <v>808</v>
      </c>
      <c r="M540" s="15">
        <v>647</v>
      </c>
      <c r="N540" s="15">
        <v>415</v>
      </c>
      <c r="Q540" s="15"/>
    </row>
    <row r="541" spans="1:17" x14ac:dyDescent="0.25">
      <c r="A541" s="11" t="s">
        <v>3751</v>
      </c>
      <c r="B541" s="13" t="s">
        <v>804</v>
      </c>
      <c r="C541" s="16" t="s">
        <v>3814</v>
      </c>
      <c r="D541" s="13" t="s">
        <v>39</v>
      </c>
      <c r="E541" s="14" t="s">
        <v>804</v>
      </c>
      <c r="F541" s="13" t="s">
        <v>773</v>
      </c>
      <c r="G541" s="13"/>
      <c r="H541" s="14">
        <f t="shared" ref="H541:H546" si="9">G541+I541</f>
        <v>2</v>
      </c>
      <c r="I541" s="14">
        <v>2</v>
      </c>
      <c r="J541" s="14">
        <v>2</v>
      </c>
      <c r="K541" s="13" t="s">
        <v>3882</v>
      </c>
      <c r="L541" s="15" t="s">
        <v>808</v>
      </c>
      <c r="M541" s="15">
        <v>647</v>
      </c>
      <c r="N541" s="15">
        <v>415</v>
      </c>
      <c r="Q541" s="15"/>
    </row>
    <row r="542" spans="1:17" x14ac:dyDescent="0.25">
      <c r="A542" s="11" t="s">
        <v>3751</v>
      </c>
      <c r="B542" s="13" t="s">
        <v>804</v>
      </c>
      <c r="C542" s="16" t="s">
        <v>3851</v>
      </c>
      <c r="D542" s="13" t="s">
        <v>39</v>
      </c>
      <c r="E542" s="14" t="s">
        <v>804</v>
      </c>
      <c r="F542" s="13" t="s">
        <v>773</v>
      </c>
      <c r="G542" s="13"/>
      <c r="H542" s="14">
        <f t="shared" si="9"/>
        <v>2</v>
      </c>
      <c r="I542" s="14">
        <v>2</v>
      </c>
      <c r="J542" s="14">
        <v>2</v>
      </c>
      <c r="K542" s="13" t="s">
        <v>3870</v>
      </c>
      <c r="L542" s="15" t="s">
        <v>808</v>
      </c>
      <c r="M542" s="15">
        <v>647</v>
      </c>
      <c r="N542" s="15">
        <v>415</v>
      </c>
      <c r="Q542" s="15"/>
    </row>
    <row r="543" spans="1:17" x14ac:dyDescent="0.25">
      <c r="A543" s="11" t="s">
        <v>3751</v>
      </c>
      <c r="B543" s="13" t="s">
        <v>804</v>
      </c>
      <c r="C543" s="16" t="s">
        <v>3852</v>
      </c>
      <c r="D543" s="13" t="s">
        <v>39</v>
      </c>
      <c r="E543" s="14" t="s">
        <v>804</v>
      </c>
      <c r="F543" s="13" t="s">
        <v>773</v>
      </c>
      <c r="G543" s="13"/>
      <c r="H543" s="14">
        <f t="shared" si="9"/>
        <v>1</v>
      </c>
      <c r="I543" s="14">
        <v>1</v>
      </c>
      <c r="J543" s="14">
        <v>1</v>
      </c>
      <c r="K543" s="13" t="s">
        <v>193</v>
      </c>
      <c r="L543" s="15" t="s">
        <v>808</v>
      </c>
      <c r="M543" s="15">
        <v>647</v>
      </c>
      <c r="N543" s="15">
        <v>415</v>
      </c>
      <c r="Q543" s="15"/>
    </row>
    <row r="544" spans="1:17" x14ac:dyDescent="0.25">
      <c r="A544" s="11" t="s">
        <v>3751</v>
      </c>
      <c r="B544" s="13" t="s">
        <v>804</v>
      </c>
      <c r="C544" s="16" t="s">
        <v>3815</v>
      </c>
      <c r="D544" s="13" t="s">
        <v>39</v>
      </c>
      <c r="E544" s="14" t="s">
        <v>804</v>
      </c>
      <c r="F544" s="13" t="s">
        <v>773</v>
      </c>
      <c r="G544" s="13"/>
      <c r="H544" s="14">
        <f t="shared" si="9"/>
        <v>1</v>
      </c>
      <c r="I544" s="14">
        <v>1</v>
      </c>
      <c r="J544" s="14">
        <v>1</v>
      </c>
      <c r="K544" s="13" t="s">
        <v>128</v>
      </c>
      <c r="L544" s="15" t="s">
        <v>808</v>
      </c>
      <c r="M544" s="15">
        <v>647</v>
      </c>
      <c r="N544" s="15">
        <v>415</v>
      </c>
      <c r="Q544" s="15"/>
    </row>
    <row r="545" spans="1:17" x14ac:dyDescent="0.25">
      <c r="A545" s="11" t="s">
        <v>3751</v>
      </c>
      <c r="B545" s="13" t="s">
        <v>804</v>
      </c>
      <c r="C545" s="16" t="s">
        <v>3816</v>
      </c>
      <c r="D545" s="13" t="s">
        <v>39</v>
      </c>
      <c r="E545" s="14" t="s">
        <v>804</v>
      </c>
      <c r="F545" s="13" t="s">
        <v>773</v>
      </c>
      <c r="G545" s="13"/>
      <c r="H545" s="14">
        <f t="shared" si="9"/>
        <v>1</v>
      </c>
      <c r="I545" s="14">
        <v>1</v>
      </c>
      <c r="J545" s="14">
        <v>1</v>
      </c>
      <c r="K545" s="13" t="s">
        <v>128</v>
      </c>
      <c r="L545" s="15" t="s">
        <v>808</v>
      </c>
      <c r="M545" s="15">
        <v>647</v>
      </c>
      <c r="N545" s="15">
        <v>415</v>
      </c>
      <c r="Q545" s="15"/>
    </row>
    <row r="546" spans="1:17" x14ac:dyDescent="0.25">
      <c r="A546" s="11" t="s">
        <v>3751</v>
      </c>
      <c r="B546" s="13" t="s">
        <v>804</v>
      </c>
      <c r="C546" s="16" t="s">
        <v>3853</v>
      </c>
      <c r="D546" s="13" t="s">
        <v>39</v>
      </c>
      <c r="E546" s="14" t="s">
        <v>804</v>
      </c>
      <c r="F546" s="13" t="s">
        <v>773</v>
      </c>
      <c r="G546" s="13"/>
      <c r="H546" s="14">
        <f t="shared" si="9"/>
        <v>1</v>
      </c>
      <c r="I546" s="14">
        <v>1</v>
      </c>
      <c r="J546" s="14">
        <v>1</v>
      </c>
      <c r="K546" s="13" t="s">
        <v>193</v>
      </c>
      <c r="L546" s="15" t="s">
        <v>808</v>
      </c>
      <c r="M546" s="15">
        <v>647</v>
      </c>
      <c r="N546" s="15">
        <v>415</v>
      </c>
      <c r="Q546" s="15"/>
    </row>
    <row r="547" spans="1:17" x14ac:dyDescent="0.25">
      <c r="A547" s="11" t="s">
        <v>3751</v>
      </c>
      <c r="B547" s="13" t="s">
        <v>804</v>
      </c>
      <c r="C547" s="16" t="s">
        <v>2378</v>
      </c>
      <c r="D547" s="13" t="s">
        <v>1207</v>
      </c>
      <c r="E547" s="14" t="s">
        <v>804</v>
      </c>
      <c r="F547" s="13" t="s">
        <v>773</v>
      </c>
      <c r="G547" s="13"/>
      <c r="H547" s="14">
        <f t="shared" si="8"/>
        <v>1</v>
      </c>
      <c r="I547" s="14">
        <v>1</v>
      </c>
      <c r="J547" s="14">
        <v>1</v>
      </c>
      <c r="K547" s="13" t="s">
        <v>173</v>
      </c>
      <c r="L547" s="46" t="s">
        <v>808</v>
      </c>
      <c r="M547" s="46">
        <v>584</v>
      </c>
      <c r="N547" s="46">
        <v>282</v>
      </c>
      <c r="O547" s="45"/>
      <c r="P547" s="45"/>
      <c r="Q547" s="15"/>
    </row>
    <row r="548" spans="1:17" x14ac:dyDescent="0.25">
      <c r="A548" s="11" t="s">
        <v>3751</v>
      </c>
      <c r="B548" s="13" t="s">
        <v>804</v>
      </c>
      <c r="C548" s="16" t="s">
        <v>3817</v>
      </c>
      <c r="D548" s="13" t="s">
        <v>1207</v>
      </c>
      <c r="E548" s="14" t="s">
        <v>804</v>
      </c>
      <c r="F548" s="13" t="s">
        <v>773</v>
      </c>
      <c r="G548" s="13"/>
      <c r="H548" s="14">
        <f>G548+I548</f>
        <v>1</v>
      </c>
      <c r="I548" s="14">
        <v>1</v>
      </c>
      <c r="J548" s="14">
        <v>1</v>
      </c>
      <c r="K548" s="13" t="s">
        <v>128</v>
      </c>
      <c r="L548" s="46" t="s">
        <v>808</v>
      </c>
      <c r="M548" s="46">
        <v>584</v>
      </c>
      <c r="N548" s="46">
        <v>282</v>
      </c>
      <c r="O548" s="45"/>
      <c r="P548" s="45"/>
      <c r="Q548" s="15"/>
    </row>
    <row r="549" spans="1:17" x14ac:dyDescent="0.25">
      <c r="A549" s="11" t="s">
        <v>3751</v>
      </c>
      <c r="B549" s="13" t="s">
        <v>804</v>
      </c>
      <c r="C549" s="16" t="s">
        <v>3818</v>
      </c>
      <c r="D549" s="13" t="s">
        <v>1207</v>
      </c>
      <c r="E549" s="14" t="s">
        <v>804</v>
      </c>
      <c r="F549" s="13" t="s">
        <v>773</v>
      </c>
      <c r="G549" s="13"/>
      <c r="H549" s="14">
        <f>G549+I549</f>
        <v>1</v>
      </c>
      <c r="I549" s="14">
        <v>1</v>
      </c>
      <c r="J549" s="14">
        <v>1</v>
      </c>
      <c r="K549" s="13" t="s">
        <v>128</v>
      </c>
      <c r="L549" s="46" t="s">
        <v>808</v>
      </c>
      <c r="M549" s="46">
        <v>584</v>
      </c>
      <c r="N549" s="46">
        <v>282</v>
      </c>
      <c r="O549" s="45"/>
      <c r="P549" s="45"/>
      <c r="Q549" s="15"/>
    </row>
    <row r="550" spans="1:17" ht="33.75" x14ac:dyDescent="0.25">
      <c r="A550" s="11" t="s">
        <v>3751</v>
      </c>
      <c r="B550" s="13" t="s">
        <v>2456</v>
      </c>
      <c r="C550" s="16" t="s">
        <v>2458</v>
      </c>
      <c r="D550" s="13" t="s">
        <v>2459</v>
      </c>
      <c r="E550" s="14" t="s">
        <v>2456</v>
      </c>
      <c r="F550" s="13" t="s">
        <v>773</v>
      </c>
      <c r="G550" s="13"/>
      <c r="H550" s="14">
        <f t="shared" si="8"/>
        <v>1</v>
      </c>
      <c r="I550" s="14">
        <v>1</v>
      </c>
      <c r="J550" s="14">
        <v>1</v>
      </c>
      <c r="K550" s="13" t="s">
        <v>224</v>
      </c>
      <c r="L550" s="46" t="s">
        <v>667</v>
      </c>
      <c r="M550" s="46">
        <v>103</v>
      </c>
      <c r="N550" s="46">
        <v>625</v>
      </c>
      <c r="O550" s="45"/>
      <c r="P550" s="45"/>
      <c r="Q550" s="15"/>
    </row>
    <row r="551" spans="1:17" x14ac:dyDescent="0.25">
      <c r="A551" s="11" t="s">
        <v>3751</v>
      </c>
      <c r="B551" s="13" t="s">
        <v>2456</v>
      </c>
      <c r="C551" s="16" t="s">
        <v>4460</v>
      </c>
      <c r="D551" s="13" t="s">
        <v>4436</v>
      </c>
      <c r="E551" s="14" t="s">
        <v>2456</v>
      </c>
      <c r="F551" s="13" t="s">
        <v>773</v>
      </c>
      <c r="G551" s="13">
        <v>3</v>
      </c>
      <c r="H551" s="14">
        <f>G551+I551</f>
        <v>3</v>
      </c>
      <c r="J551" s="14">
        <v>2</v>
      </c>
      <c r="K551" s="13" t="s">
        <v>4467</v>
      </c>
      <c r="L551" s="46" t="s">
        <v>667</v>
      </c>
      <c r="M551" s="46">
        <v>55</v>
      </c>
      <c r="N551" s="46">
        <v>870</v>
      </c>
      <c r="O551" s="45"/>
      <c r="P551" s="45"/>
      <c r="Q551" s="15"/>
    </row>
    <row r="552" spans="1:17" x14ac:dyDescent="0.25">
      <c r="A552" s="11" t="s">
        <v>3751</v>
      </c>
      <c r="B552" s="13" t="s">
        <v>984</v>
      </c>
      <c r="C552" s="16" t="s">
        <v>2625</v>
      </c>
      <c r="D552" s="13" t="s">
        <v>1159</v>
      </c>
      <c r="E552" s="14" t="s">
        <v>2626</v>
      </c>
      <c r="F552" s="13" t="s">
        <v>773</v>
      </c>
      <c r="G552" s="13"/>
      <c r="H552" s="14">
        <f t="shared" si="8"/>
        <v>1</v>
      </c>
      <c r="I552" s="14">
        <v>1</v>
      </c>
      <c r="J552" s="14">
        <v>1</v>
      </c>
      <c r="K552" s="13" t="s">
        <v>2886</v>
      </c>
      <c r="L552" s="15" t="s">
        <v>782</v>
      </c>
      <c r="M552" s="15">
        <v>83</v>
      </c>
      <c r="N552" s="15">
        <v>110</v>
      </c>
      <c r="Q552" s="15"/>
    </row>
    <row r="553" spans="1:17" x14ac:dyDescent="0.25">
      <c r="A553" s="11" t="s">
        <v>3751</v>
      </c>
      <c r="B553" s="13" t="s">
        <v>785</v>
      </c>
      <c r="C553" s="16" t="s">
        <v>1204</v>
      </c>
      <c r="D553" s="13" t="s">
        <v>780</v>
      </c>
      <c r="E553" s="14" t="s">
        <v>1205</v>
      </c>
      <c r="F553" s="13" t="s">
        <v>773</v>
      </c>
      <c r="G553" s="13"/>
      <c r="H553" s="14">
        <f t="shared" si="8"/>
        <v>1</v>
      </c>
      <c r="I553" s="14">
        <v>1</v>
      </c>
      <c r="J553" s="14">
        <v>1</v>
      </c>
      <c r="K553" s="13" t="s">
        <v>2901</v>
      </c>
      <c r="L553" s="15" t="s">
        <v>802</v>
      </c>
      <c r="M553" s="15">
        <v>97</v>
      </c>
      <c r="N553" s="15">
        <v>381</v>
      </c>
      <c r="Q553" s="15"/>
    </row>
    <row r="554" spans="1:17" x14ac:dyDescent="0.25">
      <c r="A554" s="11" t="s">
        <v>3751</v>
      </c>
      <c r="B554" s="13" t="s">
        <v>785</v>
      </c>
      <c r="C554" s="16" t="s">
        <v>1204</v>
      </c>
      <c r="D554" s="13" t="s">
        <v>1207</v>
      </c>
      <c r="E554" s="14" t="s">
        <v>1205</v>
      </c>
      <c r="F554" s="13" t="s">
        <v>773</v>
      </c>
      <c r="G554" s="13"/>
      <c r="H554" s="14">
        <f t="shared" si="8"/>
        <v>5</v>
      </c>
      <c r="I554" s="14">
        <v>5</v>
      </c>
      <c r="J554" s="14">
        <v>5</v>
      </c>
      <c r="K554" s="13" t="s">
        <v>3874</v>
      </c>
      <c r="L554" s="15" t="s">
        <v>802</v>
      </c>
      <c r="M554" s="15">
        <v>97</v>
      </c>
      <c r="N554" s="15">
        <v>381</v>
      </c>
      <c r="Q554" s="15"/>
    </row>
    <row r="555" spans="1:17" ht="22.5" x14ac:dyDescent="0.25">
      <c r="A555" s="11" t="s">
        <v>3751</v>
      </c>
      <c r="B555" s="13" t="s">
        <v>785</v>
      </c>
      <c r="C555" s="16" t="s">
        <v>3790</v>
      </c>
      <c r="D555" s="13" t="s">
        <v>3791</v>
      </c>
      <c r="E555" s="14" t="s">
        <v>1986</v>
      </c>
      <c r="F555" s="13" t="s">
        <v>773</v>
      </c>
      <c r="G555" s="13"/>
      <c r="H555" s="14">
        <f>G555+I555</f>
        <v>5</v>
      </c>
      <c r="I555" s="14">
        <v>5</v>
      </c>
      <c r="J555" s="14">
        <v>4</v>
      </c>
      <c r="K555" s="13" t="s">
        <v>3837</v>
      </c>
      <c r="L555" s="15" t="s">
        <v>802</v>
      </c>
      <c r="M555" s="15">
        <v>97</v>
      </c>
      <c r="N555" s="15">
        <v>381</v>
      </c>
      <c r="O555" s="45"/>
      <c r="P555" s="45"/>
      <c r="Q555" s="15"/>
    </row>
    <row r="556" spans="1:17" x14ac:dyDescent="0.25">
      <c r="A556" s="11" t="s">
        <v>3751</v>
      </c>
      <c r="B556" s="13" t="s">
        <v>785</v>
      </c>
      <c r="C556" s="16" t="s">
        <v>1984</v>
      </c>
      <c r="D556" s="13" t="s">
        <v>1985</v>
      </c>
      <c r="E556" s="14" t="s">
        <v>1986</v>
      </c>
      <c r="F556" s="13" t="s">
        <v>773</v>
      </c>
      <c r="G556" s="13">
        <v>1</v>
      </c>
      <c r="H556" s="14">
        <f t="shared" si="8"/>
        <v>6</v>
      </c>
      <c r="I556" s="14">
        <v>5</v>
      </c>
      <c r="J556" s="14">
        <v>6</v>
      </c>
      <c r="K556" s="13" t="s">
        <v>4334</v>
      </c>
      <c r="L556" s="15" t="s">
        <v>802</v>
      </c>
      <c r="M556" s="15">
        <v>52</v>
      </c>
      <c r="N556" s="15">
        <v>408</v>
      </c>
      <c r="O556" s="45"/>
      <c r="P556" s="45"/>
      <c r="Q556" s="15"/>
    </row>
    <row r="557" spans="1:17" ht="22.5" x14ac:dyDescent="0.25">
      <c r="A557" s="11" t="s">
        <v>3751</v>
      </c>
      <c r="B557" s="13" t="s">
        <v>795</v>
      </c>
      <c r="C557" s="16" t="s">
        <v>1237</v>
      </c>
      <c r="D557" s="13" t="s">
        <v>41</v>
      </c>
      <c r="E557" s="14" t="s">
        <v>797</v>
      </c>
      <c r="F557" s="13" t="s">
        <v>773</v>
      </c>
      <c r="G557" s="13">
        <v>1</v>
      </c>
      <c r="H557" s="14">
        <f t="shared" si="8"/>
        <v>7</v>
      </c>
      <c r="I557" s="14">
        <v>6</v>
      </c>
      <c r="J557" s="14">
        <v>6</v>
      </c>
      <c r="K557" s="13" t="s">
        <v>4180</v>
      </c>
      <c r="L557" s="15" t="s">
        <v>798</v>
      </c>
      <c r="M557" s="15">
        <v>24</v>
      </c>
      <c r="N557" s="15">
        <v>737</v>
      </c>
      <c r="Q557" s="15"/>
    </row>
    <row r="558" spans="1:17" x14ac:dyDescent="0.25">
      <c r="A558" s="11" t="s">
        <v>3751</v>
      </c>
      <c r="B558" s="13" t="s">
        <v>795</v>
      </c>
      <c r="C558" s="16" t="s">
        <v>4226</v>
      </c>
      <c r="D558" s="13" t="s">
        <v>18</v>
      </c>
      <c r="E558" s="14" t="s">
        <v>797</v>
      </c>
      <c r="F558" s="13" t="s">
        <v>773</v>
      </c>
      <c r="G558" s="13"/>
      <c r="H558" s="14">
        <f>G558+I558</f>
        <v>1</v>
      </c>
      <c r="I558" s="14">
        <v>1</v>
      </c>
      <c r="J558" s="14">
        <v>1</v>
      </c>
      <c r="K558" s="13" t="s">
        <v>1583</v>
      </c>
      <c r="L558" s="15" t="s">
        <v>798</v>
      </c>
      <c r="M558" s="15">
        <v>24</v>
      </c>
      <c r="N558" s="15">
        <v>737</v>
      </c>
      <c r="Q558" s="15"/>
    </row>
    <row r="559" spans="1:17" ht="22.5" x14ac:dyDescent="0.25">
      <c r="A559" s="11" t="s">
        <v>3751</v>
      </c>
      <c r="B559" s="13" t="s">
        <v>795</v>
      </c>
      <c r="C559" s="16" t="s">
        <v>1156</v>
      </c>
      <c r="D559" s="13" t="s">
        <v>41</v>
      </c>
      <c r="E559" s="14" t="s">
        <v>797</v>
      </c>
      <c r="F559" s="13" t="s">
        <v>773</v>
      </c>
      <c r="G559" s="13">
        <v>1</v>
      </c>
      <c r="H559" s="14">
        <f t="shared" si="8"/>
        <v>7</v>
      </c>
      <c r="I559" s="14">
        <v>6</v>
      </c>
      <c r="J559" s="14">
        <v>5</v>
      </c>
      <c r="K559" s="13" t="s">
        <v>4589</v>
      </c>
      <c r="L559" s="15" t="s">
        <v>798</v>
      </c>
      <c r="M559" s="15">
        <v>109</v>
      </c>
      <c r="N559" s="15">
        <v>620</v>
      </c>
      <c r="Q559" s="15"/>
    </row>
    <row r="560" spans="1:17" ht="22.5" x14ac:dyDescent="0.25">
      <c r="A560" s="11" t="s">
        <v>3751</v>
      </c>
      <c r="B560" s="13" t="s">
        <v>795</v>
      </c>
      <c r="C560" s="16" t="s">
        <v>4171</v>
      </c>
      <c r="D560" s="13" t="s">
        <v>41</v>
      </c>
      <c r="E560" s="14" t="s">
        <v>797</v>
      </c>
      <c r="F560" s="13" t="s">
        <v>773</v>
      </c>
      <c r="G560" s="13"/>
      <c r="H560" s="14">
        <f>G560+I560</f>
        <v>5</v>
      </c>
      <c r="I560" s="14">
        <v>5</v>
      </c>
      <c r="J560" s="14">
        <v>4</v>
      </c>
      <c r="K560" s="13" t="s">
        <v>4181</v>
      </c>
      <c r="L560" s="15" t="s">
        <v>798</v>
      </c>
      <c r="M560" s="15">
        <v>109</v>
      </c>
      <c r="N560" s="15">
        <v>620</v>
      </c>
      <c r="Q560" s="15"/>
    </row>
    <row r="561" spans="1:17" ht="22.5" x14ac:dyDescent="0.25">
      <c r="A561" s="11" t="s">
        <v>3751</v>
      </c>
      <c r="B561" s="13" t="s">
        <v>795</v>
      </c>
      <c r="C561" s="16" t="s">
        <v>2724</v>
      </c>
      <c r="D561" s="13" t="s">
        <v>41</v>
      </c>
      <c r="E561" s="14" t="s">
        <v>797</v>
      </c>
      <c r="F561" s="13" t="s">
        <v>773</v>
      </c>
      <c r="G561" s="13"/>
      <c r="H561" s="14">
        <f t="shared" si="8"/>
        <v>1</v>
      </c>
      <c r="I561" s="14">
        <v>1</v>
      </c>
      <c r="J561" s="14">
        <v>1</v>
      </c>
      <c r="K561" s="13" t="s">
        <v>3068</v>
      </c>
      <c r="L561" s="15" t="s">
        <v>798</v>
      </c>
      <c r="M561" s="15">
        <v>109</v>
      </c>
      <c r="N561" s="15">
        <v>620</v>
      </c>
      <c r="Q561" s="15"/>
    </row>
    <row r="562" spans="1:17" ht="33.75" x14ac:dyDescent="0.25">
      <c r="A562" s="11" t="s">
        <v>3751</v>
      </c>
      <c r="B562" s="13" t="s">
        <v>795</v>
      </c>
      <c r="C562" s="16" t="s">
        <v>983</v>
      </c>
      <c r="D562" s="13" t="s">
        <v>4255</v>
      </c>
      <c r="E562" s="14" t="s">
        <v>797</v>
      </c>
      <c r="F562" s="13" t="s">
        <v>773</v>
      </c>
      <c r="G562" s="13">
        <v>7</v>
      </c>
      <c r="H562" s="14">
        <f t="shared" si="8"/>
        <v>25</v>
      </c>
      <c r="I562" s="14">
        <v>18</v>
      </c>
      <c r="J562" s="14">
        <v>15</v>
      </c>
      <c r="K562" s="13" t="s">
        <v>4607</v>
      </c>
      <c r="L562" s="15" t="s">
        <v>667</v>
      </c>
      <c r="M562" s="15">
        <v>996</v>
      </c>
      <c r="N562" s="15">
        <v>735</v>
      </c>
      <c r="Q562" s="15"/>
    </row>
    <row r="563" spans="1:17" ht="22.5" x14ac:dyDescent="0.25">
      <c r="A563" s="11" t="s">
        <v>3751</v>
      </c>
      <c r="B563" s="13" t="s">
        <v>795</v>
      </c>
      <c r="C563" s="16" t="s">
        <v>983</v>
      </c>
      <c r="D563" s="13" t="s">
        <v>1212</v>
      </c>
      <c r="E563" s="14" t="s">
        <v>797</v>
      </c>
      <c r="F563" s="13" t="s">
        <v>773</v>
      </c>
      <c r="G563" s="13"/>
      <c r="H563" s="14">
        <f t="shared" si="8"/>
        <v>6</v>
      </c>
      <c r="I563" s="14">
        <v>6</v>
      </c>
      <c r="J563" s="14">
        <v>4</v>
      </c>
      <c r="K563" s="13" t="s">
        <v>3871</v>
      </c>
      <c r="L563" s="15" t="s">
        <v>667</v>
      </c>
      <c r="M563" s="15">
        <v>996</v>
      </c>
      <c r="N563" s="15">
        <v>735</v>
      </c>
      <c r="Q563" s="15"/>
    </row>
    <row r="564" spans="1:17" ht="25.5" x14ac:dyDescent="0.25">
      <c r="A564" s="11" t="s">
        <v>3751</v>
      </c>
      <c r="B564" s="13" t="s">
        <v>795</v>
      </c>
      <c r="C564" s="16" t="s">
        <v>4182</v>
      </c>
      <c r="D564" s="13" t="s">
        <v>800</v>
      </c>
      <c r="E564" s="14" t="s">
        <v>797</v>
      </c>
      <c r="F564" s="13" t="s">
        <v>773</v>
      </c>
      <c r="G564" s="13">
        <v>7</v>
      </c>
      <c r="H564" s="14">
        <f t="shared" si="8"/>
        <v>11</v>
      </c>
      <c r="I564" s="14">
        <v>4</v>
      </c>
      <c r="J564" s="14">
        <v>7</v>
      </c>
      <c r="K564" s="13" t="s">
        <v>4195</v>
      </c>
      <c r="L564" s="15" t="s">
        <v>667</v>
      </c>
      <c r="M564" s="15">
        <v>585</v>
      </c>
      <c r="N564" s="15">
        <v>775</v>
      </c>
      <c r="Q564" s="15"/>
    </row>
    <row r="565" spans="1:17" ht="22.5" x14ac:dyDescent="0.25">
      <c r="A565" s="11" t="s">
        <v>3751</v>
      </c>
      <c r="B565" s="13" t="s">
        <v>795</v>
      </c>
      <c r="C565" s="16" t="s">
        <v>2726</v>
      </c>
      <c r="D565" s="13" t="s">
        <v>41</v>
      </c>
      <c r="E565" s="14" t="s">
        <v>797</v>
      </c>
      <c r="F565" s="13" t="s">
        <v>773</v>
      </c>
      <c r="G565" s="13"/>
      <c r="H565" s="14">
        <f t="shared" si="8"/>
        <v>1</v>
      </c>
      <c r="I565" s="14">
        <v>1</v>
      </c>
      <c r="J565" s="14">
        <v>1</v>
      </c>
      <c r="K565" s="13" t="s">
        <v>1552</v>
      </c>
      <c r="L565" s="15" t="s">
        <v>667</v>
      </c>
      <c r="M565" s="15">
        <v>585</v>
      </c>
      <c r="N565" s="15">
        <v>775</v>
      </c>
      <c r="Q565" s="15"/>
    </row>
    <row r="566" spans="1:17" ht="22.5" x14ac:dyDescent="0.25">
      <c r="A566" s="11" t="s">
        <v>3751</v>
      </c>
      <c r="B566" s="13" t="s">
        <v>795</v>
      </c>
      <c r="C566" s="16" t="s">
        <v>2727</v>
      </c>
      <c r="D566" s="13" t="s">
        <v>41</v>
      </c>
      <c r="E566" s="14" t="s">
        <v>797</v>
      </c>
      <c r="F566" s="13" t="s">
        <v>773</v>
      </c>
      <c r="G566" s="13"/>
      <c r="H566" s="14">
        <f t="shared" si="8"/>
        <v>1</v>
      </c>
      <c r="I566" s="14">
        <v>1</v>
      </c>
      <c r="J566" s="14">
        <v>1</v>
      </c>
      <c r="K566" s="13" t="s">
        <v>1552</v>
      </c>
      <c r="L566" s="15" t="s">
        <v>667</v>
      </c>
      <c r="M566" s="15">
        <v>585</v>
      </c>
      <c r="N566" s="15">
        <v>775</v>
      </c>
      <c r="Q566" s="15"/>
    </row>
    <row r="567" spans="1:17" ht="25.5" x14ac:dyDescent="0.25">
      <c r="A567" s="11" t="s">
        <v>3751</v>
      </c>
      <c r="B567" s="13" t="s">
        <v>795</v>
      </c>
      <c r="C567" s="16" t="s">
        <v>4183</v>
      </c>
      <c r="D567" s="13" t="s">
        <v>100</v>
      </c>
      <c r="E567" s="14" t="s">
        <v>797</v>
      </c>
      <c r="F567" s="13" t="s">
        <v>773</v>
      </c>
      <c r="G567" s="13"/>
      <c r="H567" s="14">
        <f>G567+I567</f>
        <v>1</v>
      </c>
      <c r="I567" s="14">
        <v>1</v>
      </c>
      <c r="J567" s="14">
        <v>1</v>
      </c>
      <c r="K567" s="13" t="s">
        <v>1552</v>
      </c>
      <c r="L567" s="15" t="s">
        <v>667</v>
      </c>
      <c r="M567" s="15">
        <v>578</v>
      </c>
      <c r="N567" s="15">
        <v>771</v>
      </c>
      <c r="Q567" s="15"/>
    </row>
    <row r="568" spans="1:17" ht="25.5" x14ac:dyDescent="0.25">
      <c r="A568" s="11" t="s">
        <v>3751</v>
      </c>
      <c r="B568" s="13" t="s">
        <v>795</v>
      </c>
      <c r="C568" s="16" t="s">
        <v>4174</v>
      </c>
      <c r="D568" s="13" t="s">
        <v>41</v>
      </c>
      <c r="E568" s="14" t="s">
        <v>797</v>
      </c>
      <c r="F568" s="13" t="s">
        <v>773</v>
      </c>
      <c r="G568" s="13"/>
      <c r="H568" s="14">
        <f t="shared" si="8"/>
        <v>8</v>
      </c>
      <c r="I568" s="14">
        <v>8</v>
      </c>
      <c r="J568" s="14">
        <v>5</v>
      </c>
      <c r="K568" s="13" t="s">
        <v>4587</v>
      </c>
      <c r="L568" s="15" t="s">
        <v>667</v>
      </c>
      <c r="M568" s="15">
        <v>585</v>
      </c>
      <c r="N568" s="15">
        <v>775</v>
      </c>
      <c r="Q568" s="15"/>
    </row>
    <row r="569" spans="1:17" ht="22.5" x14ac:dyDescent="0.25">
      <c r="A569" s="11" t="s">
        <v>3751</v>
      </c>
      <c r="B569" s="13" t="s">
        <v>795</v>
      </c>
      <c r="C569" s="16" t="s">
        <v>1240</v>
      </c>
      <c r="D569" s="13" t="s">
        <v>3809</v>
      </c>
      <c r="E569" s="14" t="s">
        <v>797</v>
      </c>
      <c r="F569" s="13" t="s">
        <v>773</v>
      </c>
      <c r="G569" s="13"/>
      <c r="H569" s="14">
        <f t="shared" si="8"/>
        <v>1</v>
      </c>
      <c r="I569" s="14">
        <v>1</v>
      </c>
      <c r="J569" s="14">
        <v>1</v>
      </c>
      <c r="K569" s="13" t="s">
        <v>193</v>
      </c>
      <c r="L569" s="15" t="s">
        <v>798</v>
      </c>
      <c r="M569" s="15">
        <v>6</v>
      </c>
      <c r="N569" s="15">
        <v>755</v>
      </c>
      <c r="Q569" s="15"/>
    </row>
    <row r="570" spans="1:17" ht="22.5" x14ac:dyDescent="0.25">
      <c r="A570" s="11" t="s">
        <v>3751</v>
      </c>
      <c r="B570" s="13" t="s">
        <v>795</v>
      </c>
      <c r="C570" s="16" t="s">
        <v>796</v>
      </c>
      <c r="D570" s="13" t="s">
        <v>800</v>
      </c>
      <c r="E570" s="14" t="s">
        <v>797</v>
      </c>
      <c r="F570" s="13" t="s">
        <v>773</v>
      </c>
      <c r="G570" s="13">
        <v>2</v>
      </c>
      <c r="H570" s="14">
        <f t="shared" si="8"/>
        <v>19</v>
      </c>
      <c r="I570" s="14">
        <v>17</v>
      </c>
      <c r="J570" s="14">
        <v>14</v>
      </c>
      <c r="K570" s="13" t="s">
        <v>4608</v>
      </c>
      <c r="L570" s="15" t="s">
        <v>798</v>
      </c>
      <c r="M570" s="15">
        <v>6</v>
      </c>
      <c r="N570" s="15">
        <v>727</v>
      </c>
      <c r="Q570" s="15"/>
    </row>
    <row r="571" spans="1:17" ht="22.5" x14ac:dyDescent="0.25">
      <c r="A571" s="11" t="s">
        <v>3751</v>
      </c>
      <c r="B571" s="13" t="s">
        <v>795</v>
      </c>
      <c r="C571" s="16" t="s">
        <v>796</v>
      </c>
      <c r="D571" s="13" t="s">
        <v>1212</v>
      </c>
      <c r="E571" s="14" t="s">
        <v>797</v>
      </c>
      <c r="F571" s="13" t="s">
        <v>773</v>
      </c>
      <c r="G571" s="13"/>
      <c r="H571" s="14">
        <f t="shared" si="8"/>
        <v>3</v>
      </c>
      <c r="I571" s="14">
        <v>3</v>
      </c>
      <c r="J571" s="14">
        <v>3</v>
      </c>
      <c r="K571" s="13" t="s">
        <v>3878</v>
      </c>
      <c r="L571" s="15" t="s">
        <v>798</v>
      </c>
      <c r="M571" s="15">
        <v>6</v>
      </c>
      <c r="N571" s="15">
        <v>727</v>
      </c>
      <c r="Q571" s="15"/>
    </row>
    <row r="572" spans="1:17" x14ac:dyDescent="0.25">
      <c r="A572" s="11" t="s">
        <v>3751</v>
      </c>
      <c r="B572" s="13" t="s">
        <v>795</v>
      </c>
      <c r="C572" s="16" t="s">
        <v>3819</v>
      </c>
      <c r="D572" s="13" t="s">
        <v>1207</v>
      </c>
      <c r="E572" s="14" t="s">
        <v>797</v>
      </c>
      <c r="F572" s="13" t="s">
        <v>773</v>
      </c>
      <c r="G572" s="13"/>
      <c r="H572" s="14">
        <f>G572+I572</f>
        <v>2</v>
      </c>
      <c r="I572" s="14">
        <v>2</v>
      </c>
      <c r="J572" s="14">
        <v>2</v>
      </c>
      <c r="K572" s="13" t="s">
        <v>3838</v>
      </c>
      <c r="O572" s="15">
        <v>27510</v>
      </c>
      <c r="P572" s="15">
        <v>28900</v>
      </c>
      <c r="Q572" s="15"/>
    </row>
    <row r="573" spans="1:17" x14ac:dyDescent="0.25">
      <c r="A573" s="11" t="s">
        <v>3751</v>
      </c>
      <c r="B573" s="13" t="s">
        <v>795</v>
      </c>
      <c r="C573" s="16" t="s">
        <v>3839</v>
      </c>
      <c r="D573" s="13" t="s">
        <v>1207</v>
      </c>
      <c r="E573" s="14" t="s">
        <v>797</v>
      </c>
      <c r="F573" s="13" t="s">
        <v>773</v>
      </c>
      <c r="G573" s="13"/>
      <c r="H573" s="14">
        <f>G573+I573</f>
        <v>2</v>
      </c>
      <c r="I573" s="14">
        <v>2</v>
      </c>
      <c r="J573" s="14">
        <v>2</v>
      </c>
      <c r="K573" s="13" t="s">
        <v>3891</v>
      </c>
      <c r="L573" s="15" t="s">
        <v>667</v>
      </c>
      <c r="M573" s="15">
        <v>932</v>
      </c>
      <c r="N573" s="15">
        <v>805</v>
      </c>
      <c r="Q573" s="15"/>
    </row>
    <row r="574" spans="1:17" ht="22.5" x14ac:dyDescent="0.25">
      <c r="A574" s="11" t="s">
        <v>3751</v>
      </c>
      <c r="B574" s="13" t="s">
        <v>795</v>
      </c>
      <c r="C574" s="16" t="s">
        <v>1451</v>
      </c>
      <c r="D574" s="13" t="s">
        <v>41</v>
      </c>
      <c r="E574" s="14" t="s">
        <v>797</v>
      </c>
      <c r="F574" s="13" t="s">
        <v>773</v>
      </c>
      <c r="G574" s="13">
        <v>1</v>
      </c>
      <c r="H574" s="14">
        <f t="shared" si="8"/>
        <v>2</v>
      </c>
      <c r="I574" s="14">
        <v>1</v>
      </c>
      <c r="J574" s="14">
        <v>2</v>
      </c>
      <c r="K574" s="13" t="s">
        <v>4538</v>
      </c>
      <c r="L574" s="15" t="s">
        <v>667</v>
      </c>
      <c r="M574" s="15">
        <v>91917</v>
      </c>
      <c r="N574" s="15">
        <v>59833</v>
      </c>
      <c r="Q574" s="15"/>
    </row>
    <row r="575" spans="1:17" ht="33.75" x14ac:dyDescent="0.25">
      <c r="A575" s="11" t="s">
        <v>3751</v>
      </c>
      <c r="B575" s="13" t="s">
        <v>795</v>
      </c>
      <c r="C575" s="16" t="s">
        <v>1213</v>
      </c>
      <c r="D575" s="13" t="s">
        <v>3879</v>
      </c>
      <c r="E575" s="14" t="s">
        <v>797</v>
      </c>
      <c r="F575" s="13" t="s">
        <v>773</v>
      </c>
      <c r="G575" s="13"/>
      <c r="H575" s="14">
        <f t="shared" si="8"/>
        <v>2</v>
      </c>
      <c r="I575" s="14">
        <v>2</v>
      </c>
      <c r="J575" s="14">
        <v>2</v>
      </c>
      <c r="K575" s="13" t="s">
        <v>3880</v>
      </c>
      <c r="L575" s="15" t="s">
        <v>798</v>
      </c>
      <c r="M575" s="15">
        <v>23</v>
      </c>
      <c r="N575" s="15">
        <v>758</v>
      </c>
      <c r="Q575" s="15"/>
    </row>
    <row r="576" spans="1:17" x14ac:dyDescent="0.25">
      <c r="A576" s="11" t="s">
        <v>3751</v>
      </c>
      <c r="B576" s="13" t="s">
        <v>4076</v>
      </c>
      <c r="C576" s="16" t="s">
        <v>4077</v>
      </c>
      <c r="D576" s="13" t="s">
        <v>4072</v>
      </c>
      <c r="E576" s="14" t="s">
        <v>4078</v>
      </c>
      <c r="F576" s="13" t="s">
        <v>773</v>
      </c>
      <c r="G576" s="13"/>
      <c r="H576" s="14">
        <f>G576+I576</f>
        <v>3</v>
      </c>
      <c r="I576" s="14">
        <v>3</v>
      </c>
      <c r="J576" s="14">
        <v>1</v>
      </c>
      <c r="K576" s="13" t="s">
        <v>1234</v>
      </c>
      <c r="L576" s="15" t="s">
        <v>802</v>
      </c>
      <c r="M576" s="15">
        <v>796</v>
      </c>
      <c r="N576" s="15">
        <v>24</v>
      </c>
      <c r="Q576" s="15"/>
    </row>
    <row r="577" spans="1:17" ht="45" x14ac:dyDescent="0.25">
      <c r="A577" s="11" t="s">
        <v>3751</v>
      </c>
      <c r="B577" s="13" t="s">
        <v>772</v>
      </c>
      <c r="C577" s="16" t="s">
        <v>801</v>
      </c>
      <c r="D577" s="13" t="s">
        <v>4501</v>
      </c>
      <c r="E577" s="14" t="s">
        <v>772</v>
      </c>
      <c r="F577" s="14" t="s">
        <v>773</v>
      </c>
      <c r="G577" s="13">
        <v>7</v>
      </c>
      <c r="H577" s="14">
        <f t="shared" si="8"/>
        <v>7</v>
      </c>
      <c r="J577" s="14">
        <v>6</v>
      </c>
      <c r="K577" s="13" t="s">
        <v>4537</v>
      </c>
      <c r="L577" s="15" t="s">
        <v>802</v>
      </c>
      <c r="M577" s="15">
        <v>755</v>
      </c>
      <c r="N577" s="15">
        <v>115</v>
      </c>
      <c r="Q577" s="15"/>
    </row>
    <row r="578" spans="1:17" ht="45" x14ac:dyDescent="0.25">
      <c r="A578" s="11" t="s">
        <v>3751</v>
      </c>
      <c r="B578" s="13" t="s">
        <v>772</v>
      </c>
      <c r="C578" s="16" t="s">
        <v>801</v>
      </c>
      <c r="D578" s="13" t="s">
        <v>3873</v>
      </c>
      <c r="E578" s="14" t="s">
        <v>772</v>
      </c>
      <c r="F578" s="14" t="s">
        <v>773</v>
      </c>
      <c r="G578" s="13">
        <v>1</v>
      </c>
      <c r="H578" s="14">
        <f t="shared" si="8"/>
        <v>9</v>
      </c>
      <c r="I578" s="14">
        <v>8</v>
      </c>
      <c r="J578" s="14">
        <v>6</v>
      </c>
      <c r="K578" s="13" t="s">
        <v>4184</v>
      </c>
      <c r="L578" s="15" t="s">
        <v>802</v>
      </c>
      <c r="M578" s="15">
        <v>755</v>
      </c>
      <c r="N578" s="15">
        <v>115</v>
      </c>
      <c r="Q578" s="15"/>
    </row>
    <row r="579" spans="1:17" ht="22.5" x14ac:dyDescent="0.25">
      <c r="A579" s="11" t="s">
        <v>3751</v>
      </c>
      <c r="B579" s="13" t="s">
        <v>772</v>
      </c>
      <c r="C579" s="16" t="s">
        <v>806</v>
      </c>
      <c r="D579" s="13" t="s">
        <v>800</v>
      </c>
      <c r="E579" s="14" t="s">
        <v>1220</v>
      </c>
      <c r="F579" s="14" t="s">
        <v>773</v>
      </c>
      <c r="G579" s="13">
        <v>2</v>
      </c>
      <c r="H579" s="14">
        <f t="shared" si="8"/>
        <v>11</v>
      </c>
      <c r="I579" s="14">
        <v>9</v>
      </c>
      <c r="J579" s="14">
        <v>7</v>
      </c>
      <c r="K579" s="13" t="s">
        <v>4316</v>
      </c>
      <c r="L579" s="15" t="s">
        <v>802</v>
      </c>
      <c r="M579" s="15">
        <v>663</v>
      </c>
      <c r="N579" s="15">
        <v>337</v>
      </c>
      <c r="Q579" s="15"/>
    </row>
    <row r="580" spans="1:17" x14ac:dyDescent="0.25">
      <c r="A580" s="11" t="s">
        <v>3751</v>
      </c>
      <c r="B580" s="13" t="s">
        <v>772</v>
      </c>
      <c r="C580" s="15" t="s">
        <v>1225</v>
      </c>
      <c r="D580" s="13" t="s">
        <v>780</v>
      </c>
      <c r="E580" s="14" t="s">
        <v>1220</v>
      </c>
      <c r="F580" s="14" t="s">
        <v>773</v>
      </c>
      <c r="G580" s="13">
        <v>1</v>
      </c>
      <c r="H580" s="14">
        <f t="shared" ref="H580:H626" si="10">G580+I580</f>
        <v>5</v>
      </c>
      <c r="I580" s="14">
        <v>4</v>
      </c>
      <c r="J580" s="14">
        <v>4</v>
      </c>
      <c r="K580" s="13" t="s">
        <v>4432</v>
      </c>
      <c r="L580" s="15" t="s">
        <v>802</v>
      </c>
      <c r="M580" s="15">
        <v>663</v>
      </c>
      <c r="N580" s="15">
        <v>545</v>
      </c>
      <c r="Q580" s="15"/>
    </row>
    <row r="581" spans="1:17" x14ac:dyDescent="0.25">
      <c r="A581" s="11" t="s">
        <v>3751</v>
      </c>
      <c r="B581" s="13" t="s">
        <v>772</v>
      </c>
      <c r="C581" s="16" t="s">
        <v>2125</v>
      </c>
      <c r="D581" s="13" t="s">
        <v>2069</v>
      </c>
      <c r="E581" s="14" t="s">
        <v>2126</v>
      </c>
      <c r="F581" s="14" t="s">
        <v>773</v>
      </c>
      <c r="G581" s="13"/>
      <c r="H581" s="14">
        <f t="shared" si="10"/>
        <v>1</v>
      </c>
      <c r="I581" s="14">
        <v>1</v>
      </c>
      <c r="J581" s="14">
        <v>1</v>
      </c>
      <c r="K581" s="13" t="s">
        <v>1552</v>
      </c>
      <c r="L581" s="15" t="s">
        <v>802</v>
      </c>
      <c r="M581" s="15">
        <v>626</v>
      </c>
      <c r="N581" s="15">
        <v>347</v>
      </c>
      <c r="Q581" s="15"/>
    </row>
    <row r="582" spans="1:17" ht="33.75" x14ac:dyDescent="0.25">
      <c r="A582" s="11" t="s">
        <v>3751</v>
      </c>
      <c r="B582" s="13" t="s">
        <v>772</v>
      </c>
      <c r="C582" s="16" t="s">
        <v>2125</v>
      </c>
      <c r="D582" s="13" t="s">
        <v>3872</v>
      </c>
      <c r="E582" s="14" t="s">
        <v>2126</v>
      </c>
      <c r="F582" s="14" t="s">
        <v>773</v>
      </c>
      <c r="G582" s="13"/>
      <c r="H582" s="14">
        <f t="shared" si="10"/>
        <v>1</v>
      </c>
      <c r="I582" s="14">
        <v>1</v>
      </c>
      <c r="J582" s="14">
        <v>1</v>
      </c>
      <c r="K582" s="13" t="s">
        <v>684</v>
      </c>
      <c r="L582" s="15" t="s">
        <v>802</v>
      </c>
      <c r="M582" s="15">
        <v>626</v>
      </c>
      <c r="N582" s="15">
        <v>347</v>
      </c>
      <c r="Q582" s="15"/>
    </row>
    <row r="583" spans="1:17" ht="33.75" x14ac:dyDescent="0.25">
      <c r="A583" s="11" t="s">
        <v>3751</v>
      </c>
      <c r="B583" s="13" t="s">
        <v>772</v>
      </c>
      <c r="C583" s="16" t="s">
        <v>4172</v>
      </c>
      <c r="D583" s="13" t="s">
        <v>4173</v>
      </c>
      <c r="E583" s="14" t="s">
        <v>2125</v>
      </c>
      <c r="F583" s="14" t="s">
        <v>773</v>
      </c>
      <c r="G583" s="13"/>
      <c r="H583" s="14">
        <f>G583+I583</f>
        <v>2</v>
      </c>
      <c r="I583" s="14">
        <v>2</v>
      </c>
      <c r="J583" s="14">
        <v>2</v>
      </c>
      <c r="K583" s="13" t="s">
        <v>4176</v>
      </c>
      <c r="L583" s="15" t="s">
        <v>802</v>
      </c>
      <c r="M583" s="15">
        <v>625</v>
      </c>
      <c r="N583" s="15">
        <v>345</v>
      </c>
      <c r="Q583" s="15"/>
    </row>
    <row r="584" spans="1:17" ht="25.5" x14ac:dyDescent="0.25">
      <c r="A584" s="11" t="s">
        <v>3751</v>
      </c>
      <c r="B584" s="13" t="s">
        <v>772</v>
      </c>
      <c r="C584" s="16" t="s">
        <v>2627</v>
      </c>
      <c r="D584" s="13" t="s">
        <v>780</v>
      </c>
      <c r="E584" s="14" t="s">
        <v>772</v>
      </c>
      <c r="F584" s="14" t="s">
        <v>773</v>
      </c>
      <c r="G584" s="13"/>
      <c r="H584" s="14">
        <f t="shared" si="10"/>
        <v>1</v>
      </c>
      <c r="I584" s="14">
        <v>1</v>
      </c>
      <c r="J584" s="14">
        <v>1</v>
      </c>
      <c r="K584" s="13" t="s">
        <v>2901</v>
      </c>
      <c r="L584" s="15" t="s">
        <v>802</v>
      </c>
      <c r="M584" s="15">
        <v>753</v>
      </c>
      <c r="N584" s="15">
        <v>367</v>
      </c>
      <c r="Q584" s="15"/>
    </row>
    <row r="585" spans="1:17" x14ac:dyDescent="0.25">
      <c r="A585" s="11" t="s">
        <v>3751</v>
      </c>
      <c r="B585" s="13" t="s">
        <v>1245</v>
      </c>
      <c r="C585" s="16" t="s">
        <v>4201</v>
      </c>
      <c r="D585" s="13" t="s">
        <v>2620</v>
      </c>
      <c r="E585" s="14" t="s">
        <v>4089</v>
      </c>
      <c r="F585" s="14" t="s">
        <v>773</v>
      </c>
      <c r="G585" s="13"/>
      <c r="H585" s="14">
        <f>G585+I585</f>
        <v>4</v>
      </c>
      <c r="I585" s="14">
        <v>4</v>
      </c>
      <c r="J585" s="14">
        <v>2</v>
      </c>
      <c r="K585" s="13" t="s">
        <v>4202</v>
      </c>
      <c r="L585" s="15" t="s">
        <v>808</v>
      </c>
      <c r="M585" s="15">
        <v>847</v>
      </c>
      <c r="N585" s="15">
        <v>601</v>
      </c>
      <c r="Q585" s="15"/>
    </row>
    <row r="586" spans="1:17" x14ac:dyDescent="0.25">
      <c r="A586" s="11" t="s">
        <v>3751</v>
      </c>
      <c r="B586" s="13" t="s">
        <v>1245</v>
      </c>
      <c r="C586" s="16" t="s">
        <v>4088</v>
      </c>
      <c r="D586" s="13" t="s">
        <v>780</v>
      </c>
      <c r="E586" s="14" t="s">
        <v>4089</v>
      </c>
      <c r="F586" s="14" t="s">
        <v>773</v>
      </c>
      <c r="G586" s="13"/>
      <c r="H586" s="14">
        <f>G586+I586</f>
        <v>3</v>
      </c>
      <c r="I586" s="14">
        <v>3</v>
      </c>
      <c r="J586" s="14">
        <v>2</v>
      </c>
      <c r="K586" s="13" t="s">
        <v>4105</v>
      </c>
      <c r="L586" s="15" t="s">
        <v>808</v>
      </c>
      <c r="M586" s="15">
        <v>845</v>
      </c>
      <c r="N586" s="15">
        <v>587</v>
      </c>
      <c r="Q586" s="15"/>
    </row>
    <row r="587" spans="1:17" x14ac:dyDescent="0.25">
      <c r="A587" s="11" t="s">
        <v>3751</v>
      </c>
      <c r="B587" s="13" t="s">
        <v>789</v>
      </c>
      <c r="C587" s="16" t="s">
        <v>4090</v>
      </c>
      <c r="D587" s="13" t="s">
        <v>4072</v>
      </c>
      <c r="E587" s="14" t="s">
        <v>810</v>
      </c>
      <c r="F587" s="14" t="s">
        <v>773</v>
      </c>
      <c r="G587" s="13"/>
      <c r="H587" s="14">
        <f>G587+I587</f>
        <v>1</v>
      </c>
      <c r="I587" s="14">
        <v>1</v>
      </c>
      <c r="J587" s="14">
        <v>1</v>
      </c>
      <c r="K587" s="13" t="s">
        <v>2886</v>
      </c>
      <c r="L587" s="15" t="s">
        <v>668</v>
      </c>
      <c r="M587" s="15">
        <v>540</v>
      </c>
      <c r="N587" s="15">
        <v>62</v>
      </c>
      <c r="Q587" s="15"/>
    </row>
    <row r="588" spans="1:17" x14ac:dyDescent="0.25">
      <c r="A588" s="11" t="s">
        <v>3751</v>
      </c>
      <c r="B588" s="13" t="s">
        <v>789</v>
      </c>
      <c r="C588" s="16" t="s">
        <v>2746</v>
      </c>
      <c r="D588" s="13" t="s">
        <v>4072</v>
      </c>
      <c r="E588" s="14" t="s">
        <v>1345</v>
      </c>
      <c r="F588" s="14" t="s">
        <v>773</v>
      </c>
      <c r="G588" s="13"/>
      <c r="H588" s="14">
        <f t="shared" si="10"/>
        <v>5</v>
      </c>
      <c r="I588" s="14">
        <v>5</v>
      </c>
      <c r="J588" s="14">
        <v>2</v>
      </c>
      <c r="K588" s="13" t="s">
        <v>2899</v>
      </c>
      <c r="L588" s="15" t="s">
        <v>668</v>
      </c>
      <c r="M588" s="15">
        <v>575</v>
      </c>
      <c r="N588" s="15">
        <v>65</v>
      </c>
      <c r="Q588" s="15"/>
    </row>
    <row r="589" spans="1:17" ht="45" x14ac:dyDescent="0.25">
      <c r="A589" s="11" t="s">
        <v>3751</v>
      </c>
      <c r="C589" s="16" t="s">
        <v>1892</v>
      </c>
      <c r="F589" s="14" t="s">
        <v>874</v>
      </c>
      <c r="G589" s="13">
        <v>123</v>
      </c>
      <c r="H589" s="14">
        <f t="shared" si="10"/>
        <v>123</v>
      </c>
      <c r="J589" s="14">
        <v>69</v>
      </c>
      <c r="K589" s="13" t="s">
        <v>4615</v>
      </c>
      <c r="Q589" s="15"/>
    </row>
    <row r="590" spans="1:17" x14ac:dyDescent="0.25">
      <c r="A590" s="11" t="s">
        <v>3751</v>
      </c>
      <c r="C590" s="16" t="s">
        <v>4620</v>
      </c>
      <c r="F590" s="14" t="s">
        <v>874</v>
      </c>
      <c r="G590" s="13">
        <v>1</v>
      </c>
      <c r="H590" s="14">
        <f>G590+I590</f>
        <v>1</v>
      </c>
      <c r="J590" s="14">
        <v>1</v>
      </c>
      <c r="K590" s="13" t="s">
        <v>4515</v>
      </c>
      <c r="Q590" s="15"/>
    </row>
    <row r="591" spans="1:17" x14ac:dyDescent="0.25">
      <c r="A591" s="11" t="s">
        <v>3751</v>
      </c>
      <c r="C591" s="16" t="s">
        <v>489</v>
      </c>
      <c r="F591" s="14" t="s">
        <v>874</v>
      </c>
      <c r="G591" s="13">
        <v>10</v>
      </c>
      <c r="H591" s="14">
        <f t="shared" si="10"/>
        <v>11</v>
      </c>
      <c r="I591" s="14">
        <v>1</v>
      </c>
      <c r="J591" s="14">
        <v>11</v>
      </c>
      <c r="K591" s="13" t="s">
        <v>4617</v>
      </c>
      <c r="Q591" s="15"/>
    </row>
    <row r="592" spans="1:17" ht="22.5" x14ac:dyDescent="0.25">
      <c r="A592" s="11" t="s">
        <v>3751</v>
      </c>
      <c r="C592" s="16" t="s">
        <v>679</v>
      </c>
      <c r="F592" s="14" t="s">
        <v>11</v>
      </c>
      <c r="G592" s="13">
        <v>26</v>
      </c>
      <c r="H592" s="14">
        <f t="shared" si="10"/>
        <v>27</v>
      </c>
      <c r="I592" s="14">
        <v>1</v>
      </c>
      <c r="J592" s="14">
        <v>23</v>
      </c>
      <c r="K592" s="13" t="s">
        <v>4616</v>
      </c>
      <c r="Q592" s="15"/>
    </row>
    <row r="593" spans="1:17" x14ac:dyDescent="0.25">
      <c r="A593" s="11" t="s">
        <v>3751</v>
      </c>
      <c r="C593" s="16" t="s">
        <v>2533</v>
      </c>
      <c r="F593" s="14" t="s">
        <v>11</v>
      </c>
      <c r="G593" s="13">
        <v>1</v>
      </c>
      <c r="H593" s="14">
        <f t="shared" si="10"/>
        <v>1</v>
      </c>
      <c r="J593" s="14">
        <v>1</v>
      </c>
      <c r="K593" s="13" t="s">
        <v>752</v>
      </c>
      <c r="Q593" s="15"/>
    </row>
    <row r="594" spans="1:17" x14ac:dyDescent="0.25">
      <c r="A594" s="11" t="s">
        <v>3751</v>
      </c>
      <c r="C594" s="16" t="s">
        <v>4040</v>
      </c>
      <c r="F594" s="14" t="s">
        <v>11</v>
      </c>
      <c r="G594" s="13">
        <v>2</v>
      </c>
      <c r="H594" s="14">
        <f>G594+I594</f>
        <v>2</v>
      </c>
      <c r="J594" s="14">
        <v>2</v>
      </c>
      <c r="K594" s="13" t="s">
        <v>4409</v>
      </c>
      <c r="Q594" s="15"/>
    </row>
    <row r="595" spans="1:17" ht="22.5" x14ac:dyDescent="0.25">
      <c r="A595" s="11" t="s">
        <v>3751</v>
      </c>
      <c r="C595" s="16" t="s">
        <v>265</v>
      </c>
      <c r="F595" s="14" t="s">
        <v>874</v>
      </c>
      <c r="G595" s="13">
        <v>25</v>
      </c>
      <c r="H595" s="14">
        <f t="shared" si="10"/>
        <v>25</v>
      </c>
      <c r="J595" s="14">
        <v>19</v>
      </c>
      <c r="K595" s="13" t="s">
        <v>4619</v>
      </c>
      <c r="Q595" s="15"/>
    </row>
    <row r="596" spans="1:17" x14ac:dyDescent="0.25">
      <c r="A596" s="11" t="s">
        <v>3751</v>
      </c>
      <c r="C596" s="16" t="s">
        <v>303</v>
      </c>
      <c r="F596" s="14" t="s">
        <v>11</v>
      </c>
      <c r="G596" s="13">
        <v>1</v>
      </c>
      <c r="H596" s="14">
        <f t="shared" si="10"/>
        <v>1</v>
      </c>
      <c r="J596" s="14">
        <v>1</v>
      </c>
      <c r="K596" s="13" t="s">
        <v>4452</v>
      </c>
      <c r="Q596" s="15"/>
    </row>
    <row r="597" spans="1:17" ht="22.5" x14ac:dyDescent="0.25">
      <c r="A597" s="11" t="s">
        <v>3751</v>
      </c>
      <c r="C597" s="16" t="s">
        <v>302</v>
      </c>
      <c r="F597" s="14" t="s">
        <v>35</v>
      </c>
      <c r="G597" s="13">
        <v>22</v>
      </c>
      <c r="H597" s="14">
        <f t="shared" si="10"/>
        <v>22</v>
      </c>
      <c r="J597" s="14">
        <v>20</v>
      </c>
      <c r="K597" s="13" t="s">
        <v>4618</v>
      </c>
      <c r="Q597" s="15"/>
    </row>
    <row r="598" spans="1:17" x14ac:dyDescent="0.25">
      <c r="A598" s="11" t="s">
        <v>3751</v>
      </c>
      <c r="C598" s="16" t="s">
        <v>1832</v>
      </c>
      <c r="F598" s="14" t="s">
        <v>874</v>
      </c>
      <c r="G598" s="13">
        <v>1</v>
      </c>
      <c r="H598" s="14">
        <f t="shared" si="10"/>
        <v>1</v>
      </c>
      <c r="J598" s="14">
        <v>1</v>
      </c>
      <c r="K598" s="13" t="s">
        <v>1187</v>
      </c>
      <c r="Q598" s="15"/>
    </row>
    <row r="599" spans="1:17" x14ac:dyDescent="0.25">
      <c r="A599" s="11" t="s">
        <v>3751</v>
      </c>
      <c r="C599" s="16" t="s">
        <v>1893</v>
      </c>
      <c r="F599" s="14" t="s">
        <v>874</v>
      </c>
      <c r="G599" s="13">
        <v>3</v>
      </c>
      <c r="H599" s="14">
        <f t="shared" si="10"/>
        <v>3</v>
      </c>
      <c r="J599" s="14">
        <v>3</v>
      </c>
      <c r="K599" s="13" t="s">
        <v>4303</v>
      </c>
      <c r="Q599" s="15"/>
    </row>
    <row r="600" spans="1:17" x14ac:dyDescent="0.25">
      <c r="A600" s="11" t="s">
        <v>3751</v>
      </c>
      <c r="C600" s="16" t="s">
        <v>1894</v>
      </c>
      <c r="E600" s="14" t="s">
        <v>2644</v>
      </c>
      <c r="F600" s="14" t="s">
        <v>874</v>
      </c>
      <c r="G600" s="13">
        <v>4</v>
      </c>
      <c r="H600" s="14">
        <f t="shared" si="10"/>
        <v>4</v>
      </c>
      <c r="J600" s="14">
        <v>4</v>
      </c>
      <c r="K600" s="13" t="s">
        <v>4621</v>
      </c>
      <c r="Q600" s="15"/>
    </row>
    <row r="601" spans="1:17" x14ac:dyDescent="0.25">
      <c r="A601" s="11" t="s">
        <v>3751</v>
      </c>
      <c r="B601" s="13" t="s">
        <v>4434</v>
      </c>
      <c r="C601" s="16" t="s">
        <v>4526</v>
      </c>
      <c r="E601" s="14" t="s">
        <v>4434</v>
      </c>
      <c r="F601" s="14" t="s">
        <v>874</v>
      </c>
      <c r="G601" s="13">
        <v>1</v>
      </c>
      <c r="H601" s="14">
        <f>G601+I601</f>
        <v>1</v>
      </c>
      <c r="J601" s="14">
        <v>1</v>
      </c>
      <c r="K601" s="13" t="s">
        <v>3271</v>
      </c>
      <c r="Q601" s="15"/>
    </row>
    <row r="602" spans="1:17" x14ac:dyDescent="0.25">
      <c r="A602" s="11" t="s">
        <v>3751</v>
      </c>
      <c r="B602" s="13" t="s">
        <v>411</v>
      </c>
      <c r="D602" s="13" t="s">
        <v>1940</v>
      </c>
      <c r="F602" s="14" t="s">
        <v>11</v>
      </c>
      <c r="G602" s="13">
        <v>4</v>
      </c>
      <c r="H602" s="14">
        <f t="shared" si="10"/>
        <v>4</v>
      </c>
      <c r="J602" s="14">
        <v>3</v>
      </c>
      <c r="K602" s="13" t="s">
        <v>4625</v>
      </c>
      <c r="Q602" s="15"/>
    </row>
    <row r="603" spans="1:17" x14ac:dyDescent="0.25">
      <c r="A603" s="11" t="s">
        <v>3751</v>
      </c>
      <c r="B603" s="13" t="s">
        <v>297</v>
      </c>
      <c r="D603" s="13" t="s">
        <v>1940</v>
      </c>
      <c r="F603" s="14" t="s">
        <v>11</v>
      </c>
      <c r="G603" s="13">
        <v>1</v>
      </c>
      <c r="H603" s="14">
        <f>G603+I603</f>
        <v>1</v>
      </c>
      <c r="J603" s="14">
        <v>1</v>
      </c>
      <c r="K603" s="13" t="s">
        <v>4391</v>
      </c>
      <c r="Q603" s="15"/>
    </row>
    <row r="604" spans="1:17" x14ac:dyDescent="0.25">
      <c r="A604" s="11" t="s">
        <v>3751</v>
      </c>
      <c r="B604" s="13" t="s">
        <v>3211</v>
      </c>
      <c r="D604" s="13" t="s">
        <v>1940</v>
      </c>
      <c r="F604" s="14" t="s">
        <v>11</v>
      </c>
      <c r="G604" s="13">
        <v>2</v>
      </c>
      <c r="H604" s="14">
        <f>G604+I604</f>
        <v>2</v>
      </c>
      <c r="J604" s="14">
        <v>2</v>
      </c>
      <c r="K604" s="13" t="s">
        <v>4394</v>
      </c>
      <c r="Q604" s="15"/>
    </row>
    <row r="605" spans="1:17" x14ac:dyDescent="0.25">
      <c r="A605" s="11" t="s">
        <v>3751</v>
      </c>
      <c r="B605" s="13" t="s">
        <v>54</v>
      </c>
      <c r="C605" s="16" t="s">
        <v>52</v>
      </c>
      <c r="F605" s="14" t="s">
        <v>11</v>
      </c>
      <c r="G605" s="13">
        <v>1</v>
      </c>
      <c r="H605" s="14">
        <f t="shared" si="10"/>
        <v>1</v>
      </c>
      <c r="J605" s="14">
        <v>1</v>
      </c>
      <c r="K605" s="13" t="s">
        <v>958</v>
      </c>
      <c r="Q605" s="15"/>
    </row>
    <row r="606" spans="1:17" x14ac:dyDescent="0.25">
      <c r="A606" s="11" t="s">
        <v>3751</v>
      </c>
      <c r="B606" s="13" t="s">
        <v>76</v>
      </c>
      <c r="C606" s="16" t="s">
        <v>281</v>
      </c>
      <c r="F606" s="14" t="s">
        <v>11</v>
      </c>
      <c r="G606" s="13">
        <v>4</v>
      </c>
      <c r="H606" s="14">
        <f>G606+I606</f>
        <v>4</v>
      </c>
      <c r="J606" s="14">
        <v>4</v>
      </c>
      <c r="K606" s="13" t="s">
        <v>4545</v>
      </c>
      <c r="Q606" s="15"/>
    </row>
    <row r="607" spans="1:17" x14ac:dyDescent="0.25">
      <c r="A607" s="11" t="s">
        <v>3751</v>
      </c>
      <c r="B607" s="13" t="s">
        <v>76</v>
      </c>
      <c r="D607" s="13" t="s">
        <v>1940</v>
      </c>
      <c r="F607" s="14" t="s">
        <v>11</v>
      </c>
      <c r="G607" s="13">
        <v>15</v>
      </c>
      <c r="H607" s="14">
        <f t="shared" si="10"/>
        <v>15</v>
      </c>
      <c r="J607" s="14">
        <v>13</v>
      </c>
      <c r="K607" s="13" t="s">
        <v>4624</v>
      </c>
      <c r="Q607" s="15"/>
    </row>
    <row r="608" spans="1:17" x14ac:dyDescent="0.25">
      <c r="A608" s="11" t="s">
        <v>3751</v>
      </c>
      <c r="B608" s="13" t="s">
        <v>76</v>
      </c>
      <c r="C608" s="16" t="s">
        <v>2350</v>
      </c>
      <c r="D608" s="13" t="s">
        <v>3762</v>
      </c>
      <c r="F608" s="14" t="s">
        <v>11</v>
      </c>
      <c r="G608" s="13">
        <v>3</v>
      </c>
      <c r="H608" s="14">
        <f t="shared" si="10"/>
        <v>3</v>
      </c>
      <c r="J608" s="14">
        <v>2</v>
      </c>
      <c r="K608" s="13" t="s">
        <v>3767</v>
      </c>
      <c r="Q608" s="15"/>
    </row>
    <row r="609" spans="1:17" x14ac:dyDescent="0.25">
      <c r="A609" s="11" t="s">
        <v>3751</v>
      </c>
      <c r="B609" s="13" t="s">
        <v>213</v>
      </c>
      <c r="D609" s="13" t="s">
        <v>1940</v>
      </c>
      <c r="F609" s="14" t="s">
        <v>11</v>
      </c>
      <c r="G609" s="13">
        <v>2</v>
      </c>
      <c r="H609" s="14">
        <f>G609+I609</f>
        <v>2</v>
      </c>
      <c r="J609" s="14">
        <v>2</v>
      </c>
      <c r="K609" s="13" t="s">
        <v>4036</v>
      </c>
      <c r="Q609" s="15"/>
    </row>
    <row r="610" spans="1:17" x14ac:dyDescent="0.25">
      <c r="A610" s="11" t="s">
        <v>3751</v>
      </c>
      <c r="B610" s="13" t="s">
        <v>213</v>
      </c>
      <c r="C610" s="16" t="s">
        <v>4037</v>
      </c>
      <c r="F610" s="14" t="s">
        <v>11</v>
      </c>
      <c r="G610" s="13">
        <v>1</v>
      </c>
      <c r="H610" s="14">
        <f t="shared" si="10"/>
        <v>1</v>
      </c>
      <c r="J610" s="14">
        <v>1</v>
      </c>
      <c r="K610" s="13" t="s">
        <v>849</v>
      </c>
      <c r="Q610" s="15"/>
    </row>
    <row r="611" spans="1:17" ht="22.5" x14ac:dyDescent="0.25">
      <c r="A611" s="11" t="s">
        <v>3751</v>
      </c>
      <c r="B611" s="13" t="s">
        <v>42</v>
      </c>
      <c r="C611" s="16" t="s">
        <v>42</v>
      </c>
      <c r="D611" s="13" t="s">
        <v>1940</v>
      </c>
      <c r="F611" s="14" t="s">
        <v>11</v>
      </c>
      <c r="G611" s="13">
        <v>21</v>
      </c>
      <c r="H611" s="14">
        <f t="shared" si="10"/>
        <v>21</v>
      </c>
      <c r="J611" s="14">
        <v>17</v>
      </c>
      <c r="K611" s="13" t="s">
        <v>4623</v>
      </c>
      <c r="Q611" s="15"/>
    </row>
    <row r="612" spans="1:17" x14ac:dyDescent="0.25">
      <c r="A612" s="11" t="s">
        <v>3751</v>
      </c>
      <c r="B612" s="13" t="s">
        <v>42</v>
      </c>
      <c r="C612" s="16" t="s">
        <v>3797</v>
      </c>
      <c r="F612" s="14" t="s">
        <v>11</v>
      </c>
      <c r="G612" s="13">
        <v>1</v>
      </c>
      <c r="H612" s="14">
        <f>G612+I612</f>
        <v>1</v>
      </c>
      <c r="J612" s="14">
        <v>1</v>
      </c>
      <c r="K612" s="13" t="s">
        <v>1789</v>
      </c>
      <c r="Q612" s="15"/>
    </row>
    <row r="613" spans="1:17" x14ac:dyDescent="0.25">
      <c r="A613" s="11" t="s">
        <v>3751</v>
      </c>
      <c r="B613" s="13" t="s">
        <v>42</v>
      </c>
      <c r="C613" s="16" t="s">
        <v>4465</v>
      </c>
      <c r="D613" s="13" t="s">
        <v>4466</v>
      </c>
      <c r="F613" s="14" t="s">
        <v>11</v>
      </c>
      <c r="G613" s="13">
        <v>3</v>
      </c>
      <c r="H613" s="14">
        <f t="shared" si="10"/>
        <v>3</v>
      </c>
      <c r="J613" s="14">
        <v>3</v>
      </c>
      <c r="K613" s="13" t="s">
        <v>4471</v>
      </c>
      <c r="Q613" s="15"/>
    </row>
    <row r="614" spans="1:17" x14ac:dyDescent="0.25">
      <c r="A614" s="11" t="s">
        <v>3751</v>
      </c>
      <c r="B614" s="13" t="s">
        <v>42</v>
      </c>
      <c r="C614" s="16" t="s">
        <v>363</v>
      </c>
      <c r="F614" s="14" t="s">
        <v>11</v>
      </c>
      <c r="G614" s="13">
        <v>1</v>
      </c>
      <c r="H614" s="14">
        <f>G614+I614</f>
        <v>1</v>
      </c>
      <c r="J614" s="14">
        <v>1</v>
      </c>
      <c r="K614" s="13" t="s">
        <v>4378</v>
      </c>
      <c r="Q614" s="15"/>
    </row>
    <row r="615" spans="1:17" x14ac:dyDescent="0.25">
      <c r="A615" s="11" t="s">
        <v>3751</v>
      </c>
      <c r="B615" s="13" t="s">
        <v>42</v>
      </c>
      <c r="E615" s="14" t="s">
        <v>323</v>
      </c>
      <c r="F615" s="14" t="s">
        <v>11</v>
      </c>
      <c r="G615" s="13">
        <v>1</v>
      </c>
      <c r="H615" s="14">
        <f t="shared" si="10"/>
        <v>1</v>
      </c>
      <c r="J615" s="14">
        <v>1</v>
      </c>
      <c r="K615" s="13" t="s">
        <v>4472</v>
      </c>
      <c r="Q615" s="15"/>
    </row>
    <row r="616" spans="1:17" x14ac:dyDescent="0.25">
      <c r="A616" s="11" t="s">
        <v>3751</v>
      </c>
      <c r="B616" s="13" t="s">
        <v>42</v>
      </c>
      <c r="C616" s="16" t="s">
        <v>299</v>
      </c>
      <c r="E616" s="14" t="s">
        <v>300</v>
      </c>
      <c r="F616" s="14" t="s">
        <v>11</v>
      </c>
      <c r="G616" s="13">
        <v>1</v>
      </c>
      <c r="H616" s="14">
        <f t="shared" si="10"/>
        <v>3</v>
      </c>
      <c r="I616" s="14">
        <v>2</v>
      </c>
      <c r="J616" s="14">
        <v>3</v>
      </c>
      <c r="K616" s="13" t="s">
        <v>4297</v>
      </c>
      <c r="Q616" s="15"/>
    </row>
    <row r="617" spans="1:17" ht="22.5" x14ac:dyDescent="0.25">
      <c r="A617" s="11" t="s">
        <v>3751</v>
      </c>
      <c r="B617" s="13" t="s">
        <v>10</v>
      </c>
      <c r="D617" s="13" t="s">
        <v>1940</v>
      </c>
      <c r="E617" s="14" t="s">
        <v>326</v>
      </c>
      <c r="F617" s="14" t="s">
        <v>11</v>
      </c>
      <c r="G617" s="13">
        <v>25</v>
      </c>
      <c r="H617" s="14">
        <f t="shared" si="10"/>
        <v>30</v>
      </c>
      <c r="I617" s="14">
        <v>5</v>
      </c>
      <c r="J617" s="14">
        <v>24</v>
      </c>
      <c r="K617" s="13" t="s">
        <v>4600</v>
      </c>
      <c r="Q617" s="15"/>
    </row>
    <row r="618" spans="1:17" x14ac:dyDescent="0.25">
      <c r="A618" s="11" t="s">
        <v>3751</v>
      </c>
      <c r="B618" s="13" t="s">
        <v>10</v>
      </c>
      <c r="E618" s="14" t="s">
        <v>716</v>
      </c>
      <c r="F618" s="14" t="s">
        <v>11</v>
      </c>
      <c r="G618" s="13">
        <v>1</v>
      </c>
      <c r="H618" s="14">
        <f t="shared" si="10"/>
        <v>1</v>
      </c>
      <c r="J618" s="14">
        <v>1</v>
      </c>
      <c r="K618" s="13" t="s">
        <v>1656</v>
      </c>
      <c r="Q618" s="15"/>
    </row>
    <row r="619" spans="1:17" x14ac:dyDescent="0.25">
      <c r="A619" s="11" t="s">
        <v>3751</v>
      </c>
      <c r="B619" s="13" t="s">
        <v>10</v>
      </c>
      <c r="E619" s="14" t="s">
        <v>708</v>
      </c>
      <c r="F619" s="14" t="s">
        <v>11</v>
      </c>
      <c r="G619" s="13">
        <v>1</v>
      </c>
      <c r="H619" s="14">
        <f t="shared" si="10"/>
        <v>1</v>
      </c>
      <c r="J619" s="14">
        <v>1</v>
      </c>
      <c r="K619" s="13" t="s">
        <v>1656</v>
      </c>
      <c r="Q619" s="15"/>
    </row>
    <row r="620" spans="1:17" x14ac:dyDescent="0.25">
      <c r="A620" s="11" t="s">
        <v>3751</v>
      </c>
      <c r="B620" s="13" t="s">
        <v>10</v>
      </c>
      <c r="C620" s="16" t="s">
        <v>4286</v>
      </c>
      <c r="F620" s="14" t="s">
        <v>11</v>
      </c>
      <c r="G620" s="13">
        <v>1</v>
      </c>
      <c r="H620" s="14">
        <f>G620+I620</f>
        <v>1</v>
      </c>
      <c r="J620" s="14">
        <v>1</v>
      </c>
      <c r="K620" s="13" t="s">
        <v>657</v>
      </c>
      <c r="Q620" s="15"/>
    </row>
    <row r="621" spans="1:17" x14ac:dyDescent="0.25">
      <c r="A621" s="11" t="s">
        <v>3751</v>
      </c>
      <c r="B621" s="13" t="s">
        <v>10</v>
      </c>
      <c r="C621" s="16" t="s">
        <v>4263</v>
      </c>
      <c r="F621" s="14" t="s">
        <v>11</v>
      </c>
      <c r="G621" s="13">
        <v>3</v>
      </c>
      <c r="H621" s="14">
        <f>G621+I621</f>
        <v>3</v>
      </c>
      <c r="J621" s="14">
        <v>2</v>
      </c>
      <c r="K621" s="13" t="s">
        <v>4289</v>
      </c>
      <c r="Q621" s="15"/>
    </row>
    <row r="622" spans="1:17" x14ac:dyDescent="0.25">
      <c r="A622" s="11" t="s">
        <v>3751</v>
      </c>
      <c r="B622" s="13" t="s">
        <v>10</v>
      </c>
      <c r="C622" s="16" t="s">
        <v>4599</v>
      </c>
      <c r="F622" s="14" t="s">
        <v>11</v>
      </c>
      <c r="G622" s="13"/>
      <c r="H622" s="14">
        <f>G622+I622</f>
        <v>2</v>
      </c>
      <c r="I622" s="14">
        <v>2</v>
      </c>
      <c r="J622" s="14">
        <v>1</v>
      </c>
      <c r="K622" s="13" t="s">
        <v>4593</v>
      </c>
      <c r="Q622" s="15"/>
    </row>
    <row r="623" spans="1:17" ht="22.5" x14ac:dyDescent="0.25">
      <c r="A623" s="11" t="s">
        <v>3751</v>
      </c>
      <c r="B623" s="13" t="s">
        <v>126</v>
      </c>
      <c r="D623" s="13" t="s">
        <v>1940</v>
      </c>
      <c r="F623" s="14" t="s">
        <v>11</v>
      </c>
      <c r="G623" s="13">
        <v>17</v>
      </c>
      <c r="H623" s="14">
        <f t="shared" si="10"/>
        <v>17</v>
      </c>
      <c r="J623" s="14">
        <v>15</v>
      </c>
      <c r="K623" s="13" t="s">
        <v>4598</v>
      </c>
      <c r="Q623" s="15"/>
    </row>
    <row r="624" spans="1:17" x14ac:dyDescent="0.25">
      <c r="A624" s="11" t="s">
        <v>3751</v>
      </c>
      <c r="B624" s="13" t="s">
        <v>126</v>
      </c>
      <c r="C624" s="16" t="s">
        <v>1584</v>
      </c>
      <c r="E624" s="14" t="s">
        <v>1137</v>
      </c>
      <c r="F624" s="14" t="s">
        <v>11</v>
      </c>
      <c r="G624" s="13">
        <v>4</v>
      </c>
      <c r="H624" s="14">
        <f t="shared" si="10"/>
        <v>10</v>
      </c>
      <c r="I624" s="14">
        <v>6</v>
      </c>
      <c r="J624" s="14">
        <v>9</v>
      </c>
      <c r="K624" s="13" t="s">
        <v>4597</v>
      </c>
      <c r="Q624" s="15"/>
    </row>
    <row r="625" spans="1:17" x14ac:dyDescent="0.25">
      <c r="A625" s="11" t="s">
        <v>3751</v>
      </c>
      <c r="B625" s="13" t="s">
        <v>126</v>
      </c>
      <c r="C625" s="16" t="s">
        <v>3929</v>
      </c>
      <c r="E625" s="14" t="s">
        <v>1137</v>
      </c>
      <c r="F625" s="14" t="s">
        <v>11</v>
      </c>
      <c r="G625" s="13">
        <v>1</v>
      </c>
      <c r="H625" s="14">
        <f>G625+I625</f>
        <v>1</v>
      </c>
      <c r="J625" s="14">
        <v>1</v>
      </c>
      <c r="K625" s="13" t="s">
        <v>389</v>
      </c>
      <c r="Q625" s="15"/>
    </row>
    <row r="626" spans="1:17" x14ac:dyDescent="0.25">
      <c r="A626" s="11" t="s">
        <v>3751</v>
      </c>
      <c r="B626" s="13" t="s">
        <v>191</v>
      </c>
      <c r="D626" s="13" t="s">
        <v>1940</v>
      </c>
      <c r="F626" s="14" t="s">
        <v>11</v>
      </c>
      <c r="G626" s="13">
        <v>11</v>
      </c>
      <c r="H626" s="14">
        <f t="shared" si="10"/>
        <v>11</v>
      </c>
      <c r="J626" s="14">
        <v>9</v>
      </c>
      <c r="K626" s="13" t="s">
        <v>4627</v>
      </c>
      <c r="Q626" s="15"/>
    </row>
    <row r="627" spans="1:17" x14ac:dyDescent="0.25">
      <c r="A627" s="11" t="s">
        <v>3751</v>
      </c>
      <c r="B627" s="13" t="s">
        <v>191</v>
      </c>
      <c r="C627" s="16" t="s">
        <v>43</v>
      </c>
      <c r="E627" s="14" t="s">
        <v>43</v>
      </c>
      <c r="F627" s="14" t="s">
        <v>11</v>
      </c>
      <c r="G627" s="13">
        <v>1</v>
      </c>
      <c r="H627" s="14">
        <f t="shared" ref="H627:H638" si="11">G627+I627</f>
        <v>2</v>
      </c>
      <c r="I627" s="14">
        <v>1</v>
      </c>
      <c r="J627" s="14">
        <v>2</v>
      </c>
      <c r="K627" s="13" t="s">
        <v>4333</v>
      </c>
      <c r="Q627" s="15"/>
    </row>
    <row r="628" spans="1:17" x14ac:dyDescent="0.25">
      <c r="A628" s="11" t="s">
        <v>3751</v>
      </c>
      <c r="B628" s="13" t="s">
        <v>191</v>
      </c>
      <c r="C628" s="16" t="s">
        <v>3915</v>
      </c>
      <c r="F628" s="14" t="s">
        <v>11</v>
      </c>
      <c r="G628" s="13">
        <v>1</v>
      </c>
      <c r="H628" s="14">
        <f t="shared" si="11"/>
        <v>1</v>
      </c>
      <c r="J628" s="14">
        <v>1</v>
      </c>
      <c r="K628" s="13" t="s">
        <v>349</v>
      </c>
      <c r="Q628" s="15"/>
    </row>
    <row r="629" spans="1:17" x14ac:dyDescent="0.25">
      <c r="A629" s="11" t="s">
        <v>3751</v>
      </c>
      <c r="B629" s="13" t="s">
        <v>191</v>
      </c>
      <c r="C629" s="16" t="s">
        <v>3089</v>
      </c>
      <c r="F629" s="14" t="s">
        <v>11</v>
      </c>
      <c r="G629" s="13">
        <v>2</v>
      </c>
      <c r="H629" s="14">
        <f t="shared" si="11"/>
        <v>2</v>
      </c>
      <c r="J629" s="14">
        <v>2</v>
      </c>
      <c r="K629" s="13" t="s">
        <v>4296</v>
      </c>
      <c r="Q629" s="15"/>
    </row>
    <row r="630" spans="1:17" x14ac:dyDescent="0.25">
      <c r="A630" s="11" t="s">
        <v>3751</v>
      </c>
      <c r="B630" s="13" t="s">
        <v>191</v>
      </c>
      <c r="C630" s="16" t="s">
        <v>2423</v>
      </c>
      <c r="F630" s="14" t="s">
        <v>11</v>
      </c>
      <c r="G630" s="13">
        <v>1</v>
      </c>
      <c r="H630" s="14">
        <f t="shared" si="11"/>
        <v>1</v>
      </c>
      <c r="J630" s="14">
        <v>1</v>
      </c>
      <c r="K630" s="13" t="s">
        <v>4378</v>
      </c>
      <c r="Q630" s="15"/>
    </row>
    <row r="631" spans="1:17" x14ac:dyDescent="0.25">
      <c r="A631" s="11" t="s">
        <v>3751</v>
      </c>
      <c r="B631" s="13" t="s">
        <v>68</v>
      </c>
      <c r="C631" s="16" t="s">
        <v>68</v>
      </c>
      <c r="D631" s="13" t="s">
        <v>1940</v>
      </c>
      <c r="F631" s="14" t="s">
        <v>11</v>
      </c>
      <c r="G631" s="13">
        <v>15</v>
      </c>
      <c r="H631" s="14">
        <f t="shared" si="11"/>
        <v>15</v>
      </c>
      <c r="J631" s="14">
        <v>12</v>
      </c>
      <c r="K631" s="13" t="s">
        <v>4392</v>
      </c>
      <c r="Q631" s="15"/>
    </row>
    <row r="632" spans="1:17" x14ac:dyDescent="0.25">
      <c r="A632" s="11" t="s">
        <v>3751</v>
      </c>
      <c r="B632" s="13" t="s">
        <v>68</v>
      </c>
      <c r="C632" s="16" t="s">
        <v>4399</v>
      </c>
      <c r="F632" s="14" t="s">
        <v>11</v>
      </c>
      <c r="G632" s="13">
        <v>1</v>
      </c>
      <c r="H632" s="14">
        <f t="shared" si="11"/>
        <v>1</v>
      </c>
      <c r="J632" s="14">
        <v>1</v>
      </c>
      <c r="K632" s="13" t="s">
        <v>4391</v>
      </c>
      <c r="Q632" s="15"/>
    </row>
    <row r="633" spans="1:17" x14ac:dyDescent="0.25">
      <c r="A633" s="11" t="s">
        <v>3751</v>
      </c>
      <c r="B633" s="13" t="s">
        <v>68</v>
      </c>
      <c r="C633" s="16" t="s">
        <v>864</v>
      </c>
      <c r="F633" s="14" t="s">
        <v>11</v>
      </c>
      <c r="G633" s="13">
        <v>2</v>
      </c>
      <c r="H633" s="14">
        <f t="shared" si="11"/>
        <v>2</v>
      </c>
      <c r="J633" s="14">
        <v>2</v>
      </c>
      <c r="K633" s="13" t="s">
        <v>4611</v>
      </c>
      <c r="Q633" s="15"/>
    </row>
    <row r="634" spans="1:17" x14ac:dyDescent="0.25">
      <c r="A634" s="11" t="s">
        <v>3751</v>
      </c>
      <c r="B634" s="13" t="s">
        <v>68</v>
      </c>
      <c r="C634" s="16" t="s">
        <v>3798</v>
      </c>
      <c r="F634" s="14" t="s">
        <v>11</v>
      </c>
      <c r="G634" s="13">
        <v>3</v>
      </c>
      <c r="H634" s="14">
        <f t="shared" si="11"/>
        <v>3</v>
      </c>
      <c r="J634" s="14">
        <v>3</v>
      </c>
      <c r="K634" s="13" t="s">
        <v>3940</v>
      </c>
      <c r="Q634" s="15"/>
    </row>
    <row r="635" spans="1:17" x14ac:dyDescent="0.25">
      <c r="A635" s="11" t="s">
        <v>3751</v>
      </c>
      <c r="B635" s="13" t="s">
        <v>68</v>
      </c>
      <c r="C635" s="16" t="s">
        <v>2689</v>
      </c>
      <c r="F635" s="14" t="s">
        <v>11</v>
      </c>
      <c r="G635" s="13">
        <v>1</v>
      </c>
      <c r="H635" s="14">
        <f t="shared" si="11"/>
        <v>1</v>
      </c>
      <c r="J635" s="14">
        <v>1</v>
      </c>
      <c r="K635" s="13" t="s">
        <v>559</v>
      </c>
      <c r="Q635" s="15"/>
    </row>
    <row r="636" spans="1:17" x14ac:dyDescent="0.25">
      <c r="A636" s="11" t="s">
        <v>3751</v>
      </c>
      <c r="B636" s="13" t="s">
        <v>68</v>
      </c>
      <c r="C636" s="16" t="s">
        <v>3699</v>
      </c>
      <c r="E636" s="14" t="s">
        <v>2397</v>
      </c>
      <c r="F636" s="14" t="s">
        <v>11</v>
      </c>
      <c r="G636" s="13">
        <v>3</v>
      </c>
      <c r="H636" s="14">
        <f t="shared" si="11"/>
        <v>3</v>
      </c>
      <c r="J636" s="14">
        <v>3</v>
      </c>
      <c r="K636" s="13" t="s">
        <v>4416</v>
      </c>
      <c r="Q636" s="15"/>
    </row>
    <row r="637" spans="1:17" x14ac:dyDescent="0.25">
      <c r="A637" s="11" t="s">
        <v>3751</v>
      </c>
      <c r="B637" s="13" t="s">
        <v>327</v>
      </c>
      <c r="C637" s="16" t="s">
        <v>282</v>
      </c>
      <c r="D637" s="13" t="s">
        <v>1940</v>
      </c>
      <c r="F637" s="14" t="s">
        <v>11</v>
      </c>
      <c r="G637" s="13">
        <v>15</v>
      </c>
      <c r="H637" s="14">
        <f t="shared" si="11"/>
        <v>15</v>
      </c>
      <c r="J637" s="14">
        <v>10</v>
      </c>
      <c r="K637" s="13" t="s">
        <v>4622</v>
      </c>
      <c r="Q637" s="15"/>
    </row>
    <row r="638" spans="1:17" x14ac:dyDescent="0.25">
      <c r="A638" s="11" t="s">
        <v>3751</v>
      </c>
      <c r="B638" s="13" t="s">
        <v>327</v>
      </c>
      <c r="C638" s="16" t="s">
        <v>2204</v>
      </c>
      <c r="E638" s="14" t="s">
        <v>677</v>
      </c>
      <c r="F638" s="14" t="s">
        <v>11</v>
      </c>
      <c r="G638" s="13">
        <v>2</v>
      </c>
      <c r="H638" s="14">
        <f t="shared" si="11"/>
        <v>2</v>
      </c>
      <c r="J638" s="14">
        <v>2</v>
      </c>
      <c r="K638" s="13" t="s">
        <v>4386</v>
      </c>
      <c r="Q638" s="15"/>
    </row>
    <row r="639" spans="1:17" x14ac:dyDescent="0.25">
      <c r="A639" s="11" t="s">
        <v>3751</v>
      </c>
      <c r="B639" s="13" t="s">
        <v>209</v>
      </c>
      <c r="D639" s="13" t="s">
        <v>1940</v>
      </c>
      <c r="F639" s="14" t="s">
        <v>11</v>
      </c>
      <c r="G639" s="13">
        <v>5</v>
      </c>
      <c r="H639" s="14">
        <f t="shared" ref="H639:H746" si="12">G639+I639</f>
        <v>5</v>
      </c>
      <c r="J639" s="14">
        <v>5</v>
      </c>
      <c r="K639" s="13" t="s">
        <v>4626</v>
      </c>
      <c r="Q639" s="15"/>
    </row>
    <row r="640" spans="1:17" x14ac:dyDescent="0.25">
      <c r="A640" s="11" t="s">
        <v>3751</v>
      </c>
      <c r="B640" s="13" t="s">
        <v>64</v>
      </c>
      <c r="D640" s="13" t="s">
        <v>1940</v>
      </c>
      <c r="F640" s="14" t="s">
        <v>11</v>
      </c>
      <c r="G640" s="13">
        <v>8</v>
      </c>
      <c r="H640" s="14">
        <f t="shared" si="12"/>
        <v>8</v>
      </c>
      <c r="J640" s="14">
        <v>5</v>
      </c>
      <c r="K640" s="13" t="s">
        <v>4095</v>
      </c>
      <c r="Q640" s="15"/>
    </row>
    <row r="641" spans="1:17" x14ac:dyDescent="0.25">
      <c r="A641" s="11" t="s">
        <v>3751</v>
      </c>
      <c r="B641" s="13" t="s">
        <v>64</v>
      </c>
      <c r="C641" s="16" t="s">
        <v>2347</v>
      </c>
      <c r="F641" s="14" t="s">
        <v>11</v>
      </c>
      <c r="G641" s="13">
        <v>1</v>
      </c>
      <c r="H641" s="14">
        <f>G641+I641</f>
        <v>1</v>
      </c>
      <c r="J641" s="14">
        <v>1</v>
      </c>
      <c r="K641" s="13" t="s">
        <v>349</v>
      </c>
      <c r="Q641" s="15"/>
    </row>
    <row r="642" spans="1:17" x14ac:dyDescent="0.25">
      <c r="A642" s="11" t="s">
        <v>3751</v>
      </c>
      <c r="B642" s="13" t="s">
        <v>64</v>
      </c>
      <c r="C642" s="16" t="s">
        <v>4534</v>
      </c>
      <c r="D642" s="13" t="s">
        <v>4436</v>
      </c>
      <c r="E642" s="14" t="s">
        <v>69</v>
      </c>
      <c r="F642" s="14" t="s">
        <v>11</v>
      </c>
      <c r="G642" s="13">
        <v>1</v>
      </c>
      <c r="H642" s="14">
        <f>G642+I642</f>
        <v>1</v>
      </c>
      <c r="J642" s="14">
        <v>1</v>
      </c>
      <c r="K642" s="13" t="s">
        <v>3271</v>
      </c>
      <c r="Q642" s="15"/>
    </row>
    <row r="643" spans="1:17" x14ac:dyDescent="0.25">
      <c r="A643" s="11" t="s">
        <v>3751</v>
      </c>
      <c r="B643" s="13" t="s">
        <v>64</v>
      </c>
      <c r="C643" s="16" t="s">
        <v>3979</v>
      </c>
      <c r="F643" s="14" t="s">
        <v>11</v>
      </c>
      <c r="G643" s="13">
        <v>1</v>
      </c>
      <c r="H643" s="14">
        <f>G643+I643</f>
        <v>1</v>
      </c>
      <c r="J643" s="14">
        <v>1</v>
      </c>
      <c r="K643" s="13" t="s">
        <v>2503</v>
      </c>
      <c r="Q643" s="15"/>
    </row>
    <row r="644" spans="1:17" x14ac:dyDescent="0.25">
      <c r="A644" s="11" t="s">
        <v>3751</v>
      </c>
      <c r="B644" s="13" t="s">
        <v>261</v>
      </c>
      <c r="D644" s="13" t="s">
        <v>1940</v>
      </c>
      <c r="F644" s="14" t="s">
        <v>11</v>
      </c>
      <c r="G644" s="13">
        <v>5</v>
      </c>
      <c r="H644" s="14">
        <f t="shared" si="12"/>
        <v>5</v>
      </c>
      <c r="J644" s="14">
        <v>3</v>
      </c>
      <c r="K644" s="13" t="s">
        <v>4402</v>
      </c>
      <c r="Q644" s="15"/>
    </row>
    <row r="645" spans="1:17" x14ac:dyDescent="0.25">
      <c r="A645" s="11" t="s">
        <v>3751</v>
      </c>
      <c r="B645" s="13" t="s">
        <v>705</v>
      </c>
      <c r="D645" s="13" t="s">
        <v>1940</v>
      </c>
      <c r="F645" s="14" t="s">
        <v>11</v>
      </c>
      <c r="G645" s="13">
        <v>1</v>
      </c>
      <c r="H645" s="14">
        <f>G645+I645</f>
        <v>1</v>
      </c>
      <c r="J645" s="14">
        <v>1</v>
      </c>
      <c r="K645" s="13" t="s">
        <v>4391</v>
      </c>
      <c r="Q645" s="15"/>
    </row>
    <row r="646" spans="1:17" x14ac:dyDescent="0.25">
      <c r="A646" s="11" t="s">
        <v>3751</v>
      </c>
      <c r="B646" s="13" t="s">
        <v>134</v>
      </c>
      <c r="D646" s="13" t="s">
        <v>1940</v>
      </c>
      <c r="F646" s="14" t="s">
        <v>11</v>
      </c>
      <c r="G646" s="13">
        <v>2</v>
      </c>
      <c r="H646" s="14">
        <f>G646+I646</f>
        <v>2</v>
      </c>
      <c r="J646" s="14">
        <v>2</v>
      </c>
      <c r="K646" s="13" t="s">
        <v>4383</v>
      </c>
      <c r="Q646" s="15"/>
    </row>
    <row r="647" spans="1:17" x14ac:dyDescent="0.25">
      <c r="A647" s="11" t="s">
        <v>3751</v>
      </c>
      <c r="B647" s="13" t="s">
        <v>283</v>
      </c>
      <c r="D647" s="13" t="s">
        <v>1940</v>
      </c>
      <c r="F647" s="14" t="s">
        <v>11</v>
      </c>
      <c r="G647" s="13">
        <v>5</v>
      </c>
      <c r="H647" s="14">
        <f t="shared" si="12"/>
        <v>5</v>
      </c>
      <c r="J647" s="14">
        <v>4</v>
      </c>
      <c r="K647" s="13" t="s">
        <v>4631</v>
      </c>
      <c r="Q647" s="15"/>
    </row>
    <row r="648" spans="1:17" x14ac:dyDescent="0.25">
      <c r="A648" s="11" t="s">
        <v>3751</v>
      </c>
      <c r="B648" s="13" t="s">
        <v>283</v>
      </c>
      <c r="C648" s="16" t="s">
        <v>475</v>
      </c>
      <c r="F648" s="14" t="s">
        <v>11</v>
      </c>
      <c r="G648" s="13">
        <v>1</v>
      </c>
      <c r="H648" s="14">
        <f>G648+I648</f>
        <v>1</v>
      </c>
      <c r="J648" s="14">
        <v>1</v>
      </c>
      <c r="K648" s="13" t="s">
        <v>4387</v>
      </c>
      <c r="Q648" s="15"/>
    </row>
    <row r="649" spans="1:17" x14ac:dyDescent="0.25">
      <c r="A649" s="11" t="s">
        <v>3751</v>
      </c>
      <c r="B649" s="13" t="s">
        <v>283</v>
      </c>
      <c r="C649" s="16" t="s">
        <v>3854</v>
      </c>
      <c r="F649" s="14" t="s">
        <v>11</v>
      </c>
      <c r="G649" s="13">
        <v>1</v>
      </c>
      <c r="H649" s="14">
        <f>G649+I649</f>
        <v>1</v>
      </c>
      <c r="J649" s="14">
        <v>1</v>
      </c>
      <c r="K649" s="13" t="s">
        <v>79</v>
      </c>
      <c r="Q649" s="15"/>
    </row>
    <row r="650" spans="1:17" x14ac:dyDescent="0.25">
      <c r="A650" s="11" t="s">
        <v>3751</v>
      </c>
      <c r="B650" s="13" t="s">
        <v>430</v>
      </c>
      <c r="D650" s="13" t="s">
        <v>1940</v>
      </c>
      <c r="F650" s="14" t="s">
        <v>11</v>
      </c>
      <c r="G650" s="13">
        <v>2</v>
      </c>
      <c r="H650" s="14">
        <f t="shared" si="12"/>
        <v>2</v>
      </c>
      <c r="J650" s="14">
        <v>2</v>
      </c>
      <c r="K650" s="13" t="s">
        <v>4298</v>
      </c>
      <c r="Q650" s="15"/>
    </row>
    <row r="651" spans="1:17" x14ac:dyDescent="0.25">
      <c r="A651" s="11" t="s">
        <v>3751</v>
      </c>
      <c r="B651" s="13" t="s">
        <v>328</v>
      </c>
      <c r="D651" s="13" t="s">
        <v>1940</v>
      </c>
      <c r="F651" s="14" t="s">
        <v>11</v>
      </c>
      <c r="G651" s="13">
        <v>11</v>
      </c>
      <c r="H651" s="14">
        <f>G651+I651</f>
        <v>11</v>
      </c>
      <c r="J651" s="14">
        <v>10</v>
      </c>
      <c r="K651" s="13" t="s">
        <v>4628</v>
      </c>
      <c r="Q651" s="15"/>
    </row>
    <row r="652" spans="1:17" x14ac:dyDescent="0.25">
      <c r="A652" s="11" t="s">
        <v>3751</v>
      </c>
      <c r="B652" s="13" t="s">
        <v>328</v>
      </c>
      <c r="C652" s="16" t="s">
        <v>1778</v>
      </c>
      <c r="F652" s="14" t="s">
        <v>11</v>
      </c>
      <c r="G652" s="13">
        <v>1</v>
      </c>
      <c r="H652" s="14">
        <f t="shared" si="12"/>
        <v>1</v>
      </c>
      <c r="J652" s="14">
        <v>1</v>
      </c>
      <c r="K652" s="13" t="s">
        <v>846</v>
      </c>
      <c r="Q652" s="15"/>
    </row>
    <row r="653" spans="1:17" x14ac:dyDescent="0.25">
      <c r="A653" s="11" t="s">
        <v>3751</v>
      </c>
      <c r="B653" s="13" t="s">
        <v>483</v>
      </c>
      <c r="C653" s="16" t="s">
        <v>485</v>
      </c>
      <c r="F653" s="14" t="s">
        <v>11</v>
      </c>
      <c r="G653" s="13">
        <v>1</v>
      </c>
      <c r="H653" s="14">
        <f>G653+I653</f>
        <v>1</v>
      </c>
      <c r="J653" s="14">
        <v>1</v>
      </c>
      <c r="K653" s="13" t="s">
        <v>3281</v>
      </c>
      <c r="Q653" s="15"/>
    </row>
    <row r="654" spans="1:17" x14ac:dyDescent="0.25">
      <c r="A654" s="11" t="s">
        <v>3751</v>
      </c>
      <c r="B654" s="13" t="s">
        <v>78</v>
      </c>
      <c r="D654" s="13" t="s">
        <v>1940</v>
      </c>
      <c r="F654" s="14" t="s">
        <v>11</v>
      </c>
      <c r="G654" s="13">
        <v>9</v>
      </c>
      <c r="H654" s="14">
        <f t="shared" si="12"/>
        <v>9</v>
      </c>
      <c r="J654" s="14">
        <v>6</v>
      </c>
      <c r="K654" s="13" t="s">
        <v>4438</v>
      </c>
      <c r="Q654" s="15"/>
    </row>
    <row r="655" spans="1:17" x14ac:dyDescent="0.25">
      <c r="A655" s="11" t="s">
        <v>3751</v>
      </c>
      <c r="B655" s="13" t="s">
        <v>206</v>
      </c>
      <c r="D655" s="13" t="s">
        <v>1940</v>
      </c>
      <c r="F655" s="14" t="s">
        <v>11</v>
      </c>
      <c r="G655" s="13">
        <v>4</v>
      </c>
      <c r="H655" s="14">
        <f t="shared" si="12"/>
        <v>4</v>
      </c>
      <c r="J655" s="14">
        <v>3</v>
      </c>
      <c r="K655" s="13" t="s">
        <v>4633</v>
      </c>
      <c r="Q655" s="15"/>
    </row>
    <row r="656" spans="1:17" x14ac:dyDescent="0.25">
      <c r="A656" s="11" t="s">
        <v>3751</v>
      </c>
      <c r="B656" s="13" t="s">
        <v>206</v>
      </c>
      <c r="C656" s="16" t="s">
        <v>4634</v>
      </c>
      <c r="F656" s="14" t="s">
        <v>11</v>
      </c>
      <c r="G656" s="13">
        <v>1</v>
      </c>
      <c r="H656" s="14">
        <f>G656+I656</f>
        <v>1</v>
      </c>
      <c r="J656" s="14">
        <v>1</v>
      </c>
      <c r="K656" s="13" t="s">
        <v>3281</v>
      </c>
      <c r="Q656" s="15"/>
    </row>
    <row r="657" spans="1:17" x14ac:dyDescent="0.25">
      <c r="A657" s="11" t="s">
        <v>3751</v>
      </c>
      <c r="B657" s="13" t="s">
        <v>206</v>
      </c>
      <c r="C657" s="16" t="s">
        <v>208</v>
      </c>
      <c r="F657" s="14" t="s">
        <v>11</v>
      </c>
      <c r="G657" s="13">
        <v>1</v>
      </c>
      <c r="H657" s="14">
        <f>G657+I657</f>
        <v>1</v>
      </c>
      <c r="J657" s="14">
        <v>1</v>
      </c>
      <c r="K657" s="13" t="s">
        <v>752</v>
      </c>
      <c r="Q657" s="15"/>
    </row>
    <row r="658" spans="1:17" x14ac:dyDescent="0.25">
      <c r="A658" s="11" t="s">
        <v>3751</v>
      </c>
      <c r="B658" s="13" t="s">
        <v>46</v>
      </c>
      <c r="C658" s="16" t="s">
        <v>4210</v>
      </c>
      <c r="F658" s="14" t="s">
        <v>11</v>
      </c>
      <c r="G658" s="13">
        <v>3</v>
      </c>
      <c r="H658" s="14">
        <f>G658+I658</f>
        <v>4</v>
      </c>
      <c r="I658" s="14">
        <v>1</v>
      </c>
      <c r="J658" s="14">
        <v>4</v>
      </c>
      <c r="K658" s="13" t="s">
        <v>4250</v>
      </c>
      <c r="Q658" s="15"/>
    </row>
    <row r="659" spans="1:17" x14ac:dyDescent="0.25">
      <c r="A659" s="11" t="s">
        <v>3751</v>
      </c>
      <c r="B659" s="13" t="s">
        <v>46</v>
      </c>
      <c r="D659" s="13" t="s">
        <v>1940</v>
      </c>
      <c r="F659" s="14" t="s">
        <v>11</v>
      </c>
      <c r="G659" s="13">
        <v>2</v>
      </c>
      <c r="H659" s="14">
        <f t="shared" si="12"/>
        <v>4</v>
      </c>
      <c r="I659" s="14">
        <v>2</v>
      </c>
      <c r="J659" s="14">
        <v>3</v>
      </c>
      <c r="K659" s="13" t="s">
        <v>4595</v>
      </c>
      <c r="Q659" s="15"/>
    </row>
    <row r="660" spans="1:17" x14ac:dyDescent="0.25">
      <c r="A660" s="11" t="s">
        <v>3751</v>
      </c>
      <c r="B660" s="13" t="s">
        <v>2617</v>
      </c>
      <c r="D660" s="13" t="s">
        <v>1940</v>
      </c>
      <c r="F660" s="14" t="s">
        <v>11</v>
      </c>
      <c r="G660" s="13">
        <v>1</v>
      </c>
      <c r="H660" s="14">
        <f>G660+I660</f>
        <v>1</v>
      </c>
      <c r="J660" s="14">
        <v>1</v>
      </c>
      <c r="K660" s="13" t="s">
        <v>3281</v>
      </c>
      <c r="Q660" s="15"/>
    </row>
    <row r="661" spans="1:17" x14ac:dyDescent="0.25">
      <c r="A661" s="11" t="s">
        <v>3751</v>
      </c>
      <c r="B661" s="13" t="s">
        <v>53</v>
      </c>
      <c r="C661" s="16" t="s">
        <v>51</v>
      </c>
      <c r="F661" s="14" t="s">
        <v>11</v>
      </c>
      <c r="G661" s="13">
        <v>2</v>
      </c>
      <c r="H661" s="14">
        <f>G661+I661</f>
        <v>2</v>
      </c>
      <c r="J661" s="14">
        <v>1</v>
      </c>
      <c r="K661" s="13" t="s">
        <v>3281</v>
      </c>
      <c r="Q661" s="15"/>
    </row>
    <row r="662" spans="1:17" x14ac:dyDescent="0.25">
      <c r="A662" s="11" t="s">
        <v>3751</v>
      </c>
      <c r="B662" s="13" t="s">
        <v>62</v>
      </c>
      <c r="D662" s="13" t="s">
        <v>1940</v>
      </c>
      <c r="F662" s="14" t="s">
        <v>11</v>
      </c>
      <c r="G662" s="13">
        <v>10</v>
      </c>
      <c r="H662" s="14">
        <f t="shared" si="12"/>
        <v>11</v>
      </c>
      <c r="I662" s="14">
        <v>1</v>
      </c>
      <c r="J662" s="14">
        <v>10</v>
      </c>
      <c r="K662" s="13" t="s">
        <v>4632</v>
      </c>
      <c r="Q662" s="15"/>
    </row>
    <row r="663" spans="1:17" x14ac:dyDescent="0.25">
      <c r="A663" s="11" t="s">
        <v>3751</v>
      </c>
      <c r="B663" s="13" t="s">
        <v>82</v>
      </c>
      <c r="D663" s="13" t="s">
        <v>1940</v>
      </c>
      <c r="E663" s="14" t="s">
        <v>82</v>
      </c>
      <c r="F663" s="14" t="s">
        <v>11</v>
      </c>
      <c r="G663" s="13">
        <v>1</v>
      </c>
      <c r="H663" s="14">
        <f t="shared" si="12"/>
        <v>1</v>
      </c>
      <c r="J663" s="14">
        <v>1</v>
      </c>
      <c r="K663" s="13" t="s">
        <v>1656</v>
      </c>
      <c r="Q663" s="15"/>
    </row>
    <row r="664" spans="1:17" ht="22.5" x14ac:dyDescent="0.25">
      <c r="A664" s="11" t="s">
        <v>3751</v>
      </c>
      <c r="B664" s="13" t="s">
        <v>22</v>
      </c>
      <c r="D664" s="13" t="s">
        <v>1940</v>
      </c>
      <c r="E664" s="14" t="s">
        <v>22</v>
      </c>
      <c r="F664" s="14" t="s">
        <v>11</v>
      </c>
      <c r="G664" s="13">
        <v>15</v>
      </c>
      <c r="H664" s="14">
        <f t="shared" si="12"/>
        <v>15</v>
      </c>
      <c r="J664" s="14">
        <v>14</v>
      </c>
      <c r="K664" s="13" t="s">
        <v>4547</v>
      </c>
      <c r="Q664" s="15"/>
    </row>
    <row r="665" spans="1:17" x14ac:dyDescent="0.25">
      <c r="A665" s="11" t="s">
        <v>3751</v>
      </c>
      <c r="B665" s="13" t="s">
        <v>22</v>
      </c>
      <c r="C665" s="16" t="s">
        <v>3997</v>
      </c>
      <c r="E665" s="14" t="s">
        <v>22</v>
      </c>
      <c r="F665" s="14" t="s">
        <v>11</v>
      </c>
      <c r="G665" s="13">
        <v>1</v>
      </c>
      <c r="H665" s="14">
        <f>G665+I665</f>
        <v>1</v>
      </c>
      <c r="J665" s="14">
        <v>1</v>
      </c>
      <c r="K665" s="13" t="s">
        <v>578</v>
      </c>
      <c r="Q665" s="15"/>
    </row>
    <row r="666" spans="1:17" x14ac:dyDescent="0.25">
      <c r="A666" s="11" t="s">
        <v>3751</v>
      </c>
      <c r="B666" s="13" t="s">
        <v>22</v>
      </c>
      <c r="C666" s="16" t="s">
        <v>3903</v>
      </c>
      <c r="E666" s="14" t="s">
        <v>22</v>
      </c>
      <c r="F666" s="14" t="s">
        <v>11</v>
      </c>
      <c r="G666" s="13">
        <v>1</v>
      </c>
      <c r="H666" s="14">
        <f>G666+I666</f>
        <v>1</v>
      </c>
      <c r="J666" s="14">
        <v>1</v>
      </c>
      <c r="K666" s="13" t="s">
        <v>224</v>
      </c>
      <c r="Q666" s="15"/>
    </row>
    <row r="667" spans="1:17" x14ac:dyDescent="0.25">
      <c r="A667" s="11" t="s">
        <v>3751</v>
      </c>
      <c r="B667" s="13" t="s">
        <v>22</v>
      </c>
      <c r="C667" s="16" t="s">
        <v>3905</v>
      </c>
      <c r="E667" s="14" t="s">
        <v>149</v>
      </c>
      <c r="F667" s="14" t="s">
        <v>11</v>
      </c>
      <c r="G667" s="13">
        <v>1</v>
      </c>
      <c r="H667" s="14">
        <f>G667+I667</f>
        <v>1</v>
      </c>
      <c r="J667" s="14">
        <v>1</v>
      </c>
      <c r="K667" s="13" t="s">
        <v>224</v>
      </c>
      <c r="Q667" s="15"/>
    </row>
    <row r="668" spans="1:17" x14ac:dyDescent="0.25">
      <c r="A668" s="11" t="s">
        <v>3751</v>
      </c>
      <c r="B668" s="13" t="s">
        <v>22</v>
      </c>
      <c r="C668" s="16" t="s">
        <v>2398</v>
      </c>
      <c r="E668" s="14" t="s">
        <v>149</v>
      </c>
      <c r="F668" s="14" t="s">
        <v>11</v>
      </c>
      <c r="G668" s="13">
        <v>2</v>
      </c>
      <c r="H668" s="14">
        <f>G668+I668</f>
        <v>2</v>
      </c>
      <c r="J668" s="14">
        <v>1</v>
      </c>
      <c r="K668" s="13" t="s">
        <v>224</v>
      </c>
      <c r="Q668" s="15"/>
    </row>
    <row r="669" spans="1:17" x14ac:dyDescent="0.25">
      <c r="A669" s="11" t="s">
        <v>3751</v>
      </c>
      <c r="B669" s="13" t="s">
        <v>22</v>
      </c>
      <c r="C669" s="16" t="s">
        <v>149</v>
      </c>
      <c r="E669" s="14" t="s">
        <v>22</v>
      </c>
      <c r="F669" s="14" t="s">
        <v>11</v>
      </c>
      <c r="G669" s="13">
        <v>6</v>
      </c>
      <c r="H669" s="14">
        <f t="shared" si="12"/>
        <v>6</v>
      </c>
      <c r="J669" s="14">
        <v>3</v>
      </c>
      <c r="K669" s="13" t="s">
        <v>4546</v>
      </c>
      <c r="Q669" s="15"/>
    </row>
    <row r="670" spans="1:17" x14ac:dyDescent="0.25">
      <c r="A670" s="11" t="s">
        <v>3751</v>
      </c>
      <c r="B670" s="13" t="s">
        <v>22</v>
      </c>
      <c r="C670" s="16" t="s">
        <v>149</v>
      </c>
      <c r="E670" s="14" t="s">
        <v>3304</v>
      </c>
      <c r="F670" s="14" t="s">
        <v>11</v>
      </c>
      <c r="G670" s="13">
        <v>1</v>
      </c>
      <c r="H670" s="14">
        <f t="shared" si="12"/>
        <v>1</v>
      </c>
      <c r="J670" s="14">
        <v>1</v>
      </c>
      <c r="K670" s="13" t="s">
        <v>1790</v>
      </c>
      <c r="Q670" s="15"/>
    </row>
    <row r="671" spans="1:17" x14ac:dyDescent="0.25">
      <c r="A671" s="11" t="s">
        <v>3751</v>
      </c>
      <c r="B671" s="13" t="s">
        <v>22</v>
      </c>
      <c r="C671" s="16" t="s">
        <v>2399</v>
      </c>
      <c r="E671" s="14" t="s">
        <v>149</v>
      </c>
      <c r="F671" s="14" t="s">
        <v>11</v>
      </c>
      <c r="G671" s="13">
        <v>1</v>
      </c>
      <c r="H671" s="14">
        <f t="shared" si="12"/>
        <v>1</v>
      </c>
      <c r="J671" s="14">
        <v>1</v>
      </c>
      <c r="K671" s="13" t="s">
        <v>224</v>
      </c>
      <c r="Q671" s="15"/>
    </row>
    <row r="672" spans="1:17" x14ac:dyDescent="0.25">
      <c r="A672" s="11" t="s">
        <v>3751</v>
      </c>
      <c r="B672" s="13" t="s">
        <v>22</v>
      </c>
      <c r="C672" s="16" t="s">
        <v>3899</v>
      </c>
      <c r="E672" s="14" t="s">
        <v>149</v>
      </c>
      <c r="F672" s="14" t="s">
        <v>11</v>
      </c>
      <c r="G672" s="13">
        <v>1</v>
      </c>
      <c r="H672" s="14">
        <f>G672+I672</f>
        <v>1</v>
      </c>
      <c r="J672" s="14">
        <v>1</v>
      </c>
      <c r="K672" s="13" t="s">
        <v>224</v>
      </c>
      <c r="Q672" s="15"/>
    </row>
    <row r="673" spans="1:17" x14ac:dyDescent="0.25">
      <c r="A673" s="11" t="s">
        <v>3751</v>
      </c>
      <c r="B673" s="13" t="s">
        <v>609</v>
      </c>
      <c r="D673" s="13" t="s">
        <v>1940</v>
      </c>
      <c r="F673" s="14" t="s">
        <v>11</v>
      </c>
      <c r="G673" s="13">
        <v>2</v>
      </c>
      <c r="H673" s="14">
        <f t="shared" si="12"/>
        <v>2</v>
      </c>
      <c r="J673" s="14">
        <v>2</v>
      </c>
      <c r="K673" s="13" t="s">
        <v>4439</v>
      </c>
      <c r="Q673" s="15"/>
    </row>
    <row r="674" spans="1:17" x14ac:dyDescent="0.25">
      <c r="A674" s="11" t="s">
        <v>3751</v>
      </c>
      <c r="B674" s="13" t="s">
        <v>609</v>
      </c>
      <c r="C674" s="16" t="s">
        <v>3765</v>
      </c>
      <c r="F674" s="14" t="s">
        <v>11</v>
      </c>
      <c r="G674" s="13">
        <v>1</v>
      </c>
      <c r="H674" s="14">
        <f>G674+I674</f>
        <v>1</v>
      </c>
      <c r="J674" s="14">
        <v>1</v>
      </c>
      <c r="K674" s="13" t="s">
        <v>1780</v>
      </c>
      <c r="Q674" s="15"/>
    </row>
    <row r="675" spans="1:17" x14ac:dyDescent="0.25">
      <c r="A675" s="11" t="s">
        <v>3751</v>
      </c>
      <c r="B675" s="13" t="s">
        <v>699</v>
      </c>
      <c r="D675" s="13" t="s">
        <v>1940</v>
      </c>
      <c r="F675" s="14" t="s">
        <v>11</v>
      </c>
      <c r="G675" s="13">
        <v>5</v>
      </c>
      <c r="H675" s="14">
        <f>G675+I675</f>
        <v>5</v>
      </c>
      <c r="J675" s="14">
        <v>5</v>
      </c>
      <c r="K675" s="13" t="s">
        <v>4393</v>
      </c>
      <c r="Q675" s="15"/>
    </row>
    <row r="676" spans="1:17" x14ac:dyDescent="0.25">
      <c r="A676" s="11" t="s">
        <v>3751</v>
      </c>
      <c r="B676" s="13" t="s">
        <v>93</v>
      </c>
      <c r="C676" s="16" t="s">
        <v>103</v>
      </c>
      <c r="E676" s="14" t="s">
        <v>103</v>
      </c>
      <c r="F676" s="14" t="s">
        <v>11</v>
      </c>
      <c r="G676" s="13">
        <v>2</v>
      </c>
      <c r="H676" s="14">
        <f t="shared" si="12"/>
        <v>2</v>
      </c>
      <c r="J676" s="14">
        <v>2</v>
      </c>
      <c r="K676" s="13" t="s">
        <v>3980</v>
      </c>
      <c r="Q676" s="15"/>
    </row>
    <row r="677" spans="1:17" x14ac:dyDescent="0.25">
      <c r="A677" s="11" t="s">
        <v>3751</v>
      </c>
      <c r="B677" s="13" t="s">
        <v>93</v>
      </c>
      <c r="C677" s="16" t="s">
        <v>112</v>
      </c>
      <c r="E677" s="14" t="s">
        <v>112</v>
      </c>
      <c r="F677" s="14" t="s">
        <v>11</v>
      </c>
      <c r="G677" s="13">
        <v>4</v>
      </c>
      <c r="H677" s="14">
        <f>G677+I677</f>
        <v>4</v>
      </c>
      <c r="J677" s="14">
        <v>2</v>
      </c>
      <c r="K677" s="13" t="s">
        <v>4379</v>
      </c>
      <c r="Q677" s="15"/>
    </row>
    <row r="678" spans="1:17" x14ac:dyDescent="0.25">
      <c r="A678" s="11" t="s">
        <v>3751</v>
      </c>
      <c r="B678" s="13" t="s">
        <v>93</v>
      </c>
      <c r="D678" s="13" t="s">
        <v>1940</v>
      </c>
      <c r="F678" s="14" t="s">
        <v>11</v>
      </c>
      <c r="G678" s="13">
        <v>8</v>
      </c>
      <c r="H678" s="14">
        <f t="shared" si="12"/>
        <v>8</v>
      </c>
      <c r="J678" s="14">
        <v>7</v>
      </c>
      <c r="K678" s="13" t="s">
        <v>4629</v>
      </c>
      <c r="Q678" s="15"/>
    </row>
    <row r="679" spans="1:17" x14ac:dyDescent="0.25">
      <c r="A679" s="11" t="s">
        <v>3751</v>
      </c>
      <c r="B679" s="13" t="s">
        <v>93</v>
      </c>
      <c r="D679" s="13" t="s">
        <v>4372</v>
      </c>
      <c r="F679" s="14" t="s">
        <v>11</v>
      </c>
      <c r="G679" s="13"/>
      <c r="H679" s="14">
        <f>G679+I679</f>
        <v>1</v>
      </c>
      <c r="I679" s="14">
        <v>1</v>
      </c>
      <c r="J679" s="14">
        <v>1</v>
      </c>
      <c r="K679" s="13" t="s">
        <v>4373</v>
      </c>
      <c r="Q679" s="15"/>
    </row>
    <row r="680" spans="1:17" x14ac:dyDescent="0.25">
      <c r="A680" s="11" t="s">
        <v>3751</v>
      </c>
      <c r="B680" s="13" t="s">
        <v>93</v>
      </c>
      <c r="C680" s="16" t="s">
        <v>160</v>
      </c>
      <c r="E680" s="14" t="s">
        <v>93</v>
      </c>
      <c r="F680" s="14" t="s">
        <v>11</v>
      </c>
      <c r="G680" s="13">
        <v>2</v>
      </c>
      <c r="H680" s="14">
        <f t="shared" si="12"/>
        <v>2</v>
      </c>
      <c r="J680" s="14">
        <v>2</v>
      </c>
      <c r="K680" s="13" t="s">
        <v>4401</v>
      </c>
      <c r="Q680" s="15"/>
    </row>
    <row r="681" spans="1:17" x14ac:dyDescent="0.25">
      <c r="A681" s="11" t="s">
        <v>3751</v>
      </c>
      <c r="B681" s="13" t="s">
        <v>1879</v>
      </c>
      <c r="C681" s="16" t="s">
        <v>4223</v>
      </c>
      <c r="F681" s="14" t="s">
        <v>11</v>
      </c>
      <c r="G681" s="13">
        <v>1</v>
      </c>
      <c r="H681" s="14">
        <f>G681+I681</f>
        <v>1</v>
      </c>
      <c r="J681" s="14">
        <v>1</v>
      </c>
      <c r="K681" s="13" t="s">
        <v>1583</v>
      </c>
      <c r="Q681" s="15"/>
    </row>
    <row r="682" spans="1:17" x14ac:dyDescent="0.25">
      <c r="A682" s="11" t="s">
        <v>3751</v>
      </c>
      <c r="B682" s="13" t="s">
        <v>24</v>
      </c>
      <c r="C682" s="16" t="s">
        <v>4441</v>
      </c>
      <c r="F682" s="14" t="s">
        <v>11</v>
      </c>
      <c r="G682" s="13">
        <v>2</v>
      </c>
      <c r="H682" s="14">
        <f>G682+I682</f>
        <v>2</v>
      </c>
      <c r="J682" s="14">
        <v>2</v>
      </c>
      <c r="K682" s="13" t="s">
        <v>4497</v>
      </c>
      <c r="Q682" s="15"/>
    </row>
    <row r="683" spans="1:17" x14ac:dyDescent="0.25">
      <c r="A683" s="11" t="s">
        <v>3751</v>
      </c>
      <c r="B683" s="13" t="s">
        <v>24</v>
      </c>
      <c r="C683" s="16" t="s">
        <v>4442</v>
      </c>
      <c r="F683" s="14" t="s">
        <v>11</v>
      </c>
      <c r="G683" s="13">
        <v>2</v>
      </c>
      <c r="H683" s="14">
        <f>G683+I683</f>
        <v>2</v>
      </c>
      <c r="J683" s="14">
        <v>2</v>
      </c>
      <c r="K683" s="13" t="s">
        <v>4443</v>
      </c>
      <c r="Q683" s="15"/>
    </row>
    <row r="684" spans="1:17" x14ac:dyDescent="0.25">
      <c r="A684" s="11" t="s">
        <v>3751</v>
      </c>
      <c r="B684" s="13" t="s">
        <v>24</v>
      </c>
      <c r="C684" s="16" t="s">
        <v>986</v>
      </c>
      <c r="F684" s="14" t="s">
        <v>11</v>
      </c>
      <c r="G684" s="13">
        <v>1</v>
      </c>
      <c r="H684" s="14">
        <f t="shared" si="12"/>
        <v>1</v>
      </c>
      <c r="J684" s="14">
        <v>1</v>
      </c>
      <c r="K684" s="13" t="s">
        <v>1656</v>
      </c>
      <c r="Q684" s="15"/>
    </row>
    <row r="685" spans="1:17" x14ac:dyDescent="0.25">
      <c r="A685" s="11" t="s">
        <v>3751</v>
      </c>
      <c r="B685" s="13" t="s">
        <v>24</v>
      </c>
      <c r="C685" s="16" t="s">
        <v>3775</v>
      </c>
      <c r="F685" s="14" t="s">
        <v>11</v>
      </c>
      <c r="G685" s="13">
        <v>1</v>
      </c>
      <c r="H685" s="14">
        <f>G685+I685</f>
        <v>1</v>
      </c>
      <c r="J685" s="14">
        <v>1</v>
      </c>
      <c r="K685" s="13" t="s">
        <v>952</v>
      </c>
      <c r="Q685" s="15"/>
    </row>
    <row r="686" spans="1:17" x14ac:dyDescent="0.25">
      <c r="A686" s="11" t="s">
        <v>3751</v>
      </c>
      <c r="B686" s="13" t="s">
        <v>24</v>
      </c>
      <c r="C686" s="16" t="s">
        <v>2868</v>
      </c>
      <c r="F686" s="14" t="s">
        <v>11</v>
      </c>
      <c r="G686" s="13">
        <v>2</v>
      </c>
      <c r="H686" s="14">
        <f t="shared" si="12"/>
        <v>2</v>
      </c>
      <c r="J686" s="14">
        <v>2</v>
      </c>
      <c r="K686" s="13" t="s">
        <v>3982</v>
      </c>
      <c r="Q686" s="15"/>
    </row>
    <row r="687" spans="1:17" ht="22.5" x14ac:dyDescent="0.25">
      <c r="A687" s="11" t="s">
        <v>3751</v>
      </c>
      <c r="B687" s="13" t="s">
        <v>24</v>
      </c>
      <c r="C687" s="16" t="s">
        <v>24</v>
      </c>
      <c r="D687" s="13" t="s">
        <v>1940</v>
      </c>
      <c r="F687" s="14" t="s">
        <v>11</v>
      </c>
      <c r="G687" s="13">
        <v>24</v>
      </c>
      <c r="H687" s="14">
        <f t="shared" si="12"/>
        <v>24</v>
      </c>
      <c r="J687" s="14">
        <v>18</v>
      </c>
      <c r="K687" s="13" t="s">
        <v>4440</v>
      </c>
      <c r="Q687" s="15"/>
    </row>
    <row r="688" spans="1:17" x14ac:dyDescent="0.25">
      <c r="A688" s="11" t="s">
        <v>3751</v>
      </c>
      <c r="B688" s="13" t="s">
        <v>24</v>
      </c>
      <c r="C688" s="16" t="s">
        <v>3763</v>
      </c>
      <c r="F688" s="14" t="s">
        <v>11</v>
      </c>
      <c r="G688" s="13">
        <v>1</v>
      </c>
      <c r="H688" s="14">
        <f>G688+I688</f>
        <v>1</v>
      </c>
      <c r="J688" s="14">
        <v>1</v>
      </c>
      <c r="K688" s="13" t="s">
        <v>2340</v>
      </c>
      <c r="Q688" s="15"/>
    </row>
    <row r="689" spans="1:17" x14ac:dyDescent="0.25">
      <c r="A689" s="11" t="s">
        <v>3751</v>
      </c>
      <c r="B689" s="13" t="s">
        <v>24</v>
      </c>
      <c r="C689" s="16" t="s">
        <v>3141</v>
      </c>
      <c r="F689" s="14" t="s">
        <v>11</v>
      </c>
      <c r="G689" s="13">
        <v>2</v>
      </c>
      <c r="H689" s="14">
        <f t="shared" si="12"/>
        <v>2</v>
      </c>
      <c r="J689" s="14">
        <v>2</v>
      </c>
      <c r="K689" s="13" t="s">
        <v>4630</v>
      </c>
      <c r="Q689" s="15"/>
    </row>
    <row r="690" spans="1:17" x14ac:dyDescent="0.25">
      <c r="A690" s="11" t="s">
        <v>3751</v>
      </c>
      <c r="B690" s="13" t="s">
        <v>24</v>
      </c>
      <c r="C690" s="16" t="s">
        <v>3214</v>
      </c>
      <c r="F690" s="14" t="s">
        <v>11</v>
      </c>
      <c r="G690" s="13">
        <v>1</v>
      </c>
      <c r="H690" s="14">
        <f t="shared" si="12"/>
        <v>1</v>
      </c>
      <c r="J690" s="14">
        <v>1</v>
      </c>
      <c r="K690" s="13" t="s">
        <v>2340</v>
      </c>
      <c r="Q690" s="15"/>
    </row>
    <row r="691" spans="1:17" x14ac:dyDescent="0.25">
      <c r="A691" s="11" t="s">
        <v>3751</v>
      </c>
      <c r="B691" s="13" t="s">
        <v>24</v>
      </c>
      <c r="C691" s="16" t="s">
        <v>848</v>
      </c>
      <c r="E691" s="14" t="s">
        <v>21</v>
      </c>
      <c r="F691" s="14" t="s">
        <v>11</v>
      </c>
      <c r="G691" s="13">
        <v>5</v>
      </c>
      <c r="H691" s="14">
        <f>G691+I691</f>
        <v>5</v>
      </c>
      <c r="J691" s="14">
        <v>5</v>
      </c>
      <c r="K691" s="13" t="s">
        <v>4355</v>
      </c>
      <c r="Q691" s="15"/>
    </row>
    <row r="692" spans="1:17" ht="22.5" x14ac:dyDescent="0.25">
      <c r="A692" s="11" t="s">
        <v>3751</v>
      </c>
      <c r="B692" s="13" t="s">
        <v>24</v>
      </c>
      <c r="C692" s="16" t="s">
        <v>4506</v>
      </c>
      <c r="D692" s="13" t="s">
        <v>4500</v>
      </c>
      <c r="E692" s="14" t="s">
        <v>21</v>
      </c>
      <c r="F692" s="14" t="s">
        <v>11</v>
      </c>
      <c r="G692" s="13">
        <v>5</v>
      </c>
      <c r="H692" s="14">
        <f>G692+I692</f>
        <v>5</v>
      </c>
      <c r="J692" s="14">
        <v>3</v>
      </c>
      <c r="K692" s="13" t="s">
        <v>4517</v>
      </c>
      <c r="Q692" s="15"/>
    </row>
    <row r="693" spans="1:17" x14ac:dyDescent="0.25">
      <c r="A693" s="11" t="s">
        <v>3751</v>
      </c>
      <c r="B693" s="13" t="s">
        <v>24</v>
      </c>
      <c r="C693" s="16" t="s">
        <v>1182</v>
      </c>
      <c r="E693" s="14" t="s">
        <v>21</v>
      </c>
      <c r="F693" s="14" t="s">
        <v>11</v>
      </c>
      <c r="G693" s="13">
        <v>1</v>
      </c>
      <c r="H693" s="14">
        <f t="shared" si="12"/>
        <v>1</v>
      </c>
      <c r="J693" s="14">
        <v>1</v>
      </c>
      <c r="K693" s="13" t="s">
        <v>590</v>
      </c>
      <c r="Q693" s="15"/>
    </row>
    <row r="694" spans="1:17" ht="22.5" x14ac:dyDescent="0.25">
      <c r="A694" s="11" t="s">
        <v>3751</v>
      </c>
      <c r="B694" s="13" t="s">
        <v>416</v>
      </c>
      <c r="C694" s="16" t="s">
        <v>416</v>
      </c>
      <c r="D694" s="13" t="s">
        <v>1940</v>
      </c>
      <c r="F694" s="14" t="s">
        <v>11</v>
      </c>
      <c r="G694" s="13">
        <v>22</v>
      </c>
      <c r="H694" s="14">
        <f>G694+I694</f>
        <v>22</v>
      </c>
      <c r="J694" s="14">
        <v>19</v>
      </c>
      <c r="K694" s="13" t="s">
        <v>4643</v>
      </c>
      <c r="Q694" s="15"/>
    </row>
    <row r="695" spans="1:17" x14ac:dyDescent="0.25">
      <c r="A695" s="11" t="s">
        <v>3751</v>
      </c>
      <c r="B695" s="13" t="s">
        <v>416</v>
      </c>
      <c r="C695" s="16" t="s">
        <v>3598</v>
      </c>
      <c r="F695" s="14" t="s">
        <v>11</v>
      </c>
      <c r="G695" s="13">
        <v>12</v>
      </c>
      <c r="H695" s="14">
        <f>G695+I695</f>
        <v>12</v>
      </c>
      <c r="J695" s="14">
        <v>7</v>
      </c>
      <c r="K695" s="13" t="s">
        <v>4480</v>
      </c>
      <c r="Q695" s="15"/>
    </row>
    <row r="696" spans="1:17" x14ac:dyDescent="0.25">
      <c r="A696" s="11" t="s">
        <v>3751</v>
      </c>
      <c r="B696" s="13" t="s">
        <v>139</v>
      </c>
      <c r="D696" s="13" t="s">
        <v>1940</v>
      </c>
      <c r="F696" s="14" t="s">
        <v>11</v>
      </c>
      <c r="G696" s="13">
        <v>2</v>
      </c>
      <c r="H696" s="14">
        <f>G696+I696</f>
        <v>2</v>
      </c>
      <c r="J696" s="14">
        <v>2</v>
      </c>
      <c r="K696" s="13" t="s">
        <v>4384</v>
      </c>
      <c r="Q696" s="15"/>
    </row>
    <row r="697" spans="1:17" x14ac:dyDescent="0.25">
      <c r="A697" s="11" t="s">
        <v>3751</v>
      </c>
      <c r="B697" s="13" t="s">
        <v>139</v>
      </c>
      <c r="C697" s="16" t="s">
        <v>455</v>
      </c>
      <c r="F697" s="14" t="s">
        <v>11</v>
      </c>
      <c r="G697" s="13">
        <v>1</v>
      </c>
      <c r="H697" s="14">
        <f>G697+I697</f>
        <v>1</v>
      </c>
      <c r="J697" s="14">
        <v>1</v>
      </c>
      <c r="K697" s="13" t="s">
        <v>4385</v>
      </c>
      <c r="Q697" s="15"/>
    </row>
    <row r="698" spans="1:17" x14ac:dyDescent="0.25">
      <c r="A698" s="11" t="s">
        <v>3751</v>
      </c>
      <c r="B698" s="13" t="s">
        <v>269</v>
      </c>
      <c r="D698" s="13" t="s">
        <v>1940</v>
      </c>
      <c r="F698" s="14" t="s">
        <v>11</v>
      </c>
      <c r="G698" s="13">
        <v>10</v>
      </c>
      <c r="H698" s="14">
        <f t="shared" si="12"/>
        <v>11</v>
      </c>
      <c r="I698" s="14">
        <v>1</v>
      </c>
      <c r="J698" s="14">
        <v>9</v>
      </c>
      <c r="K698" s="13" t="s">
        <v>4596</v>
      </c>
      <c r="Q698" s="15"/>
    </row>
    <row r="699" spans="1:17" x14ac:dyDescent="0.25">
      <c r="A699" s="11" t="s">
        <v>3751</v>
      </c>
      <c r="B699" s="13" t="s">
        <v>1844</v>
      </c>
      <c r="C699" s="16" t="s">
        <v>630</v>
      </c>
      <c r="E699" s="13"/>
      <c r="F699" s="14" t="s">
        <v>11</v>
      </c>
      <c r="G699" s="13"/>
      <c r="H699" s="14">
        <f t="shared" si="12"/>
        <v>2</v>
      </c>
      <c r="I699" s="14">
        <v>2</v>
      </c>
      <c r="J699" s="14">
        <v>1</v>
      </c>
      <c r="K699" s="13" t="s">
        <v>4593</v>
      </c>
      <c r="Q699" s="15"/>
    </row>
    <row r="700" spans="1:17" ht="25.5" x14ac:dyDescent="0.25">
      <c r="A700" s="11" t="s">
        <v>3751</v>
      </c>
      <c r="B700" s="13" t="s">
        <v>269</v>
      </c>
      <c r="C700" s="15" t="s">
        <v>4213</v>
      </c>
      <c r="D700" s="17" t="s">
        <v>514</v>
      </c>
      <c r="E700" s="14" t="s">
        <v>515</v>
      </c>
      <c r="F700" s="14" t="s">
        <v>11</v>
      </c>
      <c r="G700" s="13"/>
      <c r="H700" s="14">
        <f>G700+I700</f>
        <v>1</v>
      </c>
      <c r="I700" s="14">
        <v>1</v>
      </c>
      <c r="J700" s="14">
        <v>1</v>
      </c>
      <c r="K700" s="13" t="s">
        <v>2301</v>
      </c>
      <c r="Q700" s="15"/>
    </row>
    <row r="701" spans="1:17" ht="25.5" x14ac:dyDescent="0.25">
      <c r="A701" s="11" t="s">
        <v>3751</v>
      </c>
      <c r="B701" s="13" t="s">
        <v>269</v>
      </c>
      <c r="C701" s="15" t="s">
        <v>4214</v>
      </c>
      <c r="D701" s="17" t="s">
        <v>514</v>
      </c>
      <c r="E701" s="14" t="s">
        <v>515</v>
      </c>
      <c r="F701" s="14" t="s">
        <v>11</v>
      </c>
      <c r="G701" s="13"/>
      <c r="H701" s="14">
        <f>G701+I701</f>
        <v>1</v>
      </c>
      <c r="I701" s="14">
        <v>1</v>
      </c>
      <c r="J701" s="14">
        <v>1</v>
      </c>
      <c r="K701" s="13" t="s">
        <v>2301</v>
      </c>
      <c r="Q701" s="15"/>
    </row>
    <row r="702" spans="1:17" x14ac:dyDescent="0.25">
      <c r="A702" s="11" t="s">
        <v>3751</v>
      </c>
      <c r="B702" s="13" t="s">
        <v>2079</v>
      </c>
      <c r="C702" s="16" t="s">
        <v>3044</v>
      </c>
      <c r="F702" s="14" t="s">
        <v>11</v>
      </c>
      <c r="G702" s="13"/>
      <c r="H702" s="14">
        <f t="shared" si="12"/>
        <v>2</v>
      </c>
      <c r="I702" s="14">
        <v>2</v>
      </c>
      <c r="J702" s="14">
        <v>1</v>
      </c>
      <c r="K702" s="13" t="s">
        <v>4593</v>
      </c>
      <c r="Q702" s="15"/>
    </row>
    <row r="703" spans="1:17" x14ac:dyDescent="0.25">
      <c r="A703" s="11" t="s">
        <v>3751</v>
      </c>
      <c r="B703" s="13" t="s">
        <v>272</v>
      </c>
      <c r="D703" s="13" t="s">
        <v>1940</v>
      </c>
      <c r="F703" s="14" t="s">
        <v>11</v>
      </c>
      <c r="G703" s="13">
        <v>10</v>
      </c>
      <c r="H703" s="14">
        <f t="shared" si="12"/>
        <v>10</v>
      </c>
      <c r="J703" s="14">
        <v>8</v>
      </c>
      <c r="K703" s="13" t="s">
        <v>4450</v>
      </c>
      <c r="Q703" s="15"/>
    </row>
    <row r="704" spans="1:17" x14ac:dyDescent="0.25">
      <c r="A704" s="11" t="s">
        <v>3751</v>
      </c>
      <c r="B704" s="13" t="s">
        <v>272</v>
      </c>
      <c r="C704" s="16" t="s">
        <v>3134</v>
      </c>
      <c r="F704" s="14" t="s">
        <v>11</v>
      </c>
      <c r="G704" s="13">
        <v>1</v>
      </c>
      <c r="H704" s="14">
        <f t="shared" ref="H704:H710" si="13">G704+I704</f>
        <v>1</v>
      </c>
      <c r="J704" s="14">
        <v>1</v>
      </c>
      <c r="K704" s="13" t="s">
        <v>3187</v>
      </c>
      <c r="Q704" s="15"/>
    </row>
    <row r="705" spans="1:17" x14ac:dyDescent="0.25">
      <c r="A705" s="11" t="s">
        <v>3751</v>
      </c>
      <c r="B705" s="13" t="s">
        <v>272</v>
      </c>
      <c r="C705" s="16" t="s">
        <v>3981</v>
      </c>
      <c r="F705" s="14" t="s">
        <v>11</v>
      </c>
      <c r="G705" s="13">
        <v>3</v>
      </c>
      <c r="H705" s="14">
        <f t="shared" si="13"/>
        <v>3</v>
      </c>
      <c r="J705" s="14">
        <v>2</v>
      </c>
      <c r="K705" s="13" t="s">
        <v>4038</v>
      </c>
      <c r="Q705" s="15"/>
    </row>
    <row r="706" spans="1:17" x14ac:dyDescent="0.25">
      <c r="A706" s="11" t="s">
        <v>3751</v>
      </c>
      <c r="B706" s="13" t="s">
        <v>24</v>
      </c>
      <c r="C706" s="16" t="s">
        <v>1181</v>
      </c>
      <c r="F706" s="14" t="s">
        <v>11</v>
      </c>
      <c r="G706" s="13">
        <v>2</v>
      </c>
      <c r="H706" s="14">
        <f t="shared" si="13"/>
        <v>2</v>
      </c>
      <c r="J706" s="14">
        <v>1</v>
      </c>
      <c r="K706" s="13" t="s">
        <v>952</v>
      </c>
      <c r="Q706" s="15"/>
    </row>
    <row r="707" spans="1:17" x14ac:dyDescent="0.25">
      <c r="A707" s="11" t="s">
        <v>3751</v>
      </c>
      <c r="C707" s="16" t="s">
        <v>1181</v>
      </c>
      <c r="D707" s="13" t="s">
        <v>1940</v>
      </c>
      <c r="F707" s="14" t="s">
        <v>11</v>
      </c>
      <c r="G707" s="13">
        <v>3</v>
      </c>
      <c r="H707" s="14">
        <f t="shared" si="13"/>
        <v>3</v>
      </c>
      <c r="J707" s="14">
        <v>3</v>
      </c>
      <c r="K707" s="13" t="s">
        <v>4374</v>
      </c>
      <c r="Q707" s="15"/>
    </row>
    <row r="708" spans="1:17" x14ac:dyDescent="0.25">
      <c r="A708" s="11" t="s">
        <v>3751</v>
      </c>
      <c r="B708" s="13" t="s">
        <v>24</v>
      </c>
      <c r="C708" s="16" t="s">
        <v>3772</v>
      </c>
      <c r="F708" s="14" t="s">
        <v>11</v>
      </c>
      <c r="G708" s="13">
        <v>2</v>
      </c>
      <c r="H708" s="14">
        <f t="shared" si="13"/>
        <v>2</v>
      </c>
      <c r="J708" s="14">
        <v>1</v>
      </c>
      <c r="K708" s="13" t="s">
        <v>970</v>
      </c>
      <c r="Q708" s="15"/>
    </row>
    <row r="709" spans="1:17" ht="25.5" x14ac:dyDescent="0.25">
      <c r="A709" s="11" t="s">
        <v>3751</v>
      </c>
      <c r="B709" s="13" t="s">
        <v>24</v>
      </c>
      <c r="C709" s="16" t="s">
        <v>3773</v>
      </c>
      <c r="F709" s="14" t="s">
        <v>11</v>
      </c>
      <c r="G709" s="13">
        <v>1</v>
      </c>
      <c r="H709" s="14">
        <f t="shared" si="13"/>
        <v>1</v>
      </c>
      <c r="J709" s="14">
        <v>1</v>
      </c>
      <c r="K709" s="13" t="s">
        <v>970</v>
      </c>
      <c r="Q709" s="15"/>
    </row>
    <row r="710" spans="1:17" x14ac:dyDescent="0.25">
      <c r="A710" s="11" t="s">
        <v>3751</v>
      </c>
      <c r="B710" s="13" t="s">
        <v>24</v>
      </c>
      <c r="C710" s="16" t="s">
        <v>3774</v>
      </c>
      <c r="F710" s="14" t="s">
        <v>11</v>
      </c>
      <c r="G710" s="13">
        <v>1</v>
      </c>
      <c r="H710" s="14">
        <f t="shared" si="13"/>
        <v>1</v>
      </c>
      <c r="J710" s="14">
        <v>1</v>
      </c>
      <c r="K710" s="13" t="s">
        <v>952</v>
      </c>
      <c r="Q710" s="15"/>
    </row>
    <row r="711" spans="1:17" x14ac:dyDescent="0.25">
      <c r="A711" s="11" t="s">
        <v>3751</v>
      </c>
      <c r="B711" s="13" t="s">
        <v>609</v>
      </c>
      <c r="C711" s="16" t="s">
        <v>2041</v>
      </c>
      <c r="F711" s="14" t="s">
        <v>11</v>
      </c>
      <c r="G711" s="13">
        <v>1</v>
      </c>
      <c r="H711" s="14">
        <f t="shared" si="12"/>
        <v>1</v>
      </c>
      <c r="J711" s="14">
        <v>1</v>
      </c>
      <c r="K711" s="13" t="s">
        <v>2486</v>
      </c>
      <c r="Q711" s="15"/>
    </row>
    <row r="712" spans="1:17" x14ac:dyDescent="0.25">
      <c r="A712" s="11" t="s">
        <v>3751</v>
      </c>
      <c r="C712" s="16" t="s">
        <v>3917</v>
      </c>
      <c r="E712" s="14" t="s">
        <v>1883</v>
      </c>
      <c r="F712" s="14" t="s">
        <v>11</v>
      </c>
      <c r="G712" s="13">
        <v>1</v>
      </c>
      <c r="H712" s="14">
        <f>G712+I712</f>
        <v>1</v>
      </c>
      <c r="J712" s="14">
        <v>1</v>
      </c>
      <c r="K712" s="13" t="s">
        <v>338</v>
      </c>
      <c r="Q712" s="15"/>
    </row>
    <row r="713" spans="1:17" x14ac:dyDescent="0.25">
      <c r="A713" s="11" t="s">
        <v>3751</v>
      </c>
      <c r="B713" s="13" t="s">
        <v>134</v>
      </c>
      <c r="C713" s="16" t="s">
        <v>1624</v>
      </c>
      <c r="F713" s="14" t="s">
        <v>11</v>
      </c>
      <c r="G713" s="13">
        <v>1</v>
      </c>
      <c r="H713" s="14">
        <f t="shared" si="12"/>
        <v>1</v>
      </c>
      <c r="J713" s="14">
        <v>1</v>
      </c>
      <c r="K713" s="13" t="s">
        <v>4385</v>
      </c>
      <c r="Q713" s="15"/>
    </row>
    <row r="714" spans="1:17" x14ac:dyDescent="0.25">
      <c r="A714" s="11" t="s">
        <v>3751</v>
      </c>
      <c r="B714" s="13" t="s">
        <v>327</v>
      </c>
      <c r="C714" s="16" t="s">
        <v>677</v>
      </c>
      <c r="D714" s="13" t="s">
        <v>1940</v>
      </c>
      <c r="F714" s="14" t="s">
        <v>11</v>
      </c>
      <c r="G714" s="13">
        <v>3</v>
      </c>
      <c r="H714" s="14">
        <f>G714+I714</f>
        <v>3</v>
      </c>
      <c r="J714" s="14">
        <v>3</v>
      </c>
      <c r="K714" s="13" t="s">
        <v>3795</v>
      </c>
    </row>
    <row r="715" spans="1:17" x14ac:dyDescent="0.25">
      <c r="A715" s="11" t="s">
        <v>3751</v>
      </c>
      <c r="B715" s="13" t="s">
        <v>327</v>
      </c>
      <c r="C715" s="16" t="s">
        <v>3926</v>
      </c>
      <c r="D715" s="13" t="s">
        <v>3927</v>
      </c>
      <c r="F715" s="14" t="s">
        <v>11</v>
      </c>
      <c r="G715" s="13">
        <v>1</v>
      </c>
      <c r="H715" s="14">
        <f>G715+I715</f>
        <v>1</v>
      </c>
      <c r="J715" s="14">
        <v>1</v>
      </c>
      <c r="K715" s="13" t="s">
        <v>358</v>
      </c>
    </row>
    <row r="716" spans="1:17" x14ac:dyDescent="0.25">
      <c r="A716" s="11" t="s">
        <v>3751</v>
      </c>
      <c r="B716" s="14" t="s">
        <v>327</v>
      </c>
      <c r="C716" s="16" t="s">
        <v>281</v>
      </c>
      <c r="D716" s="13" t="s">
        <v>1940</v>
      </c>
      <c r="E716" s="15"/>
      <c r="F716" s="14" t="s">
        <v>11</v>
      </c>
      <c r="G716" s="13">
        <v>2</v>
      </c>
      <c r="H716" s="14">
        <f t="shared" si="12"/>
        <v>2</v>
      </c>
      <c r="J716" s="14">
        <v>2</v>
      </c>
      <c r="K716" s="13" t="s">
        <v>3796</v>
      </c>
    </row>
    <row r="717" spans="1:17" x14ac:dyDescent="0.25">
      <c r="A717" s="11" t="s">
        <v>3751</v>
      </c>
      <c r="C717" s="16" t="s">
        <v>566</v>
      </c>
      <c r="E717" s="14" t="s">
        <v>2336</v>
      </c>
      <c r="F717" s="14" t="s">
        <v>11</v>
      </c>
      <c r="G717" s="13">
        <v>4</v>
      </c>
      <c r="H717" s="14">
        <f t="shared" si="12"/>
        <v>4</v>
      </c>
      <c r="J717" s="14">
        <v>3</v>
      </c>
      <c r="K717" s="13" t="s">
        <v>4419</v>
      </c>
    </row>
    <row r="718" spans="1:17" x14ac:dyDescent="0.25">
      <c r="A718" s="11" t="s">
        <v>3751</v>
      </c>
      <c r="C718" s="16" t="s">
        <v>1422</v>
      </c>
      <c r="E718" s="14" t="s">
        <v>4661</v>
      </c>
      <c r="F718" s="14" t="s">
        <v>11</v>
      </c>
      <c r="G718" s="13">
        <v>3</v>
      </c>
      <c r="H718" s="14">
        <f t="shared" si="12"/>
        <v>3</v>
      </c>
      <c r="J718" s="14">
        <v>3</v>
      </c>
      <c r="K718" s="13" t="s">
        <v>4377</v>
      </c>
    </row>
    <row r="719" spans="1:17" x14ac:dyDescent="0.25">
      <c r="A719" s="11" t="s">
        <v>3751</v>
      </c>
      <c r="C719" s="16" t="s">
        <v>48</v>
      </c>
      <c r="D719" s="10"/>
      <c r="E719" s="10" t="s">
        <v>2336</v>
      </c>
      <c r="F719" s="14" t="s">
        <v>11</v>
      </c>
      <c r="G719" s="13">
        <v>10</v>
      </c>
      <c r="H719" s="14">
        <f t="shared" si="12"/>
        <v>11</v>
      </c>
      <c r="I719" s="14">
        <v>1</v>
      </c>
      <c r="J719" s="14">
        <v>11</v>
      </c>
      <c r="K719" s="13" t="s">
        <v>4637</v>
      </c>
    </row>
    <row r="720" spans="1:17" x14ac:dyDescent="0.25">
      <c r="A720" s="11" t="s">
        <v>3751</v>
      </c>
      <c r="C720" s="16" t="s">
        <v>1806</v>
      </c>
      <c r="D720" s="13" t="s">
        <v>1057</v>
      </c>
      <c r="E720" s="14" t="s">
        <v>282</v>
      </c>
      <c r="F720" s="14" t="s">
        <v>11</v>
      </c>
      <c r="G720" s="13">
        <v>1</v>
      </c>
      <c r="H720" s="14">
        <f t="shared" si="12"/>
        <v>1</v>
      </c>
      <c r="J720" s="14">
        <v>1</v>
      </c>
      <c r="K720" s="13" t="s">
        <v>1218</v>
      </c>
      <c r="L720" s="39"/>
      <c r="M720" s="39"/>
      <c r="N720" s="39"/>
      <c r="O720" s="39"/>
      <c r="P720" s="39"/>
    </row>
    <row r="721" spans="1:17" x14ac:dyDescent="0.25">
      <c r="A721" s="11" t="s">
        <v>3751</v>
      </c>
      <c r="B721" s="26"/>
      <c r="C721" s="74" t="s">
        <v>11</v>
      </c>
      <c r="E721" s="25"/>
      <c r="F721" s="25" t="s">
        <v>11</v>
      </c>
      <c r="G721" s="26">
        <v>14</v>
      </c>
      <c r="H721" s="25">
        <f t="shared" si="12"/>
        <v>14</v>
      </c>
      <c r="I721" s="25"/>
      <c r="J721" s="25">
        <v>12</v>
      </c>
      <c r="K721" s="26" t="s">
        <v>4382</v>
      </c>
    </row>
    <row r="722" spans="1:17" x14ac:dyDescent="0.25">
      <c r="A722" s="11" t="s">
        <v>3751</v>
      </c>
      <c r="C722" s="16" t="s">
        <v>844</v>
      </c>
      <c r="F722" s="14" t="s">
        <v>11</v>
      </c>
      <c r="G722" s="13">
        <v>2</v>
      </c>
      <c r="H722" s="14">
        <f t="shared" si="12"/>
        <v>2</v>
      </c>
      <c r="J722" s="14">
        <v>2</v>
      </c>
      <c r="K722" s="13" t="s">
        <v>4642</v>
      </c>
    </row>
    <row r="723" spans="1:17" x14ac:dyDescent="0.25">
      <c r="A723" s="11" t="s">
        <v>3751</v>
      </c>
      <c r="C723" s="16" t="s">
        <v>255</v>
      </c>
      <c r="F723" s="14" t="s">
        <v>11</v>
      </c>
      <c r="G723" s="13">
        <v>1</v>
      </c>
      <c r="H723" s="14">
        <f t="shared" si="12"/>
        <v>1</v>
      </c>
      <c r="J723" s="14">
        <v>1</v>
      </c>
      <c r="K723" s="13" t="s">
        <v>1770</v>
      </c>
    </row>
    <row r="724" spans="1:17" x14ac:dyDescent="0.25">
      <c r="A724" s="11" t="s">
        <v>3751</v>
      </c>
      <c r="C724" s="16" t="s">
        <v>296</v>
      </c>
      <c r="F724" s="14" t="s">
        <v>11</v>
      </c>
      <c r="G724" s="13">
        <v>9</v>
      </c>
      <c r="H724" s="14">
        <f t="shared" si="12"/>
        <v>9</v>
      </c>
      <c r="J724" s="14">
        <v>7</v>
      </c>
      <c r="K724" s="13" t="s">
        <v>4639</v>
      </c>
    </row>
    <row r="725" spans="1:17" x14ac:dyDescent="0.25">
      <c r="A725" s="11" t="s">
        <v>3751</v>
      </c>
      <c r="C725" s="16" t="s">
        <v>259</v>
      </c>
      <c r="F725" s="14" t="s">
        <v>11</v>
      </c>
      <c r="G725" s="13">
        <v>9</v>
      </c>
      <c r="H725" s="14">
        <f t="shared" si="12"/>
        <v>9</v>
      </c>
      <c r="J725" s="14">
        <v>7</v>
      </c>
      <c r="K725" s="13" t="s">
        <v>4233</v>
      </c>
    </row>
    <row r="726" spans="1:17" x14ac:dyDescent="0.25">
      <c r="A726" s="11" t="s">
        <v>3751</v>
      </c>
      <c r="C726" s="16" t="s">
        <v>4039</v>
      </c>
      <c r="F726" s="14" t="s">
        <v>11</v>
      </c>
      <c r="G726" s="13">
        <v>1</v>
      </c>
      <c r="H726" s="14">
        <f>G726+I726</f>
        <v>1</v>
      </c>
      <c r="J726" s="14">
        <v>1</v>
      </c>
      <c r="K726" s="13" t="s">
        <v>2833</v>
      </c>
    </row>
    <row r="727" spans="1:17" x14ac:dyDescent="0.25">
      <c r="A727" s="11" t="s">
        <v>3751</v>
      </c>
      <c r="C727" s="16" t="s">
        <v>1882</v>
      </c>
      <c r="F727" s="14" t="s">
        <v>11</v>
      </c>
      <c r="G727" s="13">
        <v>2</v>
      </c>
      <c r="H727" s="14">
        <f>G727+I727</f>
        <v>2</v>
      </c>
      <c r="J727" s="14">
        <v>2</v>
      </c>
      <c r="K727" s="13" t="s">
        <v>4403</v>
      </c>
    </row>
    <row r="728" spans="1:17" x14ac:dyDescent="0.25">
      <c r="A728" s="11" t="s">
        <v>3751</v>
      </c>
      <c r="C728" s="16" t="s">
        <v>1281</v>
      </c>
      <c r="F728" s="14" t="s">
        <v>11</v>
      </c>
      <c r="G728" s="13">
        <v>4</v>
      </c>
      <c r="H728" s="14">
        <f t="shared" si="12"/>
        <v>4</v>
      </c>
      <c r="J728" s="14">
        <v>4</v>
      </c>
      <c r="K728" s="13" t="s">
        <v>4636</v>
      </c>
    </row>
    <row r="729" spans="1:17" x14ac:dyDescent="0.25">
      <c r="A729" s="11" t="s">
        <v>3751</v>
      </c>
      <c r="C729" s="16" t="s">
        <v>1938</v>
      </c>
      <c r="F729" s="14" t="s">
        <v>11</v>
      </c>
      <c r="G729" s="13">
        <v>1</v>
      </c>
      <c r="H729" s="14">
        <f t="shared" si="12"/>
        <v>1</v>
      </c>
      <c r="J729" s="14">
        <v>1</v>
      </c>
      <c r="K729" s="13" t="s">
        <v>877</v>
      </c>
    </row>
    <row r="730" spans="1:17" x14ac:dyDescent="0.25">
      <c r="A730" s="11" t="s">
        <v>3751</v>
      </c>
      <c r="C730" s="16" t="s">
        <v>4638</v>
      </c>
      <c r="F730" s="14" t="s">
        <v>11</v>
      </c>
      <c r="G730" s="13">
        <v>1</v>
      </c>
      <c r="H730" s="14">
        <f>G730+I730</f>
        <v>1</v>
      </c>
      <c r="J730" s="14">
        <v>1</v>
      </c>
      <c r="K730" s="13" t="s">
        <v>3240</v>
      </c>
    </row>
    <row r="731" spans="1:17" x14ac:dyDescent="0.25">
      <c r="A731" s="11" t="s">
        <v>3751</v>
      </c>
      <c r="B731" s="14" t="s">
        <v>22</v>
      </c>
      <c r="C731" s="16" t="s">
        <v>512</v>
      </c>
      <c r="E731" s="15"/>
      <c r="F731" s="14" t="s">
        <v>11</v>
      </c>
      <c r="G731" s="13">
        <v>3</v>
      </c>
      <c r="H731" s="14">
        <f t="shared" si="12"/>
        <v>6</v>
      </c>
      <c r="I731" s="14">
        <v>3</v>
      </c>
      <c r="J731" s="14">
        <v>5</v>
      </c>
      <c r="K731" s="13" t="s">
        <v>4232</v>
      </c>
    </row>
    <row r="732" spans="1:17" x14ac:dyDescent="0.25">
      <c r="A732" s="11" t="s">
        <v>3751</v>
      </c>
      <c r="B732" s="13" t="s">
        <v>68</v>
      </c>
      <c r="C732" s="16" t="s">
        <v>1795</v>
      </c>
      <c r="F732" s="14" t="s">
        <v>11</v>
      </c>
      <c r="G732" s="13">
        <v>1</v>
      </c>
      <c r="H732" s="14">
        <f t="shared" si="12"/>
        <v>1</v>
      </c>
      <c r="J732" s="14">
        <v>1</v>
      </c>
      <c r="K732" s="13" t="s">
        <v>4462</v>
      </c>
    </row>
    <row r="733" spans="1:17" x14ac:dyDescent="0.25">
      <c r="A733" s="11" t="s">
        <v>3751</v>
      </c>
      <c r="C733" s="16" t="s">
        <v>1783</v>
      </c>
      <c r="D733" s="13" t="s">
        <v>1940</v>
      </c>
      <c r="F733" s="14" t="s">
        <v>11</v>
      </c>
      <c r="G733" s="13">
        <v>6</v>
      </c>
      <c r="H733" s="14">
        <f>G733+I733</f>
        <v>6</v>
      </c>
      <c r="J733" s="14">
        <v>4</v>
      </c>
      <c r="K733" s="13" t="s">
        <v>3998</v>
      </c>
    </row>
    <row r="734" spans="1:17" x14ac:dyDescent="0.25">
      <c r="A734" s="11" t="s">
        <v>3751</v>
      </c>
      <c r="C734" s="16" t="s">
        <v>266</v>
      </c>
      <c r="F734" s="14" t="s">
        <v>11</v>
      </c>
      <c r="G734" s="13">
        <v>13</v>
      </c>
      <c r="H734" s="14">
        <f>G734+I734</f>
        <v>13</v>
      </c>
      <c r="J734" s="14">
        <v>12</v>
      </c>
      <c r="K734" s="13" t="s">
        <v>4447</v>
      </c>
    </row>
    <row r="735" spans="1:17" x14ac:dyDescent="0.25">
      <c r="A735" s="11" t="s">
        <v>3751</v>
      </c>
      <c r="C735" s="16" t="s">
        <v>543</v>
      </c>
      <c r="F735" s="14" t="s">
        <v>11</v>
      </c>
      <c r="G735" s="13">
        <v>2</v>
      </c>
      <c r="H735" s="14">
        <f t="shared" si="12"/>
        <v>2</v>
      </c>
      <c r="J735" s="14">
        <v>2</v>
      </c>
      <c r="K735" s="13" t="s">
        <v>4641</v>
      </c>
      <c r="Q735" s="15"/>
    </row>
    <row r="736" spans="1:17" x14ac:dyDescent="0.25">
      <c r="A736" s="11" t="s">
        <v>3751</v>
      </c>
      <c r="B736" s="13" t="s">
        <v>266</v>
      </c>
      <c r="C736" s="16" t="s">
        <v>682</v>
      </c>
      <c r="D736" s="13" t="s">
        <v>1940</v>
      </c>
      <c r="E736" s="14" t="s">
        <v>683</v>
      </c>
      <c r="F736" s="14" t="s">
        <v>11</v>
      </c>
      <c r="G736" s="13">
        <v>5</v>
      </c>
      <c r="H736" s="14">
        <f t="shared" si="12"/>
        <v>5</v>
      </c>
      <c r="J736" s="14">
        <v>4</v>
      </c>
      <c r="K736" s="13" t="s">
        <v>3984</v>
      </c>
      <c r="Q736" s="15"/>
    </row>
    <row r="737" spans="1:17" x14ac:dyDescent="0.25">
      <c r="A737" s="11" t="s">
        <v>3751</v>
      </c>
      <c r="C737" s="16" t="s">
        <v>770</v>
      </c>
      <c r="E737" s="14" t="s">
        <v>683</v>
      </c>
      <c r="F737" s="14" t="s">
        <v>874</v>
      </c>
      <c r="G737" s="13">
        <v>2</v>
      </c>
      <c r="H737" s="14">
        <f t="shared" si="12"/>
        <v>2</v>
      </c>
      <c r="J737" s="14">
        <v>2</v>
      </c>
      <c r="K737" s="13" t="s">
        <v>3766</v>
      </c>
      <c r="Q737" s="15"/>
    </row>
    <row r="738" spans="1:17" x14ac:dyDescent="0.25">
      <c r="A738" s="11" t="s">
        <v>3751</v>
      </c>
      <c r="C738" s="16" t="s">
        <v>1798</v>
      </c>
      <c r="F738" s="14" t="s">
        <v>874</v>
      </c>
      <c r="G738" s="13">
        <v>5</v>
      </c>
      <c r="H738" s="14">
        <f t="shared" si="12"/>
        <v>5</v>
      </c>
      <c r="J738" s="14">
        <v>4</v>
      </c>
      <c r="K738" s="13" t="s">
        <v>4357</v>
      </c>
      <c r="Q738" s="15"/>
    </row>
    <row r="739" spans="1:17" x14ac:dyDescent="0.25">
      <c r="A739" s="11" t="s">
        <v>3751</v>
      </c>
      <c r="C739" s="16" t="s">
        <v>718</v>
      </c>
      <c r="D739" s="13" t="s">
        <v>833</v>
      </c>
      <c r="F739" s="14" t="s">
        <v>11</v>
      </c>
      <c r="G739" s="13">
        <v>3</v>
      </c>
      <c r="H739" s="14">
        <f t="shared" si="12"/>
        <v>3</v>
      </c>
      <c r="J739" s="14">
        <v>3</v>
      </c>
      <c r="K739" s="13" t="s">
        <v>3983</v>
      </c>
      <c r="Q739" s="15"/>
    </row>
    <row r="740" spans="1:17" x14ac:dyDescent="0.25">
      <c r="A740" s="11" t="s">
        <v>3751</v>
      </c>
      <c r="C740" s="16" t="s">
        <v>742</v>
      </c>
      <c r="D740" s="13" t="s">
        <v>1057</v>
      </c>
      <c r="F740" s="14" t="s">
        <v>11</v>
      </c>
      <c r="G740" s="13"/>
      <c r="H740" s="14">
        <f t="shared" si="12"/>
        <v>1</v>
      </c>
      <c r="I740" s="14">
        <v>1</v>
      </c>
      <c r="J740" s="14">
        <v>1</v>
      </c>
      <c r="K740" s="13" t="s">
        <v>4126</v>
      </c>
      <c r="Q740" s="15"/>
    </row>
    <row r="741" spans="1:17" x14ac:dyDescent="0.25">
      <c r="A741" s="11" t="s">
        <v>3751</v>
      </c>
      <c r="C741" s="16" t="s">
        <v>742</v>
      </c>
      <c r="D741" s="13" t="s">
        <v>1940</v>
      </c>
      <c r="F741" s="14" t="s">
        <v>11</v>
      </c>
      <c r="G741" s="13">
        <v>7</v>
      </c>
      <c r="H741" s="14">
        <f>G741+I741</f>
        <v>7</v>
      </c>
      <c r="J741" s="14">
        <v>4</v>
      </c>
      <c r="K741" s="13" t="s">
        <v>4264</v>
      </c>
      <c r="Q741" s="15"/>
    </row>
    <row r="742" spans="1:17" x14ac:dyDescent="0.25">
      <c r="A742" s="11" t="s">
        <v>3751</v>
      </c>
      <c r="C742" s="16" t="s">
        <v>3596</v>
      </c>
      <c r="F742" s="14" t="s">
        <v>11</v>
      </c>
      <c r="G742" s="13">
        <v>1</v>
      </c>
      <c r="H742" s="14">
        <f t="shared" si="12"/>
        <v>1</v>
      </c>
      <c r="J742" s="14">
        <v>1</v>
      </c>
      <c r="K742" s="13" t="s">
        <v>657</v>
      </c>
      <c r="Q742" s="15"/>
    </row>
    <row r="743" spans="1:17" x14ac:dyDescent="0.25">
      <c r="A743" s="11" t="s">
        <v>3751</v>
      </c>
      <c r="C743" s="16" t="s">
        <v>73</v>
      </c>
      <c r="D743" s="13" t="s">
        <v>1940</v>
      </c>
      <c r="E743" s="14" t="s">
        <v>73</v>
      </c>
      <c r="F743" s="14" t="s">
        <v>11</v>
      </c>
      <c r="G743" s="13">
        <v>3</v>
      </c>
      <c r="H743" s="14">
        <f t="shared" si="12"/>
        <v>4</v>
      </c>
      <c r="I743" s="14">
        <v>1</v>
      </c>
      <c r="J743" s="14">
        <v>4</v>
      </c>
      <c r="K743" s="13" t="s">
        <v>4335</v>
      </c>
      <c r="Q743" s="15"/>
    </row>
    <row r="744" spans="1:17" x14ac:dyDescent="0.25">
      <c r="A744" s="11" t="s">
        <v>3751</v>
      </c>
      <c r="C744" s="16" t="s">
        <v>3145</v>
      </c>
      <c r="D744" s="13" t="s">
        <v>1940</v>
      </c>
      <c r="E744" s="14" t="s">
        <v>282</v>
      </c>
      <c r="F744" s="14" t="s">
        <v>11</v>
      </c>
      <c r="G744" s="13">
        <v>1</v>
      </c>
      <c r="H744" s="14">
        <f t="shared" si="12"/>
        <v>1</v>
      </c>
      <c r="J744" s="14">
        <v>1</v>
      </c>
      <c r="K744" s="13" t="s">
        <v>1902</v>
      </c>
      <c r="Q744" s="15"/>
    </row>
    <row r="745" spans="1:17" x14ac:dyDescent="0.25">
      <c r="A745" s="11" t="s">
        <v>3751</v>
      </c>
      <c r="C745" s="16" t="s">
        <v>282</v>
      </c>
      <c r="F745" s="14" t="s">
        <v>11</v>
      </c>
      <c r="G745" s="13">
        <v>3</v>
      </c>
      <c r="H745" s="14">
        <f t="shared" si="12"/>
        <v>3</v>
      </c>
      <c r="J745" s="14">
        <v>3</v>
      </c>
      <c r="K745" s="13" t="s">
        <v>4404</v>
      </c>
      <c r="Q745" s="15"/>
    </row>
    <row r="746" spans="1:17" x14ac:dyDescent="0.25">
      <c r="A746" s="11" t="s">
        <v>3751</v>
      </c>
      <c r="C746" s="16" t="s">
        <v>678</v>
      </c>
      <c r="F746" s="14" t="s">
        <v>11</v>
      </c>
      <c r="G746" s="13">
        <v>11</v>
      </c>
      <c r="H746" s="14">
        <f t="shared" si="12"/>
        <v>12</v>
      </c>
      <c r="I746" s="14">
        <v>1</v>
      </c>
      <c r="J746" s="14">
        <v>11</v>
      </c>
      <c r="K746" s="13" t="s">
        <v>4640</v>
      </c>
      <c r="Q746" s="15"/>
    </row>
    <row r="747" spans="1:17" x14ac:dyDescent="0.25">
      <c r="A747" s="11" t="s">
        <v>3751</v>
      </c>
      <c r="C747" s="16" t="s">
        <v>321</v>
      </c>
      <c r="F747" s="14" t="s">
        <v>11</v>
      </c>
      <c r="G747" s="13">
        <v>2</v>
      </c>
      <c r="H747" s="14">
        <f t="shared" ref="H747:H800" si="14">G747+I747</f>
        <v>2</v>
      </c>
      <c r="J747" s="14">
        <v>2</v>
      </c>
      <c r="K747" s="13" t="s">
        <v>4356</v>
      </c>
      <c r="Q747" s="15"/>
    </row>
    <row r="748" spans="1:17" ht="22.5" x14ac:dyDescent="0.25">
      <c r="A748" s="11" t="s">
        <v>3751</v>
      </c>
      <c r="C748" s="16" t="s">
        <v>21</v>
      </c>
      <c r="E748" s="14" t="s">
        <v>21</v>
      </c>
      <c r="F748" s="14" t="s">
        <v>11</v>
      </c>
      <c r="G748" s="13">
        <v>25</v>
      </c>
      <c r="H748" s="14">
        <f t="shared" si="14"/>
        <v>29</v>
      </c>
      <c r="I748" s="14">
        <v>4</v>
      </c>
      <c r="J748" s="14">
        <v>25</v>
      </c>
      <c r="K748" s="13" t="s">
        <v>4635</v>
      </c>
      <c r="Q748" s="15"/>
    </row>
    <row r="749" spans="1:17" x14ac:dyDescent="0.25">
      <c r="A749" s="11" t="s">
        <v>3751</v>
      </c>
      <c r="C749" s="16" t="s">
        <v>656</v>
      </c>
      <c r="F749" s="14" t="s">
        <v>11</v>
      </c>
      <c r="G749" s="13">
        <v>1</v>
      </c>
      <c r="H749" s="14">
        <f t="shared" si="14"/>
        <v>1</v>
      </c>
      <c r="J749" s="14">
        <v>1</v>
      </c>
      <c r="K749" s="13" t="s">
        <v>3995</v>
      </c>
      <c r="Q749" s="15"/>
    </row>
    <row r="750" spans="1:17" x14ac:dyDescent="0.25">
      <c r="A750" s="11" t="s">
        <v>3751</v>
      </c>
      <c r="C750" s="16" t="s">
        <v>4414</v>
      </c>
      <c r="D750" s="13" t="s">
        <v>1940</v>
      </c>
      <c r="F750" s="13" t="s">
        <v>11</v>
      </c>
      <c r="G750" s="13">
        <v>1</v>
      </c>
      <c r="H750" s="14">
        <f>G750+I750</f>
        <v>1</v>
      </c>
      <c r="J750" s="14">
        <v>1</v>
      </c>
      <c r="K750" s="13" t="s">
        <v>4415</v>
      </c>
    </row>
    <row r="751" spans="1:17" x14ac:dyDescent="0.25">
      <c r="A751" s="11" t="s">
        <v>3751</v>
      </c>
      <c r="C751" s="16" t="s">
        <v>69</v>
      </c>
      <c r="D751" s="13" t="s">
        <v>1940</v>
      </c>
      <c r="F751" s="13" t="s">
        <v>11</v>
      </c>
      <c r="G751" s="13">
        <v>8</v>
      </c>
      <c r="H751" s="14">
        <f t="shared" si="14"/>
        <v>9</v>
      </c>
      <c r="I751" s="14">
        <v>1</v>
      </c>
      <c r="J751" s="14">
        <v>8</v>
      </c>
      <c r="K751" s="13" t="s">
        <v>4288</v>
      </c>
    </row>
    <row r="752" spans="1:17" x14ac:dyDescent="0.25">
      <c r="A752" s="11" t="s">
        <v>3751</v>
      </c>
      <c r="C752" s="16" t="s">
        <v>4096</v>
      </c>
      <c r="D752" s="13" t="s">
        <v>1940</v>
      </c>
      <c r="F752" s="13" t="s">
        <v>11</v>
      </c>
      <c r="G752" s="13">
        <v>1</v>
      </c>
      <c r="H752" s="14">
        <f>G752+I752</f>
        <v>1</v>
      </c>
      <c r="J752" s="14">
        <v>1</v>
      </c>
      <c r="K752" s="13" t="s">
        <v>2193</v>
      </c>
    </row>
    <row r="753" spans="1:17" ht="22.5" x14ac:dyDescent="0.25">
      <c r="A753" s="11" t="s">
        <v>3751</v>
      </c>
      <c r="C753" s="16" t="s">
        <v>1791</v>
      </c>
      <c r="F753" s="13" t="s">
        <v>1104</v>
      </c>
      <c r="G753" s="13">
        <v>1</v>
      </c>
      <c r="H753" s="14">
        <f>G753+I753</f>
        <v>1</v>
      </c>
      <c r="J753" s="14">
        <v>1</v>
      </c>
      <c r="K753" s="13" t="s">
        <v>590</v>
      </c>
    </row>
    <row r="754" spans="1:17" ht="25.5" x14ac:dyDescent="0.25">
      <c r="A754" s="11" t="s">
        <v>3751</v>
      </c>
      <c r="C754" s="16" t="s">
        <v>4060</v>
      </c>
      <c r="D754" s="13" t="s">
        <v>3143</v>
      </c>
      <c r="F754" s="13" t="s">
        <v>1104</v>
      </c>
      <c r="G754" s="13">
        <v>8</v>
      </c>
      <c r="H754" s="14">
        <f t="shared" si="14"/>
        <v>20</v>
      </c>
      <c r="I754" s="14">
        <v>12</v>
      </c>
      <c r="J754" s="14">
        <v>14</v>
      </c>
      <c r="K754" s="13" t="s">
        <v>4125</v>
      </c>
      <c r="L754" s="44"/>
      <c r="M754" s="44"/>
      <c r="N754" s="44"/>
      <c r="O754" s="44"/>
      <c r="P754" s="44"/>
    </row>
    <row r="755" spans="1:17" ht="22.5" x14ac:dyDescent="0.25">
      <c r="A755" s="11" t="s">
        <v>3751</v>
      </c>
      <c r="C755" s="16" t="s">
        <v>4444</v>
      </c>
      <c r="D755" s="13" t="s">
        <v>4445</v>
      </c>
      <c r="F755" s="13" t="s">
        <v>1104</v>
      </c>
      <c r="G755" s="13">
        <v>1</v>
      </c>
      <c r="H755" s="14">
        <f>G755+I755</f>
        <v>1</v>
      </c>
      <c r="J755" s="14">
        <v>1</v>
      </c>
      <c r="K755" s="13" t="s">
        <v>4446</v>
      </c>
      <c r="L755" s="44"/>
      <c r="M755" s="44"/>
      <c r="N755" s="44"/>
      <c r="O755" s="44"/>
      <c r="P755" s="44"/>
    </row>
    <row r="756" spans="1:17" ht="22.5" x14ac:dyDescent="0.25">
      <c r="A756" s="11" t="s">
        <v>3751</v>
      </c>
      <c r="B756" s="43"/>
      <c r="C756" s="75" t="s">
        <v>56</v>
      </c>
      <c r="D756" s="43"/>
      <c r="E756" s="41"/>
      <c r="F756" s="41" t="s">
        <v>56</v>
      </c>
      <c r="G756" s="43">
        <v>37</v>
      </c>
      <c r="H756" s="14">
        <f t="shared" si="14"/>
        <v>37</v>
      </c>
      <c r="I756" s="41"/>
      <c r="J756" s="41">
        <v>27</v>
      </c>
      <c r="K756" s="43" t="s">
        <v>4644</v>
      </c>
    </row>
    <row r="757" spans="1:17" x14ac:dyDescent="0.25">
      <c r="A757" s="11" t="s">
        <v>3751</v>
      </c>
      <c r="C757" s="16" t="s">
        <v>629</v>
      </c>
      <c r="E757" s="14" t="s">
        <v>1143</v>
      </c>
      <c r="F757" s="14" t="s">
        <v>56</v>
      </c>
      <c r="G757" s="13"/>
      <c r="H757" s="14">
        <f t="shared" si="14"/>
        <v>1</v>
      </c>
      <c r="I757" s="14">
        <v>1</v>
      </c>
      <c r="J757" s="14">
        <v>1</v>
      </c>
      <c r="K757" s="13" t="s">
        <v>649</v>
      </c>
    </row>
    <row r="758" spans="1:17" x14ac:dyDescent="0.25">
      <c r="A758" s="11" t="s">
        <v>3751</v>
      </c>
      <c r="C758" s="16" t="s">
        <v>3977</v>
      </c>
      <c r="E758" s="14" t="s">
        <v>3978</v>
      </c>
      <c r="F758" s="14" t="s">
        <v>56</v>
      </c>
      <c r="G758" s="13">
        <v>2</v>
      </c>
      <c r="H758" s="14">
        <f>G758+I758</f>
        <v>2</v>
      </c>
      <c r="J758" s="14">
        <v>2</v>
      </c>
      <c r="K758" s="13" t="s">
        <v>3996</v>
      </c>
    </row>
    <row r="759" spans="1:17" x14ac:dyDescent="0.25">
      <c r="A759" s="11" t="s">
        <v>3751</v>
      </c>
      <c r="C759" s="16" t="s">
        <v>253</v>
      </c>
      <c r="F759" s="14" t="s">
        <v>56</v>
      </c>
      <c r="G759" s="13">
        <v>5</v>
      </c>
      <c r="H759" s="14">
        <f t="shared" si="14"/>
        <v>5</v>
      </c>
      <c r="J759" s="14">
        <v>4</v>
      </c>
      <c r="K759" s="13" t="s">
        <v>4380</v>
      </c>
    </row>
    <row r="760" spans="1:17" x14ac:dyDescent="0.25">
      <c r="A760" s="11" t="s">
        <v>3751</v>
      </c>
      <c r="C760" s="16" t="s">
        <v>3731</v>
      </c>
      <c r="E760" s="14" t="s">
        <v>950</v>
      </c>
      <c r="F760" s="14" t="s">
        <v>56</v>
      </c>
      <c r="G760" s="13">
        <v>1</v>
      </c>
      <c r="H760" s="14">
        <f t="shared" si="14"/>
        <v>1</v>
      </c>
      <c r="J760" s="14">
        <v>1</v>
      </c>
      <c r="K760" s="13" t="s">
        <v>3266</v>
      </c>
      <c r="Q760" s="15"/>
    </row>
    <row r="761" spans="1:17" x14ac:dyDescent="0.25">
      <c r="A761" s="11" t="s">
        <v>3751</v>
      </c>
      <c r="C761" s="16" t="s">
        <v>254</v>
      </c>
      <c r="F761" s="14" t="s">
        <v>56</v>
      </c>
      <c r="G761" s="13">
        <v>6</v>
      </c>
      <c r="H761" s="14">
        <f t="shared" si="14"/>
        <v>6</v>
      </c>
      <c r="J761" s="14">
        <v>6</v>
      </c>
      <c r="K761" s="13" t="s">
        <v>4645</v>
      </c>
      <c r="Q761" s="15"/>
    </row>
    <row r="762" spans="1:17" x14ac:dyDescent="0.25">
      <c r="A762" s="11" t="s">
        <v>3751</v>
      </c>
      <c r="C762" s="16" t="s">
        <v>305</v>
      </c>
      <c r="E762" s="13"/>
      <c r="F762" s="14" t="s">
        <v>56</v>
      </c>
      <c r="G762" s="13">
        <v>5</v>
      </c>
      <c r="H762" s="14">
        <f t="shared" si="14"/>
        <v>6</v>
      </c>
      <c r="I762" s="14">
        <v>1</v>
      </c>
      <c r="J762" s="14">
        <v>4</v>
      </c>
      <c r="K762" s="13" t="s">
        <v>4281</v>
      </c>
      <c r="Q762" s="15"/>
    </row>
    <row r="763" spans="1:17" x14ac:dyDescent="0.25">
      <c r="A763" s="11" t="s">
        <v>3751</v>
      </c>
      <c r="B763" s="13" t="s">
        <v>57</v>
      </c>
      <c r="C763" s="16" t="s">
        <v>950</v>
      </c>
      <c r="D763" s="13" t="s">
        <v>1940</v>
      </c>
      <c r="E763" s="13" t="s">
        <v>57</v>
      </c>
      <c r="F763" s="14" t="s">
        <v>56</v>
      </c>
      <c r="G763" s="13">
        <v>10</v>
      </c>
      <c r="H763" s="14">
        <f t="shared" si="14"/>
        <v>10</v>
      </c>
      <c r="J763" s="14">
        <v>7</v>
      </c>
      <c r="K763" s="13" t="s">
        <v>4358</v>
      </c>
      <c r="Q763" s="15"/>
    </row>
    <row r="764" spans="1:17" x14ac:dyDescent="0.25">
      <c r="A764" s="11" t="s">
        <v>3751</v>
      </c>
      <c r="B764" s="13" t="s">
        <v>57</v>
      </c>
      <c r="C764" s="16" t="s">
        <v>183</v>
      </c>
      <c r="E764" s="13" t="s">
        <v>1096</v>
      </c>
      <c r="F764" s="14" t="s">
        <v>56</v>
      </c>
      <c r="G764" s="13">
        <v>1</v>
      </c>
      <c r="H764" s="14">
        <f>G764+I764</f>
        <v>1</v>
      </c>
      <c r="J764" s="14">
        <v>1</v>
      </c>
      <c r="K764" s="13" t="s">
        <v>1076</v>
      </c>
      <c r="Q764" s="15"/>
    </row>
    <row r="765" spans="1:17" x14ac:dyDescent="0.25">
      <c r="A765" s="11" t="s">
        <v>3751</v>
      </c>
      <c r="B765" s="13" t="s">
        <v>57</v>
      </c>
      <c r="C765" s="16" t="s">
        <v>1793</v>
      </c>
      <c r="E765" s="13" t="s">
        <v>1096</v>
      </c>
      <c r="F765" s="14" t="s">
        <v>56</v>
      </c>
      <c r="G765" s="13">
        <v>1</v>
      </c>
      <c r="H765" s="14">
        <f>G765+I765</f>
        <v>1</v>
      </c>
      <c r="J765" s="14">
        <v>1</v>
      </c>
      <c r="K765" s="13" t="s">
        <v>1076</v>
      </c>
      <c r="Q765" s="15"/>
    </row>
    <row r="766" spans="1:17" x14ac:dyDescent="0.25">
      <c r="A766" s="11" t="s">
        <v>3751</v>
      </c>
      <c r="B766" s="13" t="s">
        <v>163</v>
      </c>
      <c r="F766" s="14" t="s">
        <v>56</v>
      </c>
      <c r="G766" s="13">
        <v>1</v>
      </c>
      <c r="H766" s="14">
        <f>G766+I766</f>
        <v>1</v>
      </c>
      <c r="J766" s="14">
        <v>1</v>
      </c>
      <c r="K766" s="13" t="s">
        <v>914</v>
      </c>
      <c r="Q766" s="15"/>
    </row>
    <row r="767" spans="1:17" x14ac:dyDescent="0.25">
      <c r="A767" s="11" t="s">
        <v>3751</v>
      </c>
      <c r="B767" s="13" t="s">
        <v>55</v>
      </c>
      <c r="D767" s="13" t="s">
        <v>1940</v>
      </c>
      <c r="F767" s="14" t="s">
        <v>56</v>
      </c>
      <c r="G767" s="13">
        <v>1</v>
      </c>
      <c r="H767" s="14">
        <f t="shared" si="14"/>
        <v>1</v>
      </c>
      <c r="J767" s="14">
        <v>1</v>
      </c>
      <c r="K767" s="13" t="s">
        <v>1234</v>
      </c>
      <c r="Q767" s="15"/>
    </row>
    <row r="768" spans="1:17" x14ac:dyDescent="0.25">
      <c r="A768" s="11" t="s">
        <v>3751</v>
      </c>
      <c r="B768" s="13" t="s">
        <v>593</v>
      </c>
      <c r="D768" s="13" t="s">
        <v>1940</v>
      </c>
      <c r="F768" s="14" t="s">
        <v>56</v>
      </c>
      <c r="G768" s="13">
        <v>3</v>
      </c>
      <c r="H768" s="14">
        <f>G768+I768</f>
        <v>3</v>
      </c>
      <c r="J768" s="14">
        <v>3</v>
      </c>
      <c r="K768" s="13" t="s">
        <v>4646</v>
      </c>
    </row>
    <row r="769" spans="1:17" x14ac:dyDescent="0.25">
      <c r="A769" s="11" t="s">
        <v>3751</v>
      </c>
      <c r="B769" s="13" t="s">
        <v>593</v>
      </c>
      <c r="C769" s="16" t="s">
        <v>4097</v>
      </c>
      <c r="E769" s="14" t="s">
        <v>2616</v>
      </c>
      <c r="F769" s="14" t="s">
        <v>56</v>
      </c>
      <c r="G769" s="13">
        <v>2</v>
      </c>
      <c r="H769" s="14">
        <f>G769+I769</f>
        <v>2</v>
      </c>
      <c r="J769" s="14">
        <v>2</v>
      </c>
      <c r="K769" s="13" t="s">
        <v>4098</v>
      </c>
    </row>
    <row r="770" spans="1:17" x14ac:dyDescent="0.25">
      <c r="A770" s="11" t="s">
        <v>3751</v>
      </c>
      <c r="B770" s="13" t="s">
        <v>4100</v>
      </c>
      <c r="C770" s="16" t="s">
        <v>4099</v>
      </c>
      <c r="E770" s="14" t="s">
        <v>2616</v>
      </c>
      <c r="F770" s="14" t="s">
        <v>56</v>
      </c>
      <c r="G770" s="13">
        <v>1</v>
      </c>
      <c r="H770" s="14">
        <f>G770+I770</f>
        <v>1</v>
      </c>
      <c r="J770" s="14">
        <v>1</v>
      </c>
      <c r="K770" s="13" t="s">
        <v>902</v>
      </c>
    </row>
    <row r="771" spans="1:17" x14ac:dyDescent="0.25">
      <c r="A771" s="11" t="s">
        <v>3751</v>
      </c>
      <c r="C771" s="16" t="s">
        <v>301</v>
      </c>
      <c r="F771" s="14" t="s">
        <v>56</v>
      </c>
      <c r="G771" s="13">
        <v>8</v>
      </c>
      <c r="H771" s="14">
        <f t="shared" si="14"/>
        <v>8</v>
      </c>
      <c r="J771" s="14">
        <v>7</v>
      </c>
      <c r="K771" s="13" t="s">
        <v>4270</v>
      </c>
    </row>
    <row r="772" spans="1:17" s="36" customFormat="1" x14ac:dyDescent="0.25">
      <c r="A772" s="11" t="s">
        <v>3751</v>
      </c>
      <c r="B772" s="13"/>
      <c r="C772" s="16" t="s">
        <v>2775</v>
      </c>
      <c r="D772" s="13"/>
      <c r="E772" s="14"/>
      <c r="F772" s="14" t="s">
        <v>56</v>
      </c>
      <c r="G772" s="13">
        <v>1</v>
      </c>
      <c r="H772" s="14">
        <f t="shared" si="14"/>
        <v>1</v>
      </c>
      <c r="I772" s="14"/>
      <c r="J772" s="14">
        <v>1</v>
      </c>
      <c r="K772" s="13" t="s">
        <v>1076</v>
      </c>
      <c r="L772" s="15"/>
      <c r="M772" s="15"/>
      <c r="N772" s="15"/>
      <c r="O772" s="15"/>
      <c r="P772" s="15"/>
      <c r="Q772" s="35"/>
    </row>
    <row r="773" spans="1:17" s="36" customFormat="1" x14ac:dyDescent="0.25">
      <c r="A773" s="11" t="s">
        <v>3751</v>
      </c>
      <c r="B773" s="13" t="s">
        <v>161</v>
      </c>
      <c r="C773" s="16"/>
      <c r="D773" s="13" t="s">
        <v>1940</v>
      </c>
      <c r="E773" s="14" t="s">
        <v>254</v>
      </c>
      <c r="F773" s="14" t="s">
        <v>56</v>
      </c>
      <c r="G773" s="13">
        <v>1</v>
      </c>
      <c r="H773" s="14">
        <f t="shared" si="14"/>
        <v>1</v>
      </c>
      <c r="I773" s="14"/>
      <c r="J773" s="14">
        <v>1</v>
      </c>
      <c r="K773" s="13" t="s">
        <v>1234</v>
      </c>
      <c r="L773" s="15"/>
      <c r="M773" s="15"/>
      <c r="N773" s="15"/>
      <c r="O773" s="15"/>
      <c r="P773" s="15"/>
      <c r="Q773" s="35"/>
    </row>
    <row r="774" spans="1:17" s="36" customFormat="1" x14ac:dyDescent="0.25">
      <c r="A774" s="11" t="s">
        <v>3751</v>
      </c>
      <c r="B774" s="13" t="s">
        <v>161</v>
      </c>
      <c r="C774" s="16" t="s">
        <v>225</v>
      </c>
      <c r="D774" s="13"/>
      <c r="E774" s="14" t="s">
        <v>4101</v>
      </c>
      <c r="F774" s="14" t="s">
        <v>56</v>
      </c>
      <c r="G774" s="13">
        <v>3</v>
      </c>
      <c r="H774" s="14">
        <f>G774+I774</f>
        <v>3</v>
      </c>
      <c r="I774" s="14"/>
      <c r="J774" s="14">
        <v>2</v>
      </c>
      <c r="K774" s="13" t="s">
        <v>4075</v>
      </c>
      <c r="L774" s="15"/>
      <c r="M774" s="15"/>
      <c r="N774" s="15"/>
      <c r="O774" s="15"/>
      <c r="P774" s="15"/>
      <c r="Q774" s="35"/>
    </row>
    <row r="775" spans="1:17" x14ac:dyDescent="0.25">
      <c r="A775" s="11" t="s">
        <v>3751</v>
      </c>
      <c r="B775" s="13" t="s">
        <v>66</v>
      </c>
      <c r="D775" s="13" t="s">
        <v>1940</v>
      </c>
      <c r="F775" s="14" t="s">
        <v>56</v>
      </c>
      <c r="G775" s="13">
        <v>3</v>
      </c>
      <c r="H775" s="14">
        <f t="shared" si="14"/>
        <v>3</v>
      </c>
      <c r="J775" s="14">
        <v>2</v>
      </c>
      <c r="K775" s="13" t="s">
        <v>4267</v>
      </c>
    </row>
    <row r="776" spans="1:17" x14ac:dyDescent="0.25">
      <c r="A776" s="11" t="s">
        <v>3751</v>
      </c>
      <c r="B776" s="13" t="s">
        <v>66</v>
      </c>
      <c r="C776" s="16" t="s">
        <v>4035</v>
      </c>
      <c r="E776" s="17" t="s">
        <v>274</v>
      </c>
      <c r="F776" s="14" t="s">
        <v>56</v>
      </c>
      <c r="G776" s="13">
        <v>5</v>
      </c>
      <c r="H776" s="14">
        <f>G776+I776</f>
        <v>5</v>
      </c>
      <c r="J776" s="14">
        <v>3</v>
      </c>
      <c r="K776" s="13" t="s">
        <v>4266</v>
      </c>
    </row>
    <row r="777" spans="1:17" x14ac:dyDescent="0.25">
      <c r="A777" s="11" t="s">
        <v>3751</v>
      </c>
      <c r="B777" s="13" t="s">
        <v>66</v>
      </c>
      <c r="C777" s="16" t="s">
        <v>2095</v>
      </c>
      <c r="E777" s="14" t="s">
        <v>2095</v>
      </c>
      <c r="F777" s="14" t="s">
        <v>56</v>
      </c>
      <c r="G777" s="13">
        <v>1</v>
      </c>
      <c r="H777" s="14">
        <f>G777+I777</f>
        <v>1</v>
      </c>
      <c r="J777" s="14">
        <v>1</v>
      </c>
      <c r="K777" s="13" t="s">
        <v>1609</v>
      </c>
    </row>
    <row r="778" spans="1:17" x14ac:dyDescent="0.25">
      <c r="A778" s="11" t="s">
        <v>3751</v>
      </c>
      <c r="B778" s="13" t="s">
        <v>66</v>
      </c>
      <c r="C778" s="16" t="s">
        <v>4268</v>
      </c>
      <c r="E778" s="14" t="s">
        <v>2095</v>
      </c>
      <c r="F778" s="14" t="s">
        <v>56</v>
      </c>
      <c r="G778" s="13">
        <v>1</v>
      </c>
      <c r="H778" s="14">
        <f>G778+I778</f>
        <v>1</v>
      </c>
      <c r="J778" s="14">
        <v>1</v>
      </c>
      <c r="K778" s="13" t="s">
        <v>1609</v>
      </c>
    </row>
    <row r="779" spans="1:17" x14ac:dyDescent="0.25">
      <c r="A779" s="11" t="s">
        <v>3751</v>
      </c>
      <c r="B779" s="13" t="s">
        <v>66</v>
      </c>
      <c r="C779" s="16" t="s">
        <v>4269</v>
      </c>
      <c r="E779" s="14" t="s">
        <v>2095</v>
      </c>
      <c r="F779" s="14" t="s">
        <v>56</v>
      </c>
      <c r="G779" s="13">
        <v>6</v>
      </c>
      <c r="H779" s="14">
        <f>G779+I779</f>
        <v>6</v>
      </c>
      <c r="J779" s="14">
        <v>5</v>
      </c>
      <c r="K779" s="13" t="s">
        <v>4433</v>
      </c>
    </row>
    <row r="780" spans="1:17" x14ac:dyDescent="0.25">
      <c r="A780" s="11" t="s">
        <v>3751</v>
      </c>
      <c r="B780" s="13" t="s">
        <v>4034</v>
      </c>
      <c r="C780" s="16" t="s">
        <v>190</v>
      </c>
      <c r="F780" s="14" t="s">
        <v>56</v>
      </c>
      <c r="G780" s="13">
        <v>1</v>
      </c>
      <c r="H780" s="14">
        <f t="shared" si="14"/>
        <v>1</v>
      </c>
      <c r="J780" s="14">
        <v>1</v>
      </c>
      <c r="K780" s="13" t="s">
        <v>1180</v>
      </c>
    </row>
    <row r="781" spans="1:17" ht="33.75" x14ac:dyDescent="0.25">
      <c r="A781" s="11" t="s">
        <v>3751</v>
      </c>
      <c r="B781" s="35"/>
      <c r="C781" s="76" t="s">
        <v>35</v>
      </c>
      <c r="D781" s="35"/>
      <c r="E781" s="33"/>
      <c r="F781" s="33" t="s">
        <v>35</v>
      </c>
      <c r="G781" s="35">
        <v>53</v>
      </c>
      <c r="H781" s="14">
        <f t="shared" si="14"/>
        <v>54</v>
      </c>
      <c r="I781" s="33">
        <v>1</v>
      </c>
      <c r="J781" s="33">
        <v>42</v>
      </c>
      <c r="K781" s="35" t="s">
        <v>4647</v>
      </c>
      <c r="Q781" s="15"/>
    </row>
    <row r="782" spans="1:17" x14ac:dyDescent="0.25">
      <c r="A782" s="11" t="s">
        <v>3751</v>
      </c>
      <c r="B782" s="13" t="s">
        <v>4434</v>
      </c>
      <c r="C782" s="16" t="s">
        <v>4435</v>
      </c>
      <c r="D782" s="13" t="s">
        <v>4436</v>
      </c>
      <c r="E782" s="14" t="s">
        <v>1402</v>
      </c>
      <c r="F782" s="14" t="s">
        <v>874</v>
      </c>
      <c r="G782" s="13">
        <v>1</v>
      </c>
      <c r="H782" s="14">
        <f>G782+I782</f>
        <v>1</v>
      </c>
      <c r="J782" s="14">
        <v>1</v>
      </c>
      <c r="K782" s="13" t="s">
        <v>3221</v>
      </c>
      <c r="Q782" s="15"/>
    </row>
    <row r="783" spans="1:17" s="36" customFormat="1" ht="25.5" x14ac:dyDescent="0.25">
      <c r="A783" s="11" t="s">
        <v>3751</v>
      </c>
      <c r="B783" s="13"/>
      <c r="C783" s="16" t="s">
        <v>4503</v>
      </c>
      <c r="D783" s="13" t="s">
        <v>2642</v>
      </c>
      <c r="E783" s="14"/>
      <c r="F783" s="13" t="s">
        <v>1905</v>
      </c>
      <c r="G783" s="13">
        <v>1</v>
      </c>
      <c r="H783" s="14">
        <f t="shared" si="14"/>
        <v>1</v>
      </c>
      <c r="I783" s="14"/>
      <c r="J783" s="14">
        <v>1</v>
      </c>
      <c r="K783" s="13" t="s">
        <v>3258</v>
      </c>
      <c r="Q783" s="35"/>
    </row>
    <row r="784" spans="1:17" ht="22.5" x14ac:dyDescent="0.25">
      <c r="A784" s="11" t="s">
        <v>3751</v>
      </c>
      <c r="B784" s="35"/>
      <c r="C784" s="16" t="s">
        <v>1904</v>
      </c>
      <c r="D784" s="35"/>
      <c r="E784" s="14" t="s">
        <v>2708</v>
      </c>
      <c r="F784" s="13" t="s">
        <v>1905</v>
      </c>
      <c r="G784" s="13">
        <v>1</v>
      </c>
      <c r="H784" s="14">
        <f t="shared" si="14"/>
        <v>1</v>
      </c>
      <c r="J784" s="14">
        <v>1</v>
      </c>
      <c r="K784" s="13" t="s">
        <v>4299</v>
      </c>
      <c r="L784" s="36"/>
      <c r="M784" s="36"/>
      <c r="N784" s="36"/>
      <c r="O784" s="36"/>
      <c r="P784" s="36"/>
      <c r="Q784" s="15"/>
    </row>
    <row r="785" spans="1:17" x14ac:dyDescent="0.25">
      <c r="A785" s="11" t="s">
        <v>3751</v>
      </c>
      <c r="B785" s="35"/>
      <c r="C785" s="16" t="s">
        <v>394</v>
      </c>
      <c r="D785" s="35"/>
      <c r="E785" s="33"/>
      <c r="F785" s="13" t="s">
        <v>35</v>
      </c>
      <c r="G785" s="13">
        <v>3</v>
      </c>
      <c r="H785" s="14">
        <f t="shared" si="14"/>
        <v>4</v>
      </c>
      <c r="I785" s="14">
        <v>1</v>
      </c>
      <c r="J785" s="14">
        <v>4</v>
      </c>
      <c r="K785" s="13" t="s">
        <v>4652</v>
      </c>
      <c r="Q785" s="15"/>
    </row>
    <row r="786" spans="1:17" x14ac:dyDescent="0.25">
      <c r="A786" s="11" t="s">
        <v>3751</v>
      </c>
      <c r="C786" s="16" t="s">
        <v>744</v>
      </c>
      <c r="E786" s="14" t="s">
        <v>744</v>
      </c>
      <c r="F786" s="14" t="s">
        <v>35</v>
      </c>
      <c r="G786" s="13">
        <v>1</v>
      </c>
      <c r="H786" s="14">
        <f t="shared" si="14"/>
        <v>1</v>
      </c>
      <c r="J786" s="14">
        <v>1</v>
      </c>
      <c r="K786" s="13" t="s">
        <v>1309</v>
      </c>
      <c r="Q786" s="15"/>
    </row>
    <row r="787" spans="1:17" x14ac:dyDescent="0.25">
      <c r="A787" s="11" t="s">
        <v>3751</v>
      </c>
      <c r="C787" s="16" t="s">
        <v>47</v>
      </c>
      <c r="F787" s="14" t="s">
        <v>35</v>
      </c>
      <c r="G787" s="13">
        <v>2</v>
      </c>
      <c r="H787" s="14">
        <f t="shared" si="14"/>
        <v>2</v>
      </c>
      <c r="J787" s="14">
        <v>2</v>
      </c>
      <c r="K787" s="13" t="s">
        <v>3792</v>
      </c>
      <c r="Q787" s="15"/>
    </row>
    <row r="788" spans="1:17" x14ac:dyDescent="0.25">
      <c r="A788" s="11" t="s">
        <v>3751</v>
      </c>
      <c r="C788" s="16" t="s">
        <v>3764</v>
      </c>
      <c r="F788" s="14" t="s">
        <v>35</v>
      </c>
      <c r="G788" s="13">
        <v>1</v>
      </c>
      <c r="H788" s="14">
        <f>G788+I788</f>
        <v>1</v>
      </c>
      <c r="J788" s="14">
        <v>1</v>
      </c>
      <c r="K788" s="13" t="s">
        <v>1005</v>
      </c>
      <c r="Q788" s="15"/>
    </row>
    <row r="789" spans="1:17" x14ac:dyDescent="0.25">
      <c r="A789" s="11" t="s">
        <v>3751</v>
      </c>
      <c r="C789" s="16" t="s">
        <v>1779</v>
      </c>
      <c r="F789" s="14" t="s">
        <v>35</v>
      </c>
      <c r="G789" s="13">
        <v>1</v>
      </c>
      <c r="H789" s="14">
        <f t="shared" si="14"/>
        <v>1</v>
      </c>
      <c r="J789" s="14">
        <v>1</v>
      </c>
      <c r="K789" s="13" t="s">
        <v>1902</v>
      </c>
      <c r="Q789" s="15"/>
    </row>
    <row r="790" spans="1:17" x14ac:dyDescent="0.25">
      <c r="A790" s="11" t="s">
        <v>3751</v>
      </c>
      <c r="B790" s="13" t="s">
        <v>231</v>
      </c>
      <c r="C790" s="16" t="s">
        <v>4592</v>
      </c>
      <c r="F790" s="14" t="s">
        <v>35</v>
      </c>
      <c r="G790" s="13"/>
      <c r="H790" s="14">
        <f>G790+I790</f>
        <v>1</v>
      </c>
      <c r="I790" s="14">
        <v>1</v>
      </c>
      <c r="J790" s="14">
        <v>1</v>
      </c>
      <c r="K790" s="13" t="s">
        <v>4593</v>
      </c>
      <c r="Q790" s="15"/>
    </row>
    <row r="791" spans="1:17" x14ac:dyDescent="0.25">
      <c r="A791" s="11" t="s">
        <v>3751</v>
      </c>
      <c r="C791" s="16" t="s">
        <v>1898</v>
      </c>
      <c r="F791" s="14" t="s">
        <v>35</v>
      </c>
      <c r="G791" s="13">
        <v>1</v>
      </c>
      <c r="H791" s="14">
        <f>G791+I791</f>
        <v>1</v>
      </c>
      <c r="J791" s="14">
        <v>1</v>
      </c>
      <c r="K791" s="13" t="s">
        <v>1086</v>
      </c>
      <c r="Q791" s="15"/>
    </row>
    <row r="792" spans="1:17" x14ac:dyDescent="0.25">
      <c r="A792" s="11" t="s">
        <v>3751</v>
      </c>
      <c r="C792" s="16" t="s">
        <v>1942</v>
      </c>
      <c r="F792" s="14" t="s">
        <v>35</v>
      </c>
      <c r="G792" s="13">
        <v>4</v>
      </c>
      <c r="H792" s="14">
        <f>G792+I792</f>
        <v>4</v>
      </c>
      <c r="J792" s="14">
        <v>4</v>
      </c>
      <c r="K792" s="13" t="s">
        <v>4203</v>
      </c>
      <c r="Q792" s="15"/>
    </row>
    <row r="793" spans="1:17" ht="22.5" x14ac:dyDescent="0.25">
      <c r="A793" s="11" t="s">
        <v>3751</v>
      </c>
      <c r="C793" s="16" t="s">
        <v>3999</v>
      </c>
      <c r="E793" s="13" t="s">
        <v>258</v>
      </c>
      <c r="F793" s="14" t="s">
        <v>35</v>
      </c>
      <c r="G793" s="13"/>
      <c r="H793" s="14">
        <f>G793+I793</f>
        <v>1</v>
      </c>
      <c r="I793" s="14">
        <v>1</v>
      </c>
      <c r="J793" s="14">
        <v>1</v>
      </c>
      <c r="K793" s="13" t="s">
        <v>2530</v>
      </c>
      <c r="Q793" s="15"/>
    </row>
    <row r="794" spans="1:17" ht="22.5" x14ac:dyDescent="0.25">
      <c r="A794" s="11" t="s">
        <v>3751</v>
      </c>
      <c r="C794" s="16" t="s">
        <v>256</v>
      </c>
      <c r="D794" s="13" t="s">
        <v>813</v>
      </c>
      <c r="E794" s="13" t="s">
        <v>258</v>
      </c>
      <c r="F794" s="14" t="s">
        <v>35</v>
      </c>
      <c r="G794" s="13">
        <v>6</v>
      </c>
      <c r="H794" s="14">
        <f t="shared" si="14"/>
        <v>6</v>
      </c>
      <c r="J794" s="14">
        <v>5</v>
      </c>
      <c r="K794" s="13" t="s">
        <v>4648</v>
      </c>
      <c r="Q794" s="15"/>
    </row>
    <row r="795" spans="1:17" x14ac:dyDescent="0.25">
      <c r="A795" s="11" t="s">
        <v>3751</v>
      </c>
      <c r="C795" s="16" t="s">
        <v>1360</v>
      </c>
      <c r="E795" s="13"/>
      <c r="F795" s="14" t="s">
        <v>35</v>
      </c>
      <c r="G795" s="13">
        <v>1</v>
      </c>
      <c r="H795" s="14">
        <f t="shared" si="14"/>
        <v>2</v>
      </c>
      <c r="I795" s="14">
        <v>1</v>
      </c>
      <c r="J795" s="14">
        <v>2</v>
      </c>
      <c r="K795" s="13" t="s">
        <v>4350</v>
      </c>
      <c r="Q795" s="15"/>
    </row>
    <row r="796" spans="1:17" x14ac:dyDescent="0.25">
      <c r="A796" s="11" t="s">
        <v>3751</v>
      </c>
      <c r="C796" s="16" t="s">
        <v>726</v>
      </c>
      <c r="E796" s="13"/>
      <c r="F796" s="14" t="s">
        <v>35</v>
      </c>
      <c r="G796" s="13">
        <v>8</v>
      </c>
      <c r="H796" s="14">
        <f t="shared" si="14"/>
        <v>8</v>
      </c>
      <c r="J796" s="14">
        <v>2</v>
      </c>
      <c r="K796" s="13" t="s">
        <v>4127</v>
      </c>
      <c r="Q796" s="15"/>
    </row>
    <row r="797" spans="1:17" x14ac:dyDescent="0.25">
      <c r="A797" s="11" t="s">
        <v>3751</v>
      </c>
      <c r="C797" s="16" t="s">
        <v>1907</v>
      </c>
      <c r="D797" s="13" t="s">
        <v>1944</v>
      </c>
      <c r="E797" s="13"/>
      <c r="F797" s="14" t="s">
        <v>35</v>
      </c>
      <c r="G797" s="13"/>
      <c r="H797" s="14">
        <f t="shared" si="14"/>
        <v>1</v>
      </c>
      <c r="I797" s="14">
        <v>1</v>
      </c>
      <c r="J797" s="14">
        <v>1</v>
      </c>
      <c r="K797" s="13" t="s">
        <v>4593</v>
      </c>
      <c r="Q797" s="15"/>
    </row>
    <row r="798" spans="1:17" x14ac:dyDescent="0.25">
      <c r="A798" s="11" t="s">
        <v>3751</v>
      </c>
      <c r="C798" s="16" t="s">
        <v>2057</v>
      </c>
      <c r="E798" s="13" t="s">
        <v>3135</v>
      </c>
      <c r="F798" s="14" t="s">
        <v>35</v>
      </c>
      <c r="G798" s="13">
        <v>1</v>
      </c>
      <c r="H798" s="14">
        <f t="shared" si="14"/>
        <v>3</v>
      </c>
      <c r="I798" s="14">
        <v>2</v>
      </c>
      <c r="J798" s="14">
        <v>3</v>
      </c>
      <c r="K798" s="13" t="s">
        <v>4591</v>
      </c>
      <c r="Q798" s="15"/>
    </row>
    <row r="799" spans="1:17" x14ac:dyDescent="0.25">
      <c r="A799" s="11" t="s">
        <v>3751</v>
      </c>
      <c r="C799" s="16" t="s">
        <v>4287</v>
      </c>
      <c r="E799" s="13" t="s">
        <v>3135</v>
      </c>
      <c r="F799" s="14" t="s">
        <v>35</v>
      </c>
      <c r="G799" s="13">
        <v>1</v>
      </c>
      <c r="H799" s="14">
        <f>G799+I799</f>
        <v>1</v>
      </c>
      <c r="J799" s="14">
        <v>1</v>
      </c>
      <c r="K799" s="13" t="s">
        <v>657</v>
      </c>
      <c r="Q799" s="15"/>
    </row>
    <row r="800" spans="1:17" x14ac:dyDescent="0.25">
      <c r="A800" s="11" t="s">
        <v>3751</v>
      </c>
      <c r="C800" s="16" t="s">
        <v>307</v>
      </c>
      <c r="E800" s="13"/>
      <c r="F800" s="14" t="s">
        <v>35</v>
      </c>
      <c r="G800" s="13">
        <v>3</v>
      </c>
      <c r="H800" s="14">
        <f t="shared" si="14"/>
        <v>3</v>
      </c>
      <c r="J800" s="14">
        <v>2</v>
      </c>
      <c r="K800" s="13" t="s">
        <v>4405</v>
      </c>
      <c r="Q800" s="15"/>
    </row>
    <row r="801" spans="1:17" x14ac:dyDescent="0.25">
      <c r="A801" s="11" t="s">
        <v>3751</v>
      </c>
      <c r="C801" s="16" t="s">
        <v>257</v>
      </c>
      <c r="F801" s="14" t="s">
        <v>35</v>
      </c>
      <c r="G801" s="13">
        <v>6</v>
      </c>
      <c r="H801" s="14">
        <f t="shared" ref="H801:H908" si="15">G801+I801</f>
        <v>6</v>
      </c>
      <c r="J801" s="14">
        <v>6</v>
      </c>
      <c r="K801" s="13" t="s">
        <v>4650</v>
      </c>
      <c r="Q801" s="15"/>
    </row>
    <row r="802" spans="1:17" x14ac:dyDescent="0.25">
      <c r="A802" s="11" t="s">
        <v>3751</v>
      </c>
      <c r="C802" s="16" t="s">
        <v>471</v>
      </c>
      <c r="E802" s="14" t="s">
        <v>86</v>
      </c>
      <c r="F802" s="14" t="s">
        <v>35</v>
      </c>
      <c r="G802" s="13">
        <v>3</v>
      </c>
      <c r="H802" s="14">
        <f t="shared" si="15"/>
        <v>4</v>
      </c>
      <c r="I802" s="14">
        <v>1</v>
      </c>
      <c r="J802" s="14">
        <v>4</v>
      </c>
      <c r="K802" s="13" t="s">
        <v>4351</v>
      </c>
      <c r="Q802" s="15"/>
    </row>
    <row r="803" spans="1:17" x14ac:dyDescent="0.25">
      <c r="A803" s="11" t="s">
        <v>3751</v>
      </c>
      <c r="C803" s="16" t="s">
        <v>260</v>
      </c>
      <c r="F803" s="14" t="s">
        <v>35</v>
      </c>
      <c r="G803" s="13">
        <v>8</v>
      </c>
      <c r="H803" s="14">
        <f t="shared" si="15"/>
        <v>8</v>
      </c>
      <c r="J803" s="14">
        <v>7</v>
      </c>
      <c r="K803" s="13" t="s">
        <v>4649</v>
      </c>
      <c r="Q803" s="15"/>
    </row>
    <row r="804" spans="1:17" x14ac:dyDescent="0.25">
      <c r="A804" s="11" t="s">
        <v>3751</v>
      </c>
      <c r="C804" s="16" t="s">
        <v>821</v>
      </c>
      <c r="F804" s="14" t="s">
        <v>35</v>
      </c>
      <c r="G804" s="13">
        <v>3</v>
      </c>
      <c r="H804" s="14">
        <f t="shared" si="15"/>
        <v>3</v>
      </c>
      <c r="J804" s="14">
        <v>3</v>
      </c>
      <c r="K804" s="13" t="s">
        <v>4265</v>
      </c>
      <c r="Q804" s="15"/>
    </row>
    <row r="805" spans="1:17" x14ac:dyDescent="0.25">
      <c r="A805" s="11" t="s">
        <v>3751</v>
      </c>
      <c r="C805" s="16" t="s">
        <v>737</v>
      </c>
      <c r="F805" s="14" t="s">
        <v>35</v>
      </c>
      <c r="G805" s="13">
        <v>1</v>
      </c>
      <c r="H805" s="14">
        <f t="shared" si="15"/>
        <v>1</v>
      </c>
      <c r="J805" s="14">
        <v>1</v>
      </c>
      <c r="K805" s="13" t="s">
        <v>1309</v>
      </c>
      <c r="Q805" s="15"/>
    </row>
    <row r="806" spans="1:17" x14ac:dyDescent="0.25">
      <c r="A806" s="11" t="s">
        <v>3751</v>
      </c>
      <c r="D806" s="13" t="s">
        <v>1015</v>
      </c>
      <c r="F806" s="13" t="s">
        <v>35</v>
      </c>
      <c r="G806" s="13">
        <v>3</v>
      </c>
      <c r="H806" s="14">
        <f t="shared" si="15"/>
        <v>4</v>
      </c>
      <c r="I806" s="14">
        <v>1</v>
      </c>
      <c r="J806" s="14">
        <v>4</v>
      </c>
      <c r="K806" s="13" t="s">
        <v>4651</v>
      </c>
      <c r="Q806" s="15"/>
    </row>
    <row r="807" spans="1:17" x14ac:dyDescent="0.25">
      <c r="A807" s="11" t="s">
        <v>3751</v>
      </c>
      <c r="D807" s="13" t="s">
        <v>4131</v>
      </c>
      <c r="F807" s="13" t="s">
        <v>35</v>
      </c>
      <c r="G807" s="13">
        <v>2</v>
      </c>
      <c r="H807" s="14">
        <f>G807+I807</f>
        <v>2</v>
      </c>
      <c r="J807" s="14">
        <v>1</v>
      </c>
      <c r="K807" s="13" t="s">
        <v>2216</v>
      </c>
      <c r="Q807" s="15"/>
    </row>
    <row r="808" spans="1:17" ht="33.75" x14ac:dyDescent="0.25">
      <c r="A808" s="11" t="s">
        <v>3751</v>
      </c>
      <c r="C808" s="16" t="s">
        <v>3151</v>
      </c>
      <c r="D808" s="13" t="s">
        <v>2419</v>
      </c>
      <c r="F808" s="13" t="s">
        <v>3152</v>
      </c>
      <c r="G808" s="13">
        <v>1</v>
      </c>
      <c r="H808" s="14">
        <f t="shared" si="15"/>
        <v>1</v>
      </c>
      <c r="J808" s="14">
        <v>1</v>
      </c>
      <c r="K808" s="13" t="s">
        <v>3258</v>
      </c>
      <c r="Q808" s="15"/>
    </row>
    <row r="809" spans="1:17" ht="22.5" x14ac:dyDescent="0.25">
      <c r="A809" s="11" t="s">
        <v>3751</v>
      </c>
      <c r="B809" s="13" t="s">
        <v>231</v>
      </c>
      <c r="D809" s="13" t="s">
        <v>1825</v>
      </c>
      <c r="F809" s="13" t="s">
        <v>35</v>
      </c>
      <c r="G809" s="13">
        <v>4</v>
      </c>
      <c r="H809" s="14">
        <f t="shared" si="15"/>
        <v>4</v>
      </c>
      <c r="J809" s="14">
        <v>2</v>
      </c>
      <c r="K809" s="13" t="s">
        <v>4348</v>
      </c>
      <c r="Q809" s="15"/>
    </row>
    <row r="810" spans="1:17" s="31" customFormat="1" ht="22.5" x14ac:dyDescent="0.25">
      <c r="A810" s="11" t="s">
        <v>3751</v>
      </c>
      <c r="B810" s="13" t="s">
        <v>231</v>
      </c>
      <c r="C810" s="16"/>
      <c r="D810" s="13" t="s">
        <v>4001</v>
      </c>
      <c r="E810" s="14"/>
      <c r="F810" s="13" t="s">
        <v>35</v>
      </c>
      <c r="G810" s="13">
        <v>1</v>
      </c>
      <c r="H810" s="14">
        <f>G810+I810</f>
        <v>1</v>
      </c>
      <c r="I810" s="14"/>
      <c r="J810" s="14">
        <v>1</v>
      </c>
      <c r="K810" s="13" t="s">
        <v>1396</v>
      </c>
      <c r="L810" s="15"/>
      <c r="M810" s="15"/>
      <c r="N810" s="15"/>
      <c r="O810" s="15"/>
      <c r="P810" s="15"/>
      <c r="Q810" s="30"/>
    </row>
    <row r="811" spans="1:17" x14ac:dyDescent="0.25">
      <c r="A811" s="11" t="s">
        <v>3751</v>
      </c>
      <c r="B811" s="13" t="s">
        <v>231</v>
      </c>
      <c r="D811" s="13" t="s">
        <v>1940</v>
      </c>
      <c r="F811" s="13" t="s">
        <v>35</v>
      </c>
      <c r="G811" s="13">
        <v>4</v>
      </c>
      <c r="H811" s="14">
        <f t="shared" si="15"/>
        <v>4</v>
      </c>
      <c r="J811" s="14">
        <v>4</v>
      </c>
      <c r="K811" s="13" t="s">
        <v>4347</v>
      </c>
      <c r="Q811" s="15"/>
    </row>
    <row r="812" spans="1:17" x14ac:dyDescent="0.25">
      <c r="A812" s="11" t="s">
        <v>3751</v>
      </c>
      <c r="B812" s="13" t="s">
        <v>231</v>
      </c>
      <c r="C812" s="16" t="s">
        <v>3855</v>
      </c>
      <c r="F812" s="13" t="s">
        <v>35</v>
      </c>
      <c r="G812" s="13">
        <v>1</v>
      </c>
      <c r="H812" s="14">
        <f t="shared" ref="H812:H819" si="16">G812+I812</f>
        <v>1</v>
      </c>
      <c r="J812" s="14">
        <v>1</v>
      </c>
      <c r="K812" s="13" t="s">
        <v>79</v>
      </c>
      <c r="Q812" s="15"/>
    </row>
    <row r="813" spans="1:17" x14ac:dyDescent="0.25">
      <c r="A813" s="11" t="s">
        <v>3751</v>
      </c>
      <c r="B813" s="13" t="s">
        <v>231</v>
      </c>
      <c r="C813" s="16" t="s">
        <v>4102</v>
      </c>
      <c r="F813" s="13" t="s">
        <v>35</v>
      </c>
      <c r="G813" s="13">
        <v>1</v>
      </c>
      <c r="H813" s="14">
        <f t="shared" si="16"/>
        <v>1</v>
      </c>
      <c r="J813" s="14">
        <v>1</v>
      </c>
      <c r="K813" s="13" t="s">
        <v>2178</v>
      </c>
      <c r="Q813" s="15"/>
    </row>
    <row r="814" spans="1:17" x14ac:dyDescent="0.25">
      <c r="A814" s="11" t="s">
        <v>3751</v>
      </c>
      <c r="B814" s="13" t="s">
        <v>231</v>
      </c>
      <c r="C814" s="16" t="s">
        <v>4406</v>
      </c>
      <c r="F814" s="13" t="s">
        <v>35</v>
      </c>
      <c r="G814" s="13">
        <v>1</v>
      </c>
      <c r="H814" s="14">
        <f t="shared" si="16"/>
        <v>1</v>
      </c>
      <c r="J814" s="14">
        <v>1</v>
      </c>
      <c r="K814" s="13" t="s">
        <v>4391</v>
      </c>
      <c r="Q814" s="15"/>
    </row>
    <row r="815" spans="1:17" x14ac:dyDescent="0.25">
      <c r="A815" s="11" t="s">
        <v>3751</v>
      </c>
      <c r="B815" s="13" t="s">
        <v>995</v>
      </c>
      <c r="D815" s="13" t="s">
        <v>1940</v>
      </c>
      <c r="F815" s="14" t="s">
        <v>35</v>
      </c>
      <c r="G815" s="13">
        <v>1</v>
      </c>
      <c r="H815" s="14">
        <f t="shared" si="16"/>
        <v>1</v>
      </c>
      <c r="J815" s="14">
        <v>1</v>
      </c>
      <c r="K815" s="13" t="s">
        <v>657</v>
      </c>
      <c r="Q815" s="15"/>
    </row>
    <row r="816" spans="1:17" x14ac:dyDescent="0.25">
      <c r="A816" s="11" t="s">
        <v>3751</v>
      </c>
      <c r="B816" s="13" t="s">
        <v>953</v>
      </c>
      <c r="D816" s="13" t="s">
        <v>1940</v>
      </c>
      <c r="F816" s="14" t="s">
        <v>35</v>
      </c>
      <c r="G816" s="13">
        <v>4</v>
      </c>
      <c r="H816" s="14">
        <f t="shared" si="16"/>
        <v>4</v>
      </c>
      <c r="J816" s="14">
        <v>4</v>
      </c>
      <c r="K816" s="13" t="s">
        <v>4285</v>
      </c>
      <c r="Q816" s="15"/>
    </row>
    <row r="817" spans="1:17" x14ac:dyDescent="0.25">
      <c r="A817" s="11" t="s">
        <v>3751</v>
      </c>
      <c r="B817" s="13" t="s">
        <v>953</v>
      </c>
      <c r="E817" s="14" t="s">
        <v>683</v>
      </c>
      <c r="F817" s="14" t="s">
        <v>35</v>
      </c>
      <c r="G817" s="13">
        <v>2</v>
      </c>
      <c r="H817" s="14">
        <f t="shared" si="16"/>
        <v>2</v>
      </c>
      <c r="J817" s="14">
        <v>2</v>
      </c>
      <c r="K817" s="13" t="s">
        <v>4302</v>
      </c>
      <c r="Q817" s="15"/>
    </row>
    <row r="818" spans="1:17" x14ac:dyDescent="0.25">
      <c r="A818" s="11" t="s">
        <v>3751</v>
      </c>
      <c r="B818" s="13" t="s">
        <v>2058</v>
      </c>
      <c r="D818" s="13" t="s">
        <v>1940</v>
      </c>
      <c r="F818" s="14" t="s">
        <v>35</v>
      </c>
      <c r="G818" s="13"/>
      <c r="H818" s="14">
        <f t="shared" si="16"/>
        <v>2</v>
      </c>
      <c r="I818" s="14">
        <v>2</v>
      </c>
      <c r="J818" s="14">
        <v>1</v>
      </c>
      <c r="K818" s="13" t="s">
        <v>4593</v>
      </c>
      <c r="Q818" s="15"/>
    </row>
    <row r="819" spans="1:17" x14ac:dyDescent="0.25">
      <c r="A819" s="11" t="s">
        <v>3751</v>
      </c>
      <c r="B819" s="13" t="s">
        <v>2058</v>
      </c>
      <c r="C819" s="16" t="s">
        <v>2059</v>
      </c>
      <c r="F819" s="14" t="s">
        <v>35</v>
      </c>
      <c r="G819" s="13">
        <v>2</v>
      </c>
      <c r="H819" s="14">
        <f t="shared" si="16"/>
        <v>3</v>
      </c>
      <c r="I819" s="14">
        <v>1</v>
      </c>
      <c r="J819" s="14">
        <v>3</v>
      </c>
      <c r="K819" s="13" t="s">
        <v>4349</v>
      </c>
      <c r="Q819" s="15"/>
    </row>
    <row r="820" spans="1:17" ht="22.5" x14ac:dyDescent="0.25">
      <c r="A820" s="11" t="s">
        <v>3751</v>
      </c>
      <c r="B820" s="13" t="s">
        <v>953</v>
      </c>
      <c r="C820" s="16" t="s">
        <v>729</v>
      </c>
      <c r="E820" s="13" t="s">
        <v>4130</v>
      </c>
      <c r="F820" s="14" t="s">
        <v>35</v>
      </c>
      <c r="G820" s="13">
        <v>2</v>
      </c>
      <c r="H820" s="14">
        <f>G820+I820</f>
        <v>2</v>
      </c>
      <c r="J820" s="14">
        <v>2</v>
      </c>
      <c r="K820" s="13" t="s">
        <v>4398</v>
      </c>
      <c r="Q820" s="15"/>
    </row>
    <row r="821" spans="1:17" ht="33.75" x14ac:dyDescent="0.25">
      <c r="A821" s="11" t="s">
        <v>3751</v>
      </c>
      <c r="B821" s="13" t="s">
        <v>953</v>
      </c>
      <c r="C821" s="16" t="s">
        <v>1414</v>
      </c>
      <c r="D821" s="13" t="s">
        <v>4474</v>
      </c>
      <c r="E821" s="14" t="s">
        <v>728</v>
      </c>
      <c r="F821" s="14" t="s">
        <v>35</v>
      </c>
      <c r="G821" s="13">
        <v>4</v>
      </c>
      <c r="H821" s="14">
        <f t="shared" ref="H821:H827" si="17">G821+I821</f>
        <v>4</v>
      </c>
      <c r="J821" s="14">
        <v>4</v>
      </c>
      <c r="K821" s="13" t="s">
        <v>4563</v>
      </c>
      <c r="Q821" s="15"/>
    </row>
    <row r="822" spans="1:17" x14ac:dyDescent="0.25">
      <c r="A822" s="11" t="s">
        <v>3751</v>
      </c>
      <c r="B822" s="13" t="s">
        <v>1608</v>
      </c>
      <c r="D822" s="13" t="s">
        <v>1940</v>
      </c>
      <c r="E822" s="14" t="s">
        <v>1881</v>
      </c>
      <c r="F822" s="14" t="s">
        <v>35</v>
      </c>
      <c r="G822" s="13">
        <v>2</v>
      </c>
      <c r="H822" s="14">
        <f t="shared" si="17"/>
        <v>2</v>
      </c>
      <c r="J822" s="14">
        <v>2</v>
      </c>
      <c r="K822" s="13" t="s">
        <v>4381</v>
      </c>
      <c r="Q822" s="15"/>
    </row>
    <row r="823" spans="1:17" x14ac:dyDescent="0.25">
      <c r="A823" s="11" t="s">
        <v>3751</v>
      </c>
      <c r="B823" s="13" t="s">
        <v>238</v>
      </c>
      <c r="D823" s="13" t="s">
        <v>1940</v>
      </c>
      <c r="E823" s="14" t="s">
        <v>236</v>
      </c>
      <c r="F823" s="14" t="s">
        <v>35</v>
      </c>
      <c r="G823" s="13">
        <v>9</v>
      </c>
      <c r="H823" s="14">
        <f t="shared" si="17"/>
        <v>9</v>
      </c>
      <c r="J823" s="14">
        <v>5</v>
      </c>
      <c r="K823" s="13" t="s">
        <v>4359</v>
      </c>
      <c r="Q823" s="15"/>
    </row>
    <row r="824" spans="1:17" x14ac:dyDescent="0.25">
      <c r="A824" s="11" t="s">
        <v>3751</v>
      </c>
      <c r="B824" s="13" t="s">
        <v>238</v>
      </c>
      <c r="C824" s="16" t="s">
        <v>4134</v>
      </c>
      <c r="E824" s="14" t="s">
        <v>236</v>
      </c>
      <c r="F824" s="14" t="s">
        <v>35</v>
      </c>
      <c r="G824" s="13">
        <v>6</v>
      </c>
      <c r="H824" s="14">
        <f t="shared" si="17"/>
        <v>6</v>
      </c>
      <c r="J824" s="14">
        <v>4</v>
      </c>
      <c r="K824" s="13" t="s">
        <v>4135</v>
      </c>
      <c r="Q824" s="15"/>
    </row>
    <row r="825" spans="1:17" x14ac:dyDescent="0.25">
      <c r="A825" s="11" t="s">
        <v>3751</v>
      </c>
      <c r="B825" s="13" t="s">
        <v>238</v>
      </c>
      <c r="C825" s="16" t="s">
        <v>4360</v>
      </c>
      <c r="E825" s="14" t="s">
        <v>4158</v>
      </c>
      <c r="F825" s="14" t="s">
        <v>35</v>
      </c>
      <c r="G825" s="13">
        <v>1</v>
      </c>
      <c r="H825" s="14">
        <f t="shared" si="17"/>
        <v>1</v>
      </c>
      <c r="J825" s="14">
        <v>1</v>
      </c>
      <c r="K825" s="13" t="s">
        <v>4332</v>
      </c>
      <c r="Q825" s="15"/>
    </row>
    <row r="826" spans="1:17" x14ac:dyDescent="0.25">
      <c r="A826" s="11" t="s">
        <v>3751</v>
      </c>
      <c r="B826" s="13" t="s">
        <v>238</v>
      </c>
      <c r="C826" s="16" t="s">
        <v>4157</v>
      </c>
      <c r="E826" s="14" t="s">
        <v>4158</v>
      </c>
      <c r="F826" s="14" t="s">
        <v>35</v>
      </c>
      <c r="G826" s="13">
        <v>1</v>
      </c>
      <c r="H826" s="14">
        <f t="shared" si="17"/>
        <v>1</v>
      </c>
      <c r="J826" s="14">
        <v>1</v>
      </c>
      <c r="K826" s="13" t="s">
        <v>1286</v>
      </c>
      <c r="Q826" s="15"/>
    </row>
    <row r="827" spans="1:17" x14ac:dyDescent="0.25">
      <c r="A827" s="11" t="s">
        <v>3751</v>
      </c>
      <c r="B827" s="13" t="s">
        <v>238</v>
      </c>
      <c r="C827" s="16" t="s">
        <v>4146</v>
      </c>
      <c r="E827" s="14" t="s">
        <v>236</v>
      </c>
      <c r="F827" s="14" t="s">
        <v>35</v>
      </c>
      <c r="G827" s="13">
        <v>1</v>
      </c>
      <c r="H827" s="14">
        <f t="shared" si="17"/>
        <v>1</v>
      </c>
      <c r="J827" s="14">
        <v>1</v>
      </c>
      <c r="K827" s="13" t="s">
        <v>3153</v>
      </c>
      <c r="Q827" s="15"/>
    </row>
    <row r="828" spans="1:17" x14ac:dyDescent="0.25">
      <c r="A828" s="11" t="s">
        <v>3751</v>
      </c>
      <c r="B828" s="13" t="s">
        <v>226</v>
      </c>
      <c r="D828" s="13" t="s">
        <v>1940</v>
      </c>
      <c r="E828" s="13" t="s">
        <v>2784</v>
      </c>
      <c r="F828" s="14" t="s">
        <v>35</v>
      </c>
      <c r="G828" s="13">
        <v>1</v>
      </c>
      <c r="H828" s="14">
        <f t="shared" si="15"/>
        <v>1</v>
      </c>
      <c r="J828" s="14">
        <v>1</v>
      </c>
      <c r="K828" s="13" t="s">
        <v>1673</v>
      </c>
      <c r="Q828" s="15"/>
    </row>
    <row r="829" spans="1:17" x14ac:dyDescent="0.25">
      <c r="A829" s="11" t="s">
        <v>3751</v>
      </c>
      <c r="B829" s="13" t="s">
        <v>226</v>
      </c>
      <c r="C829" s="16" t="s">
        <v>1490</v>
      </c>
      <c r="D829" s="13" t="s">
        <v>1940</v>
      </c>
      <c r="E829" s="13"/>
      <c r="F829" s="14" t="s">
        <v>35</v>
      </c>
      <c r="G829" s="13">
        <v>3</v>
      </c>
      <c r="H829" s="14">
        <f>G829+I829</f>
        <v>3</v>
      </c>
      <c r="J829" s="14">
        <v>1</v>
      </c>
      <c r="K829" s="13" t="s">
        <v>2215</v>
      </c>
      <c r="Q829" s="15"/>
    </row>
    <row r="830" spans="1:17" x14ac:dyDescent="0.25">
      <c r="A830" s="11" t="s">
        <v>3751</v>
      </c>
      <c r="B830" s="13" t="s">
        <v>226</v>
      </c>
      <c r="C830" s="16" t="s">
        <v>3309</v>
      </c>
      <c r="E830" s="13" t="s">
        <v>2784</v>
      </c>
      <c r="F830" s="14" t="s">
        <v>35</v>
      </c>
      <c r="G830" s="13">
        <v>1</v>
      </c>
      <c r="H830" s="14">
        <f t="shared" si="15"/>
        <v>1</v>
      </c>
      <c r="J830" s="14">
        <v>1</v>
      </c>
      <c r="K830" s="13" t="s">
        <v>4299</v>
      </c>
      <c r="Q830" s="15"/>
    </row>
    <row r="831" spans="1:17" x14ac:dyDescent="0.25">
      <c r="A831" s="11" t="s">
        <v>3751</v>
      </c>
      <c r="B831" s="13" t="s">
        <v>226</v>
      </c>
      <c r="E831" s="13" t="s">
        <v>730</v>
      </c>
      <c r="F831" s="14" t="s">
        <v>35</v>
      </c>
      <c r="G831" s="13">
        <v>1</v>
      </c>
      <c r="H831" s="14">
        <f>G831+I831</f>
        <v>3</v>
      </c>
      <c r="I831" s="14">
        <v>2</v>
      </c>
      <c r="J831" s="14">
        <v>2</v>
      </c>
      <c r="K831" s="13" t="s">
        <v>4601</v>
      </c>
      <c r="Q831" s="15"/>
    </row>
    <row r="832" spans="1:17" x14ac:dyDescent="0.25">
      <c r="A832" s="11" t="s">
        <v>3751</v>
      </c>
      <c r="B832" s="13" t="s">
        <v>226</v>
      </c>
      <c r="C832" s="16" t="s">
        <v>3067</v>
      </c>
      <c r="E832" s="13"/>
      <c r="F832" s="14" t="s">
        <v>35</v>
      </c>
      <c r="G832" s="13">
        <v>2</v>
      </c>
      <c r="H832" s="14">
        <f>G832+I832</f>
        <v>2</v>
      </c>
      <c r="J832" s="14">
        <v>2</v>
      </c>
      <c r="K832" s="13" t="s">
        <v>4128</v>
      </c>
      <c r="Q832" s="15"/>
    </row>
    <row r="833" spans="1:17" x14ac:dyDescent="0.25">
      <c r="A833" s="11" t="s">
        <v>3751</v>
      </c>
      <c r="B833" s="13" t="s">
        <v>226</v>
      </c>
      <c r="C833" s="16" t="s">
        <v>4043</v>
      </c>
      <c r="E833" s="13"/>
      <c r="F833" s="14" t="s">
        <v>35</v>
      </c>
      <c r="G833" s="13">
        <v>2</v>
      </c>
      <c r="H833" s="14">
        <f>G833+I833</f>
        <v>2</v>
      </c>
      <c r="J833" s="14">
        <v>2</v>
      </c>
      <c r="K833" s="13" t="s">
        <v>4129</v>
      </c>
      <c r="Q833" s="15"/>
    </row>
    <row r="834" spans="1:17" x14ac:dyDescent="0.25">
      <c r="A834" s="11" t="s">
        <v>3751</v>
      </c>
      <c r="B834" s="13" t="s">
        <v>1641</v>
      </c>
      <c r="C834" s="16" t="s">
        <v>4420</v>
      </c>
      <c r="F834" s="14" t="s">
        <v>35</v>
      </c>
      <c r="G834" s="13">
        <v>2</v>
      </c>
      <c r="H834" s="14">
        <f>G834+I834</f>
        <v>2</v>
      </c>
      <c r="J834" s="14">
        <v>2</v>
      </c>
      <c r="K834" s="13" t="s">
        <v>4429</v>
      </c>
    </row>
    <row r="835" spans="1:17" x14ac:dyDescent="0.25">
      <c r="A835" s="11" t="s">
        <v>3751</v>
      </c>
      <c r="B835" s="13" t="s">
        <v>407</v>
      </c>
      <c r="C835" s="16" t="s">
        <v>407</v>
      </c>
      <c r="D835" s="13" t="s">
        <v>1940</v>
      </c>
      <c r="F835" s="14" t="s">
        <v>35</v>
      </c>
      <c r="G835" s="13">
        <v>1</v>
      </c>
      <c r="H835" s="14">
        <f t="shared" si="15"/>
        <v>1</v>
      </c>
      <c r="J835" s="14">
        <v>1</v>
      </c>
      <c r="K835" s="13" t="s">
        <v>657</v>
      </c>
      <c r="Q835" s="15"/>
    </row>
    <row r="836" spans="1:17" x14ac:dyDescent="0.25">
      <c r="A836" s="11" t="s">
        <v>3751</v>
      </c>
      <c r="B836" s="13" t="s">
        <v>407</v>
      </c>
      <c r="C836" s="16" t="s">
        <v>232</v>
      </c>
      <c r="E836" s="14" t="s">
        <v>2336</v>
      </c>
      <c r="F836" s="14" t="s">
        <v>35</v>
      </c>
      <c r="G836" s="13">
        <v>1</v>
      </c>
      <c r="H836" s="14">
        <f>G836+I836</f>
        <v>1</v>
      </c>
      <c r="J836" s="14">
        <v>1</v>
      </c>
      <c r="K836" s="13" t="s">
        <v>893</v>
      </c>
      <c r="Q836" s="15"/>
    </row>
    <row r="837" spans="1:17" x14ac:dyDescent="0.25">
      <c r="A837" s="11" t="s">
        <v>3751</v>
      </c>
      <c r="B837" s="13" t="s">
        <v>676</v>
      </c>
      <c r="D837" s="13" t="s">
        <v>1940</v>
      </c>
      <c r="F837" s="14" t="s">
        <v>35</v>
      </c>
      <c r="G837" s="13">
        <v>6</v>
      </c>
      <c r="H837" s="14">
        <f t="shared" si="15"/>
        <v>6</v>
      </c>
      <c r="J837" s="14">
        <v>6</v>
      </c>
      <c r="K837" s="13" t="s">
        <v>4653</v>
      </c>
      <c r="Q837" s="15"/>
    </row>
    <row r="838" spans="1:17" x14ac:dyDescent="0.25">
      <c r="A838" s="11" t="s">
        <v>3751</v>
      </c>
      <c r="B838" s="13" t="s">
        <v>676</v>
      </c>
      <c r="E838" s="14" t="s">
        <v>428</v>
      </c>
      <c r="F838" s="14" t="s">
        <v>35</v>
      </c>
      <c r="G838" s="13">
        <v>11</v>
      </c>
      <c r="H838" s="14">
        <f t="shared" si="15"/>
        <v>14</v>
      </c>
      <c r="I838" s="14">
        <v>3</v>
      </c>
      <c r="J838" s="14">
        <v>9</v>
      </c>
      <c r="K838" s="13" t="s">
        <v>4400</v>
      </c>
      <c r="Q838" s="15"/>
    </row>
    <row r="839" spans="1:17" x14ac:dyDescent="0.25">
      <c r="A839" s="11" t="s">
        <v>3751</v>
      </c>
      <c r="B839" s="13" t="s">
        <v>676</v>
      </c>
      <c r="E839" s="14" t="s">
        <v>732</v>
      </c>
      <c r="F839" s="14" t="s">
        <v>35</v>
      </c>
      <c r="G839" s="13">
        <v>1</v>
      </c>
      <c r="H839" s="14">
        <f t="shared" si="15"/>
        <v>1</v>
      </c>
      <c r="J839" s="14">
        <v>1</v>
      </c>
      <c r="K839" s="13" t="s">
        <v>578</v>
      </c>
      <c r="Q839" s="15"/>
    </row>
    <row r="840" spans="1:17" x14ac:dyDescent="0.25">
      <c r="A840" s="11" t="s">
        <v>3751</v>
      </c>
      <c r="B840" s="13" t="s">
        <v>676</v>
      </c>
      <c r="E840" s="14" t="s">
        <v>3785</v>
      </c>
      <c r="F840" s="14" t="s">
        <v>35</v>
      </c>
      <c r="G840" s="13">
        <v>1</v>
      </c>
      <c r="H840" s="14">
        <f t="shared" si="15"/>
        <v>1</v>
      </c>
      <c r="J840" s="14">
        <v>1</v>
      </c>
      <c r="K840" s="13" t="s">
        <v>1022</v>
      </c>
      <c r="Q840" s="15"/>
    </row>
    <row r="841" spans="1:17" x14ac:dyDescent="0.25">
      <c r="A841" s="11" t="s">
        <v>3751</v>
      </c>
      <c r="B841" s="13" t="s">
        <v>676</v>
      </c>
      <c r="C841" s="16" t="s">
        <v>745</v>
      </c>
      <c r="F841" s="14" t="s">
        <v>35</v>
      </c>
      <c r="G841" s="13">
        <v>1</v>
      </c>
      <c r="H841" s="14">
        <f>G841+I841</f>
        <v>1</v>
      </c>
      <c r="J841" s="14">
        <v>1</v>
      </c>
      <c r="K841" s="13" t="s">
        <v>173</v>
      </c>
      <c r="Q841" s="15"/>
    </row>
    <row r="842" spans="1:17" x14ac:dyDescent="0.25">
      <c r="A842" s="11" t="s">
        <v>3751</v>
      </c>
      <c r="B842" s="13" t="s">
        <v>676</v>
      </c>
      <c r="C842" s="16" t="s">
        <v>3856</v>
      </c>
      <c r="E842" s="10" t="s">
        <v>745</v>
      </c>
      <c r="F842" s="14" t="s">
        <v>35</v>
      </c>
      <c r="G842" s="13">
        <v>1</v>
      </c>
      <c r="H842" s="14">
        <f>G842+I842</f>
        <v>1</v>
      </c>
      <c r="J842" s="14">
        <v>1</v>
      </c>
      <c r="K842" s="13" t="s">
        <v>173</v>
      </c>
      <c r="Q842" s="15"/>
    </row>
    <row r="843" spans="1:17" x14ac:dyDescent="0.25">
      <c r="A843" s="11" t="s">
        <v>3751</v>
      </c>
      <c r="B843" s="13" t="s">
        <v>676</v>
      </c>
      <c r="C843" s="16" t="s">
        <v>3146</v>
      </c>
      <c r="D843" s="13" t="s">
        <v>1940</v>
      </c>
      <c r="F843" s="14" t="s">
        <v>35</v>
      </c>
      <c r="G843" s="13">
        <v>1</v>
      </c>
      <c r="H843" s="14">
        <f t="shared" si="15"/>
        <v>1</v>
      </c>
      <c r="J843" s="14">
        <v>1</v>
      </c>
      <c r="K843" s="13" t="s">
        <v>1704</v>
      </c>
      <c r="Q843" s="15"/>
    </row>
    <row r="844" spans="1:17" x14ac:dyDescent="0.25">
      <c r="A844" s="11" t="s">
        <v>3751</v>
      </c>
      <c r="B844" s="13" t="s">
        <v>4204</v>
      </c>
      <c r="D844" s="13" t="s">
        <v>1940</v>
      </c>
      <c r="F844" s="14" t="s">
        <v>35</v>
      </c>
      <c r="G844" s="13">
        <v>2</v>
      </c>
      <c r="H844" s="14">
        <f t="shared" si="15"/>
        <v>2</v>
      </c>
      <c r="J844" s="14">
        <v>2</v>
      </c>
      <c r="K844" s="13" t="s">
        <v>4205</v>
      </c>
      <c r="Q844" s="15"/>
    </row>
    <row r="845" spans="1:17" x14ac:dyDescent="0.25">
      <c r="A845" s="11" t="s">
        <v>3751</v>
      </c>
      <c r="B845" s="13" t="s">
        <v>4204</v>
      </c>
      <c r="C845" s="16" t="s">
        <v>4163</v>
      </c>
      <c r="F845" s="14" t="s">
        <v>35</v>
      </c>
      <c r="G845" s="13">
        <v>1</v>
      </c>
      <c r="H845" s="14">
        <f>G845+I845</f>
        <v>1</v>
      </c>
      <c r="J845" s="14">
        <v>1</v>
      </c>
      <c r="K845" s="13" t="s">
        <v>1309</v>
      </c>
      <c r="Q845" s="15"/>
    </row>
    <row r="846" spans="1:17" x14ac:dyDescent="0.25">
      <c r="A846" s="11" t="s">
        <v>3751</v>
      </c>
      <c r="B846" s="13" t="s">
        <v>4204</v>
      </c>
      <c r="D846" s="13" t="s">
        <v>465</v>
      </c>
      <c r="E846" s="14" t="s">
        <v>464</v>
      </c>
      <c r="F846" s="14" t="s">
        <v>35</v>
      </c>
      <c r="G846" s="13">
        <v>6</v>
      </c>
      <c r="H846" s="14">
        <f t="shared" si="15"/>
        <v>7</v>
      </c>
      <c r="I846" s="14">
        <v>1</v>
      </c>
      <c r="J846" s="14">
        <v>6</v>
      </c>
      <c r="K846" s="13" t="s">
        <v>4605</v>
      </c>
      <c r="Q846" s="15"/>
    </row>
    <row r="847" spans="1:17" ht="22.5" x14ac:dyDescent="0.25">
      <c r="A847" s="11" t="s">
        <v>3751</v>
      </c>
      <c r="B847" s="13" t="s">
        <v>34</v>
      </c>
      <c r="D847" s="13" t="s">
        <v>1940</v>
      </c>
      <c r="F847" s="14" t="s">
        <v>35</v>
      </c>
      <c r="G847" s="13">
        <v>26</v>
      </c>
      <c r="H847" s="14">
        <f t="shared" si="15"/>
        <v>27</v>
      </c>
      <c r="I847" s="14">
        <v>1</v>
      </c>
      <c r="J847" s="14">
        <v>22</v>
      </c>
      <c r="K847" s="13" t="s">
        <v>4451</v>
      </c>
    </row>
    <row r="848" spans="1:17" ht="22.5" x14ac:dyDescent="0.25">
      <c r="A848" s="11" t="s">
        <v>3751</v>
      </c>
      <c r="B848" s="13" t="s">
        <v>34</v>
      </c>
      <c r="D848" s="13" t="s">
        <v>1034</v>
      </c>
      <c r="E848" s="14" t="s">
        <v>1048</v>
      </c>
      <c r="F848" s="14" t="s">
        <v>35</v>
      </c>
      <c r="G848" s="13">
        <v>2</v>
      </c>
      <c r="H848" s="14">
        <f t="shared" si="15"/>
        <v>2</v>
      </c>
      <c r="J848" s="14">
        <v>2</v>
      </c>
      <c r="K848" s="13" t="s">
        <v>4136</v>
      </c>
    </row>
    <row r="849" spans="1:17" ht="22.5" x14ac:dyDescent="0.25">
      <c r="A849" s="11" t="s">
        <v>3751</v>
      </c>
      <c r="B849" s="13" t="s">
        <v>34</v>
      </c>
      <c r="D849" s="13" t="s">
        <v>1034</v>
      </c>
      <c r="E849" s="14" t="s">
        <v>1047</v>
      </c>
      <c r="F849" s="14" t="s">
        <v>35</v>
      </c>
      <c r="G849" s="13">
        <v>4</v>
      </c>
      <c r="H849" s="14">
        <f t="shared" si="15"/>
        <v>4</v>
      </c>
      <c r="J849" s="14">
        <v>4</v>
      </c>
      <c r="K849" s="13" t="s">
        <v>4133</v>
      </c>
    </row>
    <row r="850" spans="1:17" ht="22.5" x14ac:dyDescent="0.25">
      <c r="A850" s="11" t="s">
        <v>3751</v>
      </c>
      <c r="B850" s="13" t="s">
        <v>34</v>
      </c>
      <c r="D850" s="13" t="s">
        <v>753</v>
      </c>
      <c r="E850" s="13" t="s">
        <v>1504</v>
      </c>
      <c r="F850" s="14" t="s">
        <v>35</v>
      </c>
      <c r="G850" s="13">
        <v>14</v>
      </c>
      <c r="H850" s="14">
        <f t="shared" si="15"/>
        <v>15</v>
      </c>
      <c r="I850" s="14">
        <v>1</v>
      </c>
      <c r="J850" s="14">
        <v>7</v>
      </c>
      <c r="K850" s="13" t="s">
        <v>4154</v>
      </c>
      <c r="Q850" s="15"/>
    </row>
    <row r="851" spans="1:17" ht="22.5" x14ac:dyDescent="0.25">
      <c r="A851" s="11" t="s">
        <v>3751</v>
      </c>
      <c r="B851" s="13" t="s">
        <v>226</v>
      </c>
      <c r="D851" s="13" t="s">
        <v>1034</v>
      </c>
      <c r="E851" s="13" t="s">
        <v>1490</v>
      </c>
      <c r="F851" s="14" t="s">
        <v>35</v>
      </c>
      <c r="G851" s="13"/>
      <c r="H851" s="14">
        <f t="shared" si="15"/>
        <v>1</v>
      </c>
      <c r="I851" s="14">
        <v>1</v>
      </c>
      <c r="J851" s="14">
        <v>1</v>
      </c>
      <c r="K851" s="13" t="s">
        <v>1218</v>
      </c>
      <c r="Q851" s="15"/>
    </row>
    <row r="852" spans="1:17" x14ac:dyDescent="0.25">
      <c r="A852" s="11" t="s">
        <v>3751</v>
      </c>
      <c r="B852" s="13" t="s">
        <v>34</v>
      </c>
      <c r="E852" s="13" t="s">
        <v>156</v>
      </c>
      <c r="F852" s="14" t="s">
        <v>35</v>
      </c>
      <c r="G852" s="13">
        <v>2</v>
      </c>
      <c r="H852" s="14">
        <f>G852+I852</f>
        <v>2</v>
      </c>
      <c r="J852" s="14">
        <v>2</v>
      </c>
      <c r="K852" s="13" t="s">
        <v>3835</v>
      </c>
      <c r="Q852" s="15"/>
    </row>
    <row r="853" spans="1:17" x14ac:dyDescent="0.25">
      <c r="A853" s="11" t="s">
        <v>3751</v>
      </c>
      <c r="B853" s="13" t="s">
        <v>34</v>
      </c>
      <c r="E853" s="13" t="s">
        <v>469</v>
      </c>
      <c r="F853" s="14" t="s">
        <v>35</v>
      </c>
      <c r="G853" s="13">
        <v>4</v>
      </c>
      <c r="H853" s="14">
        <f t="shared" si="15"/>
        <v>7</v>
      </c>
      <c r="I853" s="14">
        <v>3</v>
      </c>
      <c r="J853" s="14">
        <v>6</v>
      </c>
      <c r="K853" s="13" t="s">
        <v>4145</v>
      </c>
      <c r="Q853" s="15"/>
    </row>
    <row r="854" spans="1:17" x14ac:dyDescent="0.25">
      <c r="A854" s="11" t="s">
        <v>3751</v>
      </c>
      <c r="B854" s="13" t="s">
        <v>34</v>
      </c>
      <c r="E854" s="13" t="s">
        <v>3859</v>
      </c>
      <c r="F854" s="14" t="s">
        <v>35</v>
      </c>
      <c r="G854" s="13">
        <v>1</v>
      </c>
      <c r="H854" s="14">
        <f>G854+I854</f>
        <v>1</v>
      </c>
      <c r="J854" s="14">
        <v>1</v>
      </c>
      <c r="K854" s="13" t="s">
        <v>204</v>
      </c>
      <c r="Q854" s="15"/>
    </row>
    <row r="855" spans="1:17" x14ac:dyDescent="0.25">
      <c r="A855" s="11" t="s">
        <v>3751</v>
      </c>
      <c r="B855" s="13" t="s">
        <v>34</v>
      </c>
      <c r="E855" s="13" t="s">
        <v>620</v>
      </c>
      <c r="F855" s="14" t="s">
        <v>35</v>
      </c>
      <c r="G855" s="13">
        <v>2</v>
      </c>
      <c r="H855" s="14">
        <f>G855+I855</f>
        <v>2</v>
      </c>
      <c r="J855" s="14">
        <v>2</v>
      </c>
      <c r="K855" s="13" t="s">
        <v>4148</v>
      </c>
      <c r="Q855" s="15"/>
    </row>
    <row r="856" spans="1:17" x14ac:dyDescent="0.25">
      <c r="A856" s="11" t="s">
        <v>3751</v>
      </c>
      <c r="B856" s="13" t="s">
        <v>34</v>
      </c>
      <c r="C856" s="16" t="s">
        <v>2780</v>
      </c>
      <c r="E856" s="13" t="s">
        <v>2780</v>
      </c>
      <c r="F856" s="14" t="s">
        <v>35</v>
      </c>
      <c r="G856" s="13">
        <v>4</v>
      </c>
      <c r="H856" s="14">
        <f>G856+I856</f>
        <v>4</v>
      </c>
      <c r="J856" s="14">
        <v>4</v>
      </c>
      <c r="K856" s="13" t="s">
        <v>4156</v>
      </c>
      <c r="Q856" s="15"/>
    </row>
    <row r="857" spans="1:17" x14ac:dyDescent="0.25">
      <c r="A857" s="11" t="s">
        <v>3751</v>
      </c>
      <c r="B857" s="13" t="s">
        <v>34</v>
      </c>
      <c r="C857" s="16" t="s">
        <v>2779</v>
      </c>
      <c r="E857" s="13" t="s">
        <v>2780</v>
      </c>
      <c r="F857" s="14" t="s">
        <v>35</v>
      </c>
      <c r="G857" s="13">
        <v>2</v>
      </c>
      <c r="H857" s="14">
        <f t="shared" si="15"/>
        <v>5</v>
      </c>
      <c r="I857" s="14">
        <v>3</v>
      </c>
      <c r="J857" s="14">
        <v>4</v>
      </c>
      <c r="K857" s="13" t="s">
        <v>4344</v>
      </c>
      <c r="Q857" s="15"/>
    </row>
    <row r="858" spans="1:17" x14ac:dyDescent="0.25">
      <c r="A858" s="11" t="s">
        <v>3751</v>
      </c>
      <c r="B858" s="13" t="s">
        <v>34</v>
      </c>
      <c r="C858" s="16" t="s">
        <v>2781</v>
      </c>
      <c r="E858" s="13" t="s">
        <v>2780</v>
      </c>
      <c r="F858" s="14" t="s">
        <v>35</v>
      </c>
      <c r="G858" s="13">
        <v>1</v>
      </c>
      <c r="H858" s="14">
        <f t="shared" si="15"/>
        <v>4</v>
      </c>
      <c r="I858" s="14">
        <v>3</v>
      </c>
      <c r="J858" s="14">
        <v>3</v>
      </c>
      <c r="K858" s="13" t="s">
        <v>4345</v>
      </c>
      <c r="Q858" s="15"/>
    </row>
    <row r="859" spans="1:17" x14ac:dyDescent="0.25">
      <c r="A859" s="11" t="s">
        <v>3751</v>
      </c>
      <c r="B859" s="13" t="s">
        <v>975</v>
      </c>
      <c r="D859" s="13" t="s">
        <v>1940</v>
      </c>
      <c r="F859" s="14" t="s">
        <v>35</v>
      </c>
      <c r="G859" s="13">
        <v>1</v>
      </c>
      <c r="H859" s="14">
        <f t="shared" si="15"/>
        <v>1</v>
      </c>
      <c r="J859" s="14">
        <v>1</v>
      </c>
      <c r="K859" s="13" t="s">
        <v>1902</v>
      </c>
      <c r="Q859" s="15"/>
    </row>
    <row r="860" spans="1:17" x14ac:dyDescent="0.25">
      <c r="A860" s="11" t="s">
        <v>3751</v>
      </c>
      <c r="B860" s="13" t="s">
        <v>99</v>
      </c>
      <c r="D860" s="13" t="s">
        <v>1940</v>
      </c>
      <c r="F860" s="14" t="s">
        <v>35</v>
      </c>
      <c r="G860" s="13">
        <v>2</v>
      </c>
      <c r="H860" s="14">
        <f t="shared" si="15"/>
        <v>2</v>
      </c>
      <c r="J860" s="14">
        <v>2</v>
      </c>
      <c r="K860" s="13" t="s">
        <v>4279</v>
      </c>
      <c r="Q860" s="15"/>
    </row>
    <row r="861" spans="1:17" x14ac:dyDescent="0.25">
      <c r="A861" s="11" t="s">
        <v>3751</v>
      </c>
      <c r="B861" s="13" t="s">
        <v>99</v>
      </c>
      <c r="C861" s="16" t="s">
        <v>2162</v>
      </c>
      <c r="F861" s="14" t="s">
        <v>35</v>
      </c>
      <c r="G861" s="13">
        <v>8</v>
      </c>
      <c r="H861" s="14">
        <f t="shared" si="15"/>
        <v>8</v>
      </c>
      <c r="J861" s="14">
        <v>8</v>
      </c>
      <c r="K861" s="13" t="s">
        <v>4654</v>
      </c>
      <c r="Q861" s="15"/>
    </row>
    <row r="862" spans="1:17" x14ac:dyDescent="0.25">
      <c r="A862" s="11" t="s">
        <v>3751</v>
      </c>
      <c r="B862" s="13" t="s">
        <v>3857</v>
      </c>
      <c r="C862" s="16" t="s">
        <v>397</v>
      </c>
      <c r="E862" s="14" t="s">
        <v>3858</v>
      </c>
      <c r="F862" s="14" t="s">
        <v>35</v>
      </c>
      <c r="G862" s="13">
        <v>2</v>
      </c>
      <c r="H862" s="14">
        <f>G862+I862</f>
        <v>2</v>
      </c>
      <c r="J862" s="14">
        <v>2</v>
      </c>
      <c r="K862" s="13" t="s">
        <v>4267</v>
      </c>
      <c r="Q862" s="15"/>
    </row>
    <row r="863" spans="1:17" x14ac:dyDescent="0.25">
      <c r="A863" s="11" t="s">
        <v>3751</v>
      </c>
      <c r="B863" s="13" t="s">
        <v>3857</v>
      </c>
      <c r="C863" s="16" t="s">
        <v>4271</v>
      </c>
      <c r="E863" s="14" t="s">
        <v>397</v>
      </c>
      <c r="F863" s="14" t="s">
        <v>35</v>
      </c>
      <c r="G863" s="13">
        <v>2</v>
      </c>
      <c r="H863" s="14">
        <f>G863+I863</f>
        <v>2</v>
      </c>
      <c r="J863" s="14">
        <v>2</v>
      </c>
      <c r="K863" s="13" t="s">
        <v>4252</v>
      </c>
      <c r="Q863" s="15"/>
    </row>
    <row r="864" spans="1:17" x14ac:dyDescent="0.25">
      <c r="A864" s="11" t="s">
        <v>3751</v>
      </c>
      <c r="B864" s="13" t="s">
        <v>170</v>
      </c>
      <c r="D864" s="13" t="s">
        <v>1940</v>
      </c>
      <c r="F864" s="14" t="s">
        <v>35</v>
      </c>
      <c r="G864" s="13">
        <v>10</v>
      </c>
      <c r="H864" s="14">
        <f t="shared" si="15"/>
        <v>10</v>
      </c>
      <c r="J864" s="14">
        <v>8</v>
      </c>
      <c r="K864" s="13" t="s">
        <v>4284</v>
      </c>
      <c r="Q864" s="15"/>
    </row>
    <row r="865" spans="1:17" x14ac:dyDescent="0.25">
      <c r="A865" s="11" t="s">
        <v>3751</v>
      </c>
      <c r="B865" s="13" t="s">
        <v>170</v>
      </c>
      <c r="C865" s="16" t="s">
        <v>2793</v>
      </c>
      <c r="F865" s="14" t="s">
        <v>35</v>
      </c>
      <c r="G865" s="13">
        <v>1</v>
      </c>
      <c r="H865" s="14">
        <f>G865+I865</f>
        <v>1</v>
      </c>
      <c r="J865" s="14">
        <v>1</v>
      </c>
      <c r="K865" s="13" t="s">
        <v>1365</v>
      </c>
      <c r="Q865" s="15"/>
    </row>
    <row r="866" spans="1:17" x14ac:dyDescent="0.25">
      <c r="A866" s="11" t="s">
        <v>3751</v>
      </c>
      <c r="B866" s="13" t="s">
        <v>525</v>
      </c>
      <c r="C866" s="16" t="s">
        <v>4147</v>
      </c>
      <c r="F866" s="14" t="s">
        <v>35</v>
      </c>
      <c r="G866" s="13">
        <v>1</v>
      </c>
      <c r="H866" s="14">
        <f>G866+I866</f>
        <v>1</v>
      </c>
      <c r="J866" s="14">
        <v>1</v>
      </c>
      <c r="K866" s="13" t="s">
        <v>1252</v>
      </c>
      <c r="Q866" s="15"/>
    </row>
    <row r="867" spans="1:17" ht="22.5" x14ac:dyDescent="0.25">
      <c r="A867" s="11" t="s">
        <v>3751</v>
      </c>
      <c r="B867" s="13" t="s">
        <v>319</v>
      </c>
      <c r="C867" s="16" t="s">
        <v>315</v>
      </c>
      <c r="D867" s="13" t="s">
        <v>1940</v>
      </c>
      <c r="F867" s="14" t="s">
        <v>35</v>
      </c>
      <c r="G867" s="13">
        <v>23</v>
      </c>
      <c r="H867" s="14">
        <f t="shared" si="15"/>
        <v>24</v>
      </c>
      <c r="I867" s="14">
        <v>1</v>
      </c>
      <c r="J867" s="14">
        <v>19</v>
      </c>
      <c r="K867" s="13" t="s">
        <v>4346</v>
      </c>
      <c r="Q867" s="15"/>
    </row>
    <row r="868" spans="1:17" x14ac:dyDescent="0.25">
      <c r="A868" s="11" t="s">
        <v>3751</v>
      </c>
      <c r="B868" s="13" t="s">
        <v>319</v>
      </c>
      <c r="C868" s="16" t="s">
        <v>4321</v>
      </c>
      <c r="F868" s="14" t="s">
        <v>35</v>
      </c>
      <c r="G868" s="13">
        <v>1</v>
      </c>
      <c r="H868" s="14">
        <f>G868+I868</f>
        <v>1</v>
      </c>
      <c r="J868" s="14">
        <v>1</v>
      </c>
      <c r="K868" s="13" t="s">
        <v>1706</v>
      </c>
      <c r="Q868" s="15"/>
    </row>
    <row r="869" spans="1:17" x14ac:dyDescent="0.25">
      <c r="A869" s="11" t="s">
        <v>3751</v>
      </c>
      <c r="B869" s="13" t="s">
        <v>319</v>
      </c>
      <c r="C869" s="16" t="s">
        <v>3788</v>
      </c>
      <c r="F869" s="14" t="s">
        <v>35</v>
      </c>
      <c r="G869" s="13">
        <v>1</v>
      </c>
      <c r="H869" s="14">
        <f>G869+I869</f>
        <v>1</v>
      </c>
      <c r="J869" s="14">
        <v>1</v>
      </c>
      <c r="K869" s="13" t="s">
        <v>1706</v>
      </c>
      <c r="Q869" s="15"/>
    </row>
    <row r="870" spans="1:17" x14ac:dyDescent="0.25">
      <c r="A870" s="11" t="s">
        <v>3751</v>
      </c>
      <c r="B870" s="13" t="s">
        <v>319</v>
      </c>
      <c r="C870" s="16" t="s">
        <v>4132</v>
      </c>
      <c r="D870" s="13" t="s">
        <v>2711</v>
      </c>
      <c r="F870" s="14" t="s">
        <v>35</v>
      </c>
      <c r="G870" s="13">
        <v>1</v>
      </c>
      <c r="H870" s="14">
        <f t="shared" si="15"/>
        <v>1</v>
      </c>
      <c r="J870" s="14">
        <v>1</v>
      </c>
      <c r="K870" s="13" t="s">
        <v>4126</v>
      </c>
      <c r="Q870" s="15"/>
    </row>
    <row r="871" spans="1:17" s="31" customFormat="1" x14ac:dyDescent="0.25">
      <c r="A871" s="11" t="s">
        <v>3751</v>
      </c>
      <c r="B871" s="13" t="s">
        <v>743</v>
      </c>
      <c r="C871" s="16"/>
      <c r="D871" s="13" t="s">
        <v>1940</v>
      </c>
      <c r="E871" s="14"/>
      <c r="F871" s="13" t="s">
        <v>35</v>
      </c>
      <c r="G871" s="13">
        <v>2</v>
      </c>
      <c r="H871" s="14">
        <f>G871+I871</f>
        <v>2</v>
      </c>
      <c r="I871" s="14"/>
      <c r="J871" s="14">
        <v>2</v>
      </c>
      <c r="K871" s="13" t="s">
        <v>4155</v>
      </c>
      <c r="L871" s="15"/>
      <c r="M871" s="15"/>
      <c r="N871" s="15"/>
      <c r="O871" s="15"/>
      <c r="P871" s="15"/>
      <c r="Q871" s="30"/>
    </row>
    <row r="872" spans="1:17" s="31" customFormat="1" x14ac:dyDescent="0.25">
      <c r="A872" s="11" t="s">
        <v>3751</v>
      </c>
      <c r="B872" s="13" t="s">
        <v>167</v>
      </c>
      <c r="C872" s="16"/>
      <c r="D872" s="13"/>
      <c r="E872" s="14" t="s">
        <v>170</v>
      </c>
      <c r="F872" s="13" t="s">
        <v>35</v>
      </c>
      <c r="G872" s="13">
        <v>3</v>
      </c>
      <c r="H872" s="14">
        <f>G872+I872</f>
        <v>3</v>
      </c>
      <c r="I872" s="14"/>
      <c r="J872" s="14">
        <v>2</v>
      </c>
      <c r="K872" s="13" t="s">
        <v>4272</v>
      </c>
      <c r="L872" s="15"/>
      <c r="M872" s="15"/>
      <c r="N872" s="15"/>
      <c r="O872" s="15"/>
      <c r="P872" s="15"/>
      <c r="Q872" s="30"/>
    </row>
    <row r="873" spans="1:17" s="31" customFormat="1" x14ac:dyDescent="0.25">
      <c r="A873" s="11" t="s">
        <v>3751</v>
      </c>
      <c r="B873" s="13" t="s">
        <v>167</v>
      </c>
      <c r="C873" s="16" t="s">
        <v>4033</v>
      </c>
      <c r="D873" s="13"/>
      <c r="E873" s="14" t="s">
        <v>170</v>
      </c>
      <c r="F873" s="13" t="s">
        <v>35</v>
      </c>
      <c r="G873" s="13">
        <v>1</v>
      </c>
      <c r="H873" s="14">
        <f>G873+I873</f>
        <v>3</v>
      </c>
      <c r="I873" s="14">
        <v>2</v>
      </c>
      <c r="J873" s="14">
        <v>2</v>
      </c>
      <c r="K873" s="13" t="s">
        <v>4594</v>
      </c>
      <c r="L873" s="15"/>
      <c r="M873" s="15"/>
      <c r="N873" s="15"/>
      <c r="O873" s="15"/>
      <c r="P873" s="15"/>
      <c r="Q873" s="30"/>
    </row>
    <row r="874" spans="1:17" s="31" customFormat="1" x14ac:dyDescent="0.25">
      <c r="A874" s="11" t="s">
        <v>3751</v>
      </c>
      <c r="B874" s="13" t="s">
        <v>522</v>
      </c>
      <c r="C874" s="16" t="s">
        <v>4535</v>
      </c>
      <c r="D874" s="13" t="s">
        <v>4436</v>
      </c>
      <c r="E874" s="14"/>
      <c r="F874" s="13" t="s">
        <v>35</v>
      </c>
      <c r="G874" s="13">
        <v>1</v>
      </c>
      <c r="H874" s="14">
        <f>G874+I874</f>
        <v>1</v>
      </c>
      <c r="I874" s="14"/>
      <c r="J874" s="14">
        <v>1</v>
      </c>
      <c r="K874" s="13" t="s">
        <v>3266</v>
      </c>
      <c r="L874" s="15"/>
      <c r="M874" s="15"/>
      <c r="N874" s="15"/>
      <c r="O874" s="15"/>
      <c r="P874" s="15"/>
      <c r="Q874" s="30"/>
    </row>
    <row r="875" spans="1:17" s="31" customFormat="1" x14ac:dyDescent="0.25">
      <c r="A875" s="11" t="s">
        <v>3751</v>
      </c>
      <c r="B875" s="13" t="s">
        <v>1594</v>
      </c>
      <c r="C875" s="16"/>
      <c r="D875" s="13"/>
      <c r="E875" s="14"/>
      <c r="F875" s="13" t="s">
        <v>35</v>
      </c>
      <c r="G875" s="13">
        <v>1</v>
      </c>
      <c r="H875" s="14">
        <f>G875+I875</f>
        <v>1</v>
      </c>
      <c r="I875" s="14"/>
      <c r="J875" s="14">
        <v>1</v>
      </c>
      <c r="K875" s="13" t="s">
        <v>4227</v>
      </c>
      <c r="L875" s="15"/>
      <c r="M875" s="15"/>
      <c r="N875" s="15"/>
      <c r="O875" s="15"/>
      <c r="P875" s="15"/>
      <c r="Q875" s="30"/>
    </row>
    <row r="876" spans="1:17" s="39" customFormat="1" ht="45" x14ac:dyDescent="0.25">
      <c r="A876" s="11" t="s">
        <v>3751</v>
      </c>
      <c r="B876" s="13"/>
      <c r="C876" s="74" t="s">
        <v>771</v>
      </c>
      <c r="D876" s="26"/>
      <c r="E876" s="25"/>
      <c r="F876" s="25" t="s">
        <v>771</v>
      </c>
      <c r="G876" s="26">
        <v>81</v>
      </c>
      <c r="H876" s="25">
        <f t="shared" si="15"/>
        <v>82</v>
      </c>
      <c r="I876" s="25">
        <v>1</v>
      </c>
      <c r="J876" s="25">
        <v>54</v>
      </c>
      <c r="K876" s="26" t="s">
        <v>4659</v>
      </c>
      <c r="L876" s="31"/>
      <c r="M876" s="31"/>
      <c r="N876" s="31"/>
      <c r="O876" s="31"/>
      <c r="P876" s="31"/>
      <c r="Q876" s="26"/>
    </row>
    <row r="877" spans="1:17" ht="22.5" x14ac:dyDescent="0.25">
      <c r="A877" s="11" t="s">
        <v>3751</v>
      </c>
      <c r="D877" s="13" t="s">
        <v>4513</v>
      </c>
      <c r="F877" s="13" t="s">
        <v>4514</v>
      </c>
      <c r="G877" s="13">
        <v>1</v>
      </c>
      <c r="H877" s="14">
        <f>G877+I877</f>
        <v>1</v>
      </c>
      <c r="J877" s="14">
        <v>1</v>
      </c>
      <c r="K877" s="13" t="s">
        <v>4515</v>
      </c>
      <c r="L877" s="39"/>
      <c r="M877" s="39"/>
      <c r="N877" s="39"/>
      <c r="O877" s="39"/>
      <c r="P877" s="39"/>
    </row>
    <row r="878" spans="1:17" ht="22.5" x14ac:dyDescent="0.25">
      <c r="A878" s="11" t="s">
        <v>3751</v>
      </c>
      <c r="B878" s="13" t="s">
        <v>1400</v>
      </c>
      <c r="C878" s="16" t="s">
        <v>1401</v>
      </c>
      <c r="D878" s="13" t="s">
        <v>4500</v>
      </c>
      <c r="F878" s="13" t="s">
        <v>776</v>
      </c>
      <c r="G878" s="13">
        <v>5</v>
      </c>
      <c r="H878" s="14">
        <f t="shared" si="15"/>
        <v>5</v>
      </c>
      <c r="J878" s="14">
        <v>4</v>
      </c>
      <c r="K878" s="13" t="s">
        <v>4568</v>
      </c>
      <c r="L878" s="39"/>
      <c r="M878" s="39"/>
      <c r="N878" s="39"/>
      <c r="O878" s="39"/>
      <c r="P878" s="39"/>
    </row>
    <row r="879" spans="1:17" ht="22.5" x14ac:dyDescent="0.25">
      <c r="A879" s="11" t="s">
        <v>3751</v>
      </c>
      <c r="C879" s="16" t="s">
        <v>1900</v>
      </c>
      <c r="F879" s="13" t="s">
        <v>776</v>
      </c>
      <c r="G879" s="13">
        <v>8</v>
      </c>
      <c r="H879" s="14">
        <f t="shared" si="15"/>
        <v>8</v>
      </c>
      <c r="J879" s="14">
        <v>8</v>
      </c>
      <c r="K879" s="13" t="s">
        <v>4407</v>
      </c>
    </row>
    <row r="880" spans="1:17" ht="22.5" x14ac:dyDescent="0.25">
      <c r="A880" s="11" t="s">
        <v>3751</v>
      </c>
      <c r="B880" s="13" t="s">
        <v>775</v>
      </c>
      <c r="F880" s="13" t="s">
        <v>776</v>
      </c>
      <c r="G880" s="13">
        <v>1</v>
      </c>
      <c r="H880" s="14">
        <f t="shared" si="15"/>
        <v>4</v>
      </c>
      <c r="I880" s="14">
        <v>3</v>
      </c>
      <c r="J880" s="14">
        <v>4</v>
      </c>
      <c r="K880" s="13" t="s">
        <v>4217</v>
      </c>
    </row>
    <row r="881" spans="1:17" ht="22.5" x14ac:dyDescent="0.25">
      <c r="A881" s="11" t="s">
        <v>3751</v>
      </c>
      <c r="B881" s="13" t="s">
        <v>778</v>
      </c>
      <c r="D881" s="14" t="s">
        <v>1940</v>
      </c>
      <c r="E881" s="15"/>
      <c r="F881" s="13" t="s">
        <v>776</v>
      </c>
      <c r="G881" s="13">
        <v>6</v>
      </c>
      <c r="H881" s="14">
        <f t="shared" si="15"/>
        <v>6</v>
      </c>
      <c r="I881" s="15"/>
      <c r="J881" s="15">
        <v>5</v>
      </c>
      <c r="K881" s="15" t="s">
        <v>4408</v>
      </c>
    </row>
    <row r="882" spans="1:17" ht="22.5" x14ac:dyDescent="0.25">
      <c r="A882" s="11" t="s">
        <v>3751</v>
      </c>
      <c r="B882" s="13" t="s">
        <v>1444</v>
      </c>
      <c r="D882" s="14" t="s">
        <v>1940</v>
      </c>
      <c r="E882" s="15"/>
      <c r="F882" s="13" t="s">
        <v>776</v>
      </c>
      <c r="G882" s="13">
        <v>2</v>
      </c>
      <c r="H882" s="14">
        <f>G882+I882</f>
        <v>2</v>
      </c>
      <c r="I882" s="15"/>
      <c r="J882" s="15">
        <v>2</v>
      </c>
      <c r="K882" s="15" t="s">
        <v>4274</v>
      </c>
    </row>
    <row r="883" spans="1:17" ht="22.5" x14ac:dyDescent="0.25">
      <c r="A883" s="11" t="s">
        <v>3751</v>
      </c>
      <c r="B883" s="13" t="s">
        <v>1968</v>
      </c>
      <c r="D883" s="15" t="s">
        <v>1940</v>
      </c>
      <c r="E883" s="15"/>
      <c r="F883" s="13" t="s">
        <v>776</v>
      </c>
      <c r="G883" s="13">
        <v>2</v>
      </c>
      <c r="H883" s="14">
        <f t="shared" si="15"/>
        <v>2</v>
      </c>
      <c r="I883" s="15"/>
      <c r="J883" s="15">
        <v>1</v>
      </c>
      <c r="K883" s="15" t="s">
        <v>3162</v>
      </c>
    </row>
    <row r="884" spans="1:17" ht="22.5" x14ac:dyDescent="0.25">
      <c r="A884" s="11" t="s">
        <v>3751</v>
      </c>
      <c r="B884" s="13" t="s">
        <v>1099</v>
      </c>
      <c r="D884" s="15" t="s">
        <v>1940</v>
      </c>
      <c r="E884" s="15"/>
      <c r="F884" s="13" t="s">
        <v>776</v>
      </c>
      <c r="G884" s="13">
        <v>5</v>
      </c>
      <c r="H884" s="14">
        <f t="shared" si="15"/>
        <v>5</v>
      </c>
      <c r="I884" s="15"/>
      <c r="J884" s="15">
        <v>5</v>
      </c>
      <c r="K884" s="15" t="s">
        <v>4275</v>
      </c>
    </row>
    <row r="885" spans="1:17" ht="22.5" x14ac:dyDescent="0.25">
      <c r="A885" s="11" t="s">
        <v>3751</v>
      </c>
      <c r="B885" s="13" t="s">
        <v>2114</v>
      </c>
      <c r="D885" s="15" t="s">
        <v>1940</v>
      </c>
      <c r="E885" s="15"/>
      <c r="F885" s="13" t="s">
        <v>776</v>
      </c>
      <c r="G885" s="13">
        <v>2</v>
      </c>
      <c r="H885" s="14">
        <f t="shared" si="15"/>
        <v>2</v>
      </c>
      <c r="I885" s="15"/>
      <c r="J885" s="15">
        <v>2</v>
      </c>
      <c r="K885" s="15" t="s">
        <v>4655</v>
      </c>
    </row>
    <row r="886" spans="1:17" x14ac:dyDescent="0.25">
      <c r="A886" s="11" t="s">
        <v>3751</v>
      </c>
      <c r="B886" s="13" t="s">
        <v>1264</v>
      </c>
      <c r="D886" s="13" t="s">
        <v>1940</v>
      </c>
      <c r="F886" s="14" t="s">
        <v>773</v>
      </c>
      <c r="G886" s="13">
        <v>2</v>
      </c>
      <c r="H886" s="14">
        <f>G886+I886</f>
        <v>2</v>
      </c>
      <c r="J886" s="14">
        <v>2</v>
      </c>
      <c r="K886" s="13" t="s">
        <v>4106</v>
      </c>
      <c r="Q886" s="15"/>
    </row>
    <row r="887" spans="1:17" x14ac:dyDescent="0.25">
      <c r="A887" s="11" t="s">
        <v>3751</v>
      </c>
      <c r="B887" s="13" t="s">
        <v>980</v>
      </c>
      <c r="D887" s="13" t="s">
        <v>1940</v>
      </c>
      <c r="E887" s="14" t="s">
        <v>2336</v>
      </c>
      <c r="F887" s="13" t="s">
        <v>773</v>
      </c>
      <c r="G887" s="13">
        <v>1</v>
      </c>
      <c r="H887" s="14">
        <f>G887+I887</f>
        <v>1</v>
      </c>
      <c r="J887" s="14">
        <v>1</v>
      </c>
      <c r="K887" s="13" t="s">
        <v>2886</v>
      </c>
      <c r="Q887" s="15"/>
    </row>
    <row r="888" spans="1:17" x14ac:dyDescent="0.25">
      <c r="A888" s="11" t="s">
        <v>3751</v>
      </c>
      <c r="B888" s="13" t="s">
        <v>1157</v>
      </c>
      <c r="D888" s="13" t="s">
        <v>1940</v>
      </c>
      <c r="F888" s="13" t="s">
        <v>773</v>
      </c>
      <c r="G888" s="13">
        <v>4</v>
      </c>
      <c r="H888" s="14">
        <f t="shared" si="15"/>
        <v>4</v>
      </c>
      <c r="J888" s="14">
        <v>3</v>
      </c>
      <c r="K888" s="13" t="s">
        <v>4103</v>
      </c>
      <c r="Q888" s="15"/>
    </row>
    <row r="889" spans="1:17" x14ac:dyDescent="0.25">
      <c r="A889" s="11" t="s">
        <v>3751</v>
      </c>
      <c r="C889" s="16" t="s">
        <v>4191</v>
      </c>
      <c r="D889" s="13" t="s">
        <v>969</v>
      </c>
      <c r="F889" s="14" t="s">
        <v>771</v>
      </c>
      <c r="G889" s="13">
        <v>5</v>
      </c>
      <c r="H889" s="14">
        <f t="shared" si="15"/>
        <v>5</v>
      </c>
      <c r="J889" s="14">
        <v>3</v>
      </c>
      <c r="K889" s="13" t="s">
        <v>4192</v>
      </c>
      <c r="Q889" s="15"/>
    </row>
    <row r="890" spans="1:17" x14ac:dyDescent="0.25">
      <c r="A890" s="11" t="s">
        <v>3751</v>
      </c>
      <c r="D890" s="13" t="s">
        <v>1107</v>
      </c>
      <c r="F890" s="14" t="s">
        <v>771</v>
      </c>
      <c r="G890" s="13">
        <v>1</v>
      </c>
      <c r="H890" s="14">
        <f t="shared" si="15"/>
        <v>1</v>
      </c>
      <c r="J890" s="14">
        <v>1</v>
      </c>
      <c r="K890" s="13" t="s">
        <v>2216</v>
      </c>
      <c r="Q890" s="15"/>
    </row>
    <row r="891" spans="1:17" x14ac:dyDescent="0.25">
      <c r="A891" s="11" t="s">
        <v>3751</v>
      </c>
      <c r="D891" s="13" t="s">
        <v>1219</v>
      </c>
      <c r="F891" s="14" t="s">
        <v>771</v>
      </c>
      <c r="G891" s="13">
        <v>2</v>
      </c>
      <c r="H891" s="14">
        <f t="shared" si="15"/>
        <v>3</v>
      </c>
      <c r="I891" s="14">
        <v>1</v>
      </c>
      <c r="J891" s="14">
        <v>3</v>
      </c>
      <c r="K891" s="13" t="s">
        <v>4108</v>
      </c>
      <c r="Q891" s="15"/>
    </row>
    <row r="892" spans="1:17" x14ac:dyDescent="0.25">
      <c r="A892" s="11" t="s">
        <v>3751</v>
      </c>
      <c r="C892" s="16" t="s">
        <v>1094</v>
      </c>
      <c r="D892" s="13" t="s">
        <v>1094</v>
      </c>
      <c r="E892" s="14" t="s">
        <v>982</v>
      </c>
      <c r="F892" s="14" t="s">
        <v>771</v>
      </c>
      <c r="G892" s="13">
        <v>4</v>
      </c>
      <c r="H892" s="14">
        <f t="shared" si="15"/>
        <v>4</v>
      </c>
      <c r="J892" s="14">
        <v>1</v>
      </c>
      <c r="K892" s="13" t="s">
        <v>3162</v>
      </c>
      <c r="Q892" s="15"/>
    </row>
    <row r="893" spans="1:17" x14ac:dyDescent="0.25">
      <c r="A893" s="11" t="s">
        <v>3751</v>
      </c>
      <c r="B893" s="13" t="s">
        <v>1631</v>
      </c>
      <c r="D893" s="13" t="s">
        <v>1940</v>
      </c>
      <c r="F893" s="13" t="s">
        <v>773</v>
      </c>
      <c r="G893" s="13">
        <v>1</v>
      </c>
      <c r="H893" s="14">
        <f t="shared" si="15"/>
        <v>1</v>
      </c>
      <c r="J893" s="14">
        <v>1</v>
      </c>
      <c r="K893" s="13" t="s">
        <v>1234</v>
      </c>
      <c r="Q893" s="15"/>
    </row>
    <row r="894" spans="1:17" x14ac:dyDescent="0.25">
      <c r="A894" s="11" t="s">
        <v>3751</v>
      </c>
      <c r="B894" s="13" t="s">
        <v>1157</v>
      </c>
      <c r="D894" s="13" t="s">
        <v>1940</v>
      </c>
      <c r="E894" s="14" t="s">
        <v>982</v>
      </c>
      <c r="F894" s="13" t="s">
        <v>773</v>
      </c>
      <c r="G894" s="13">
        <v>1</v>
      </c>
      <c r="H894" s="14">
        <f t="shared" si="15"/>
        <v>1</v>
      </c>
      <c r="J894" s="14">
        <v>1</v>
      </c>
      <c r="K894" s="13" t="s">
        <v>3162</v>
      </c>
      <c r="Q894" s="15"/>
    </row>
    <row r="895" spans="1:17" x14ac:dyDescent="0.25">
      <c r="A895" s="11" t="s">
        <v>3751</v>
      </c>
      <c r="B895" s="13" t="s">
        <v>3757</v>
      </c>
      <c r="D895" s="13" t="s">
        <v>1940</v>
      </c>
      <c r="E895" s="14" t="s">
        <v>3758</v>
      </c>
      <c r="F895" s="13" t="s">
        <v>773</v>
      </c>
      <c r="G895" s="13">
        <v>1</v>
      </c>
      <c r="H895" s="14">
        <f>G895+I895</f>
        <v>1</v>
      </c>
      <c r="J895" s="14">
        <v>1</v>
      </c>
      <c r="K895" s="13" t="s">
        <v>1902</v>
      </c>
      <c r="Q895" s="15"/>
    </row>
    <row r="896" spans="1:17" x14ac:dyDescent="0.25">
      <c r="A896" s="11" t="s">
        <v>3751</v>
      </c>
      <c r="B896" s="13" t="s">
        <v>1248</v>
      </c>
      <c r="D896" s="13" t="s">
        <v>1940</v>
      </c>
      <c r="E896" s="14" t="s">
        <v>1220</v>
      </c>
      <c r="F896" s="13" t="s">
        <v>773</v>
      </c>
      <c r="G896" s="13">
        <v>2</v>
      </c>
      <c r="H896" s="14">
        <f t="shared" si="15"/>
        <v>4</v>
      </c>
      <c r="I896" s="14">
        <v>2</v>
      </c>
      <c r="J896" s="14">
        <v>3</v>
      </c>
      <c r="K896" s="13" t="s">
        <v>4218</v>
      </c>
      <c r="Q896" s="15"/>
    </row>
    <row r="897" spans="1:17" x14ac:dyDescent="0.25">
      <c r="A897" s="11" t="s">
        <v>3751</v>
      </c>
      <c r="B897" s="13" t="s">
        <v>1248</v>
      </c>
      <c r="D897" s="13" t="s">
        <v>1249</v>
      </c>
      <c r="E897" s="14" t="s">
        <v>1220</v>
      </c>
      <c r="F897" s="13" t="s">
        <v>773</v>
      </c>
      <c r="G897" s="13">
        <v>1</v>
      </c>
      <c r="H897" s="14">
        <f t="shared" si="15"/>
        <v>1</v>
      </c>
      <c r="J897" s="14">
        <v>1</v>
      </c>
      <c r="K897" s="13" t="s">
        <v>3162</v>
      </c>
      <c r="Q897" s="15"/>
    </row>
    <row r="898" spans="1:17" x14ac:dyDescent="0.25">
      <c r="A898" s="11" t="s">
        <v>3751</v>
      </c>
      <c r="B898" s="13" t="s">
        <v>1688</v>
      </c>
      <c r="D898" s="13" t="s">
        <v>1940</v>
      </c>
      <c r="F898" s="13" t="s">
        <v>773</v>
      </c>
      <c r="G898" s="13">
        <v>1</v>
      </c>
      <c r="H898" s="14">
        <f t="shared" si="15"/>
        <v>3</v>
      </c>
      <c r="I898" s="14">
        <v>2</v>
      </c>
      <c r="J898" s="14">
        <v>2</v>
      </c>
      <c r="K898" s="13" t="s">
        <v>4602</v>
      </c>
      <c r="Q898" s="15"/>
    </row>
    <row r="899" spans="1:17" x14ac:dyDescent="0.25">
      <c r="A899" s="11" t="s">
        <v>3751</v>
      </c>
      <c r="B899" s="13" t="s">
        <v>793</v>
      </c>
      <c r="D899" s="13" t="s">
        <v>1940</v>
      </c>
      <c r="E899" s="14" t="s">
        <v>793</v>
      </c>
      <c r="F899" s="13" t="s">
        <v>773</v>
      </c>
      <c r="G899" s="13">
        <v>5</v>
      </c>
      <c r="H899" s="14">
        <f t="shared" si="15"/>
        <v>5</v>
      </c>
      <c r="J899" s="14">
        <v>4</v>
      </c>
      <c r="K899" s="13" t="s">
        <v>4273</v>
      </c>
      <c r="Q899" s="15"/>
    </row>
    <row r="900" spans="1:17" x14ac:dyDescent="0.25">
      <c r="A900" s="11" t="s">
        <v>3751</v>
      </c>
      <c r="B900" s="13" t="s">
        <v>1666</v>
      </c>
      <c r="D900" s="13" t="s">
        <v>1940</v>
      </c>
      <c r="F900" s="13" t="s">
        <v>773</v>
      </c>
      <c r="G900" s="13">
        <v>3</v>
      </c>
      <c r="H900" s="14">
        <f t="shared" si="15"/>
        <v>3</v>
      </c>
      <c r="J900" s="14">
        <v>3</v>
      </c>
      <c r="K900" s="13" t="s">
        <v>4107</v>
      </c>
      <c r="Q900" s="15"/>
    </row>
    <row r="901" spans="1:17" x14ac:dyDescent="0.25">
      <c r="A901" s="11" t="s">
        <v>3751</v>
      </c>
      <c r="B901" s="13" t="s">
        <v>878</v>
      </c>
      <c r="D901" s="13" t="s">
        <v>1940</v>
      </c>
      <c r="E901" s="14" t="s">
        <v>1220</v>
      </c>
      <c r="F901" s="13" t="s">
        <v>773</v>
      </c>
      <c r="G901" s="13">
        <v>1</v>
      </c>
      <c r="H901" s="14">
        <f t="shared" si="15"/>
        <v>5</v>
      </c>
      <c r="I901" s="14">
        <v>4</v>
      </c>
      <c r="J901" s="14">
        <v>4</v>
      </c>
      <c r="K901" s="13" t="s">
        <v>4603</v>
      </c>
      <c r="Q901" s="15"/>
    </row>
    <row r="902" spans="1:17" x14ac:dyDescent="0.25">
      <c r="A902" s="11" t="s">
        <v>3751</v>
      </c>
      <c r="B902" s="13" t="s">
        <v>1977</v>
      </c>
      <c r="D902" s="13" t="s">
        <v>1940</v>
      </c>
      <c r="F902" s="13" t="s">
        <v>773</v>
      </c>
      <c r="G902" s="13">
        <v>1</v>
      </c>
      <c r="H902" s="14">
        <f>G902+I902</f>
        <v>1</v>
      </c>
      <c r="J902" s="14">
        <v>1</v>
      </c>
      <c r="K902" s="13" t="s">
        <v>4262</v>
      </c>
      <c r="Q902" s="15"/>
    </row>
    <row r="903" spans="1:17" x14ac:dyDescent="0.25">
      <c r="A903" s="11" t="s">
        <v>3751</v>
      </c>
      <c r="B903" s="13" t="s">
        <v>3759</v>
      </c>
      <c r="D903" s="13" t="s">
        <v>1940</v>
      </c>
      <c r="E903" s="14" t="s">
        <v>3760</v>
      </c>
      <c r="F903" s="13" t="s">
        <v>773</v>
      </c>
      <c r="G903" s="13">
        <v>1</v>
      </c>
      <c r="H903" s="14">
        <f>G903+I903</f>
        <v>1</v>
      </c>
      <c r="J903" s="14">
        <v>1</v>
      </c>
      <c r="K903" s="13" t="s">
        <v>1902</v>
      </c>
      <c r="Q903" s="15"/>
    </row>
    <row r="904" spans="1:17" x14ac:dyDescent="0.25">
      <c r="A904" s="11" t="s">
        <v>3751</v>
      </c>
      <c r="B904" s="13" t="s">
        <v>804</v>
      </c>
      <c r="D904" s="13" t="s">
        <v>1940</v>
      </c>
      <c r="E904" s="14" t="s">
        <v>3860</v>
      </c>
      <c r="F904" s="13" t="s">
        <v>773</v>
      </c>
      <c r="G904" s="13">
        <v>5</v>
      </c>
      <c r="H904" s="14">
        <f>G904+I904</f>
        <v>5</v>
      </c>
      <c r="J904" s="14">
        <v>5</v>
      </c>
      <c r="K904" s="13" t="s">
        <v>4352</v>
      </c>
      <c r="Q904" s="15"/>
    </row>
    <row r="905" spans="1:17" x14ac:dyDescent="0.25">
      <c r="A905" s="11" t="s">
        <v>3751</v>
      </c>
      <c r="B905" s="13" t="s">
        <v>804</v>
      </c>
      <c r="C905" s="16" t="s">
        <v>3885</v>
      </c>
      <c r="E905" s="14" t="s">
        <v>3860</v>
      </c>
      <c r="F905" s="13" t="s">
        <v>773</v>
      </c>
      <c r="G905" s="13">
        <v>2</v>
      </c>
      <c r="H905" s="14">
        <f>G905+I905</f>
        <v>2</v>
      </c>
      <c r="J905" s="14">
        <v>2</v>
      </c>
      <c r="K905" s="13" t="s">
        <v>4565</v>
      </c>
      <c r="Q905" s="15"/>
    </row>
    <row r="906" spans="1:17" x14ac:dyDescent="0.25">
      <c r="A906" s="11" t="s">
        <v>3751</v>
      </c>
      <c r="B906" s="13" t="s">
        <v>2456</v>
      </c>
      <c r="D906" s="13" t="s">
        <v>1940</v>
      </c>
      <c r="F906" s="13" t="s">
        <v>773</v>
      </c>
      <c r="G906" s="13">
        <v>1</v>
      </c>
      <c r="H906" s="14">
        <f t="shared" si="15"/>
        <v>1</v>
      </c>
      <c r="J906" s="14">
        <v>1</v>
      </c>
      <c r="K906" s="13" t="s">
        <v>3240</v>
      </c>
      <c r="Q906" s="15"/>
    </row>
    <row r="907" spans="1:17" x14ac:dyDescent="0.25">
      <c r="A907" s="11" t="s">
        <v>3751</v>
      </c>
      <c r="B907" s="13" t="s">
        <v>783</v>
      </c>
      <c r="D907" s="13" t="s">
        <v>1940</v>
      </c>
      <c r="E907" s="14" t="s">
        <v>4104</v>
      </c>
      <c r="F907" s="13" t="s">
        <v>773</v>
      </c>
      <c r="G907" s="13">
        <v>1</v>
      </c>
      <c r="H907" s="14">
        <f>G907+I907</f>
        <v>1</v>
      </c>
      <c r="J907" s="14">
        <v>1</v>
      </c>
      <c r="K907" s="13" t="s">
        <v>2886</v>
      </c>
      <c r="Q907" s="15"/>
    </row>
    <row r="908" spans="1:17" x14ac:dyDescent="0.25">
      <c r="A908" s="11" t="s">
        <v>3751</v>
      </c>
      <c r="B908" s="13" t="s">
        <v>984</v>
      </c>
      <c r="D908" s="13" t="s">
        <v>3770</v>
      </c>
      <c r="F908" s="13" t="s">
        <v>773</v>
      </c>
      <c r="G908" s="13"/>
      <c r="H908" s="14">
        <f t="shared" si="15"/>
        <v>2</v>
      </c>
      <c r="I908" s="14">
        <v>2</v>
      </c>
      <c r="J908" s="14">
        <v>1</v>
      </c>
      <c r="K908" s="13" t="s">
        <v>4593</v>
      </c>
      <c r="Q908" s="15"/>
    </row>
    <row r="909" spans="1:17" x14ac:dyDescent="0.25">
      <c r="A909" s="11" t="s">
        <v>3751</v>
      </c>
      <c r="B909" s="13" t="s">
        <v>984</v>
      </c>
      <c r="C909" s="16" t="s">
        <v>4437</v>
      </c>
      <c r="F909" s="13" t="s">
        <v>773</v>
      </c>
      <c r="G909" s="13">
        <v>1</v>
      </c>
      <c r="H909" s="14">
        <f>G909+I909</f>
        <v>1</v>
      </c>
      <c r="J909" s="14">
        <v>1</v>
      </c>
      <c r="K909" s="13" t="s">
        <v>3221</v>
      </c>
      <c r="Q909" s="15"/>
    </row>
    <row r="910" spans="1:17" x14ac:dyDescent="0.25">
      <c r="A910" s="11" t="s">
        <v>3751</v>
      </c>
      <c r="B910" s="13" t="s">
        <v>785</v>
      </c>
      <c r="D910" s="13" t="s">
        <v>1940</v>
      </c>
      <c r="F910" s="13" t="s">
        <v>773</v>
      </c>
      <c r="G910" s="13">
        <v>7</v>
      </c>
      <c r="H910" s="14">
        <f>G910+I910</f>
        <v>7</v>
      </c>
      <c r="J910" s="14">
        <v>6</v>
      </c>
      <c r="K910" s="13" t="s">
        <v>4354</v>
      </c>
      <c r="Q910" s="15"/>
    </row>
    <row r="911" spans="1:17" x14ac:dyDescent="0.25">
      <c r="A911" s="11" t="s">
        <v>3751</v>
      </c>
      <c r="B911" s="13" t="s">
        <v>785</v>
      </c>
      <c r="C911" s="16" t="s">
        <v>3794</v>
      </c>
      <c r="F911" s="13" t="s">
        <v>773</v>
      </c>
      <c r="G911" s="13">
        <v>1</v>
      </c>
      <c r="H911" s="14">
        <f>G911+I911</f>
        <v>1</v>
      </c>
      <c r="J911" s="14">
        <v>1</v>
      </c>
      <c r="K911" s="13" t="s">
        <v>1035</v>
      </c>
      <c r="Q911" s="15"/>
    </row>
    <row r="912" spans="1:17" ht="22.5" x14ac:dyDescent="0.25">
      <c r="A912" s="11" t="s">
        <v>3751</v>
      </c>
      <c r="B912" s="13" t="s">
        <v>785</v>
      </c>
      <c r="D912" s="13" t="s">
        <v>977</v>
      </c>
      <c r="E912" s="14" t="s">
        <v>786</v>
      </c>
      <c r="F912" s="13" t="s">
        <v>773</v>
      </c>
      <c r="G912" s="13">
        <v>2</v>
      </c>
      <c r="H912" s="14">
        <f>G912+I912</f>
        <v>2</v>
      </c>
      <c r="J912" s="14">
        <v>1</v>
      </c>
      <c r="K912" s="13" t="s">
        <v>2901</v>
      </c>
      <c r="Q912" s="15"/>
    </row>
    <row r="913" spans="1:17" x14ac:dyDescent="0.25">
      <c r="A913" s="11" t="s">
        <v>3751</v>
      </c>
      <c r="B913" s="13" t="s">
        <v>795</v>
      </c>
      <c r="D913" s="13" t="s">
        <v>1940</v>
      </c>
      <c r="F913" s="13" t="s">
        <v>773</v>
      </c>
      <c r="G913" s="13">
        <v>14</v>
      </c>
      <c r="H913" s="14">
        <f>G913+I913</f>
        <v>14</v>
      </c>
      <c r="J913" s="14">
        <v>12</v>
      </c>
      <c r="K913" s="13" t="s">
        <v>4656</v>
      </c>
      <c r="Q913" s="15"/>
    </row>
    <row r="914" spans="1:17" ht="22.5" x14ac:dyDescent="0.25">
      <c r="A914" s="11" t="s">
        <v>3751</v>
      </c>
      <c r="B914" s="13" t="s">
        <v>795</v>
      </c>
      <c r="C914" s="16" t="s">
        <v>944</v>
      </c>
      <c r="D914" s="13" t="s">
        <v>1223</v>
      </c>
      <c r="E914" s="14" t="s">
        <v>797</v>
      </c>
      <c r="F914" s="13" t="s">
        <v>773</v>
      </c>
      <c r="G914" s="13">
        <v>18</v>
      </c>
      <c r="H914" s="14">
        <f t="shared" ref="H914:H924" si="18">G914+I914</f>
        <v>20</v>
      </c>
      <c r="I914" s="14">
        <v>2</v>
      </c>
      <c r="J914" s="14">
        <v>15</v>
      </c>
      <c r="K914" s="13" t="s">
        <v>4604</v>
      </c>
      <c r="Q914" s="15"/>
    </row>
    <row r="915" spans="1:17" x14ac:dyDescent="0.25">
      <c r="A915" s="11" t="s">
        <v>3751</v>
      </c>
      <c r="B915" s="13" t="s">
        <v>795</v>
      </c>
      <c r="C915" s="16" t="s">
        <v>944</v>
      </c>
      <c r="D915" s="13" t="s">
        <v>969</v>
      </c>
      <c r="E915" s="14" t="s">
        <v>797</v>
      </c>
      <c r="F915" s="13" t="s">
        <v>773</v>
      </c>
      <c r="G915" s="13">
        <v>1</v>
      </c>
      <c r="H915" s="14">
        <f t="shared" si="18"/>
        <v>1</v>
      </c>
      <c r="J915" s="14">
        <v>1</v>
      </c>
      <c r="K915" s="13" t="s">
        <v>1690</v>
      </c>
      <c r="Q915" s="15"/>
    </row>
    <row r="916" spans="1:17" x14ac:dyDescent="0.25">
      <c r="A916" s="11" t="s">
        <v>3751</v>
      </c>
      <c r="B916" s="13" t="s">
        <v>795</v>
      </c>
      <c r="C916" s="16" t="s">
        <v>3793</v>
      </c>
      <c r="D916" s="13" t="s">
        <v>1223</v>
      </c>
      <c r="E916" s="14" t="s">
        <v>797</v>
      </c>
      <c r="F916" s="13" t="s">
        <v>773</v>
      </c>
      <c r="G916" s="13">
        <v>1</v>
      </c>
      <c r="H916" s="14">
        <f t="shared" si="18"/>
        <v>1</v>
      </c>
      <c r="J916" s="14">
        <v>1</v>
      </c>
      <c r="K916" s="13" t="s">
        <v>1035</v>
      </c>
      <c r="Q916" s="15"/>
    </row>
    <row r="917" spans="1:17" x14ac:dyDescent="0.25">
      <c r="A917" s="11" t="s">
        <v>3751</v>
      </c>
      <c r="B917" s="13" t="s">
        <v>795</v>
      </c>
      <c r="C917" s="16" t="s">
        <v>4186</v>
      </c>
      <c r="D917" s="13" t="s">
        <v>1223</v>
      </c>
      <c r="E917" s="14" t="s">
        <v>797</v>
      </c>
      <c r="F917" s="13" t="s">
        <v>773</v>
      </c>
      <c r="G917" s="13">
        <v>1</v>
      </c>
      <c r="H917" s="14">
        <f t="shared" si="18"/>
        <v>1</v>
      </c>
      <c r="J917" s="14">
        <v>1</v>
      </c>
      <c r="K917" s="13" t="s">
        <v>1552</v>
      </c>
      <c r="Q917" s="15"/>
    </row>
    <row r="918" spans="1:17" x14ac:dyDescent="0.25">
      <c r="A918" s="11" t="s">
        <v>3751</v>
      </c>
      <c r="B918" s="13" t="s">
        <v>795</v>
      </c>
      <c r="C918" s="16" t="s">
        <v>4187</v>
      </c>
      <c r="D918" s="13" t="s">
        <v>1223</v>
      </c>
      <c r="E918" s="14" t="s">
        <v>797</v>
      </c>
      <c r="F918" s="13" t="s">
        <v>773</v>
      </c>
      <c r="G918" s="13">
        <v>1</v>
      </c>
      <c r="H918" s="14">
        <f t="shared" si="18"/>
        <v>1</v>
      </c>
      <c r="J918" s="14">
        <v>1</v>
      </c>
      <c r="K918" s="13" t="s">
        <v>1552</v>
      </c>
      <c r="Q918" s="15"/>
    </row>
    <row r="919" spans="1:17" x14ac:dyDescent="0.25">
      <c r="A919" s="11" t="s">
        <v>3751</v>
      </c>
      <c r="B919" s="13" t="s">
        <v>795</v>
      </c>
      <c r="C919" s="16" t="s">
        <v>4188</v>
      </c>
      <c r="D919" s="13" t="s">
        <v>969</v>
      </c>
      <c r="E919" s="14" t="s">
        <v>799</v>
      </c>
      <c r="F919" s="13" t="s">
        <v>773</v>
      </c>
      <c r="G919" s="13">
        <v>1</v>
      </c>
      <c r="H919" s="14">
        <f t="shared" si="18"/>
        <v>1</v>
      </c>
      <c r="J919" s="14">
        <v>1</v>
      </c>
      <c r="K919" s="13" t="s">
        <v>1559</v>
      </c>
      <c r="Q919" s="15"/>
    </row>
    <row r="920" spans="1:17" x14ac:dyDescent="0.25">
      <c r="A920" s="11" t="s">
        <v>3751</v>
      </c>
      <c r="B920" s="13" t="s">
        <v>795</v>
      </c>
      <c r="C920" s="16" t="s">
        <v>4189</v>
      </c>
      <c r="D920" s="13" t="s">
        <v>969</v>
      </c>
      <c r="E920" s="14" t="s">
        <v>799</v>
      </c>
      <c r="F920" s="13" t="s">
        <v>773</v>
      </c>
      <c r="G920" s="13">
        <v>1</v>
      </c>
      <c r="H920" s="14">
        <f t="shared" si="18"/>
        <v>1</v>
      </c>
      <c r="J920" s="14">
        <v>1</v>
      </c>
      <c r="K920" s="13" t="s">
        <v>1559</v>
      </c>
      <c r="Q920" s="15"/>
    </row>
    <row r="921" spans="1:17" x14ac:dyDescent="0.25">
      <c r="A921" s="11" t="s">
        <v>3751</v>
      </c>
      <c r="B921" s="13" t="s">
        <v>795</v>
      </c>
      <c r="C921" s="16" t="s">
        <v>4190</v>
      </c>
      <c r="D921" s="13" t="s">
        <v>969</v>
      </c>
      <c r="E921" s="14" t="s">
        <v>799</v>
      </c>
      <c r="F921" s="13" t="s">
        <v>773</v>
      </c>
      <c r="G921" s="13">
        <v>1</v>
      </c>
      <c r="H921" s="14">
        <f t="shared" si="18"/>
        <v>1</v>
      </c>
      <c r="J921" s="14">
        <v>1</v>
      </c>
      <c r="K921" s="13" t="s">
        <v>1559</v>
      </c>
      <c r="Q921" s="15"/>
    </row>
    <row r="922" spans="1:17" x14ac:dyDescent="0.25">
      <c r="A922" s="11" t="s">
        <v>3751</v>
      </c>
      <c r="B922" s="13" t="s">
        <v>989</v>
      </c>
      <c r="D922" s="13" t="s">
        <v>1940</v>
      </c>
      <c r="E922" s="14" t="s">
        <v>4104</v>
      </c>
      <c r="F922" s="13" t="s">
        <v>773</v>
      </c>
      <c r="G922" s="13">
        <v>3</v>
      </c>
      <c r="H922" s="14">
        <f>G922+I922</f>
        <v>3</v>
      </c>
      <c r="J922" s="14">
        <v>2</v>
      </c>
      <c r="K922" s="13" t="s">
        <v>4467</v>
      </c>
      <c r="Q922" s="15"/>
    </row>
    <row r="923" spans="1:17" x14ac:dyDescent="0.25">
      <c r="A923" s="11" t="s">
        <v>3751</v>
      </c>
      <c r="B923" s="13" t="s">
        <v>1671</v>
      </c>
      <c r="D923" s="13" t="s">
        <v>1940</v>
      </c>
      <c r="E923" s="14" t="s">
        <v>3761</v>
      </c>
      <c r="F923" s="13" t="s">
        <v>773</v>
      </c>
      <c r="G923" s="13">
        <v>1</v>
      </c>
      <c r="H923" s="14">
        <f t="shared" si="18"/>
        <v>1</v>
      </c>
      <c r="J923" s="14">
        <v>1</v>
      </c>
      <c r="K923" s="13" t="s">
        <v>1902</v>
      </c>
      <c r="Q923" s="15"/>
    </row>
    <row r="924" spans="1:17" x14ac:dyDescent="0.25">
      <c r="A924" s="11" t="s">
        <v>3751</v>
      </c>
      <c r="B924" s="13" t="s">
        <v>4076</v>
      </c>
      <c r="D924" s="13" t="s">
        <v>1940</v>
      </c>
      <c r="E924" s="14" t="s">
        <v>1224</v>
      </c>
      <c r="F924" s="13" t="s">
        <v>773</v>
      </c>
      <c r="G924" s="13">
        <v>1</v>
      </c>
      <c r="H924" s="14">
        <f t="shared" si="18"/>
        <v>1</v>
      </c>
      <c r="J924" s="14">
        <v>1</v>
      </c>
      <c r="K924" s="13" t="s">
        <v>1234</v>
      </c>
      <c r="Q924" s="15"/>
    </row>
    <row r="925" spans="1:17" x14ac:dyDescent="0.25">
      <c r="A925" s="11" t="s">
        <v>3751</v>
      </c>
      <c r="B925" s="13" t="s">
        <v>772</v>
      </c>
      <c r="D925" s="13" t="s">
        <v>1940</v>
      </c>
      <c r="F925" s="13" t="s">
        <v>773</v>
      </c>
      <c r="G925" s="13">
        <v>13</v>
      </c>
      <c r="H925" s="14">
        <f t="shared" ref="H925:H943" si="19">G925+I925</f>
        <v>13</v>
      </c>
      <c r="J925" s="14">
        <v>8</v>
      </c>
      <c r="K925" s="13" t="s">
        <v>4353</v>
      </c>
      <c r="Q925" s="15"/>
    </row>
    <row r="926" spans="1:17" x14ac:dyDescent="0.25">
      <c r="A926" s="11" t="s">
        <v>3751</v>
      </c>
      <c r="B926" s="13" t="s">
        <v>772</v>
      </c>
      <c r="C926" s="16" t="s">
        <v>4177</v>
      </c>
      <c r="F926" s="13" t="s">
        <v>773</v>
      </c>
      <c r="G926" s="13">
        <v>1</v>
      </c>
      <c r="H926" s="14">
        <f t="shared" si="19"/>
        <v>1</v>
      </c>
      <c r="J926" s="14">
        <v>1</v>
      </c>
      <c r="K926" s="13" t="s">
        <v>2264</v>
      </c>
      <c r="Q926" s="15"/>
    </row>
    <row r="927" spans="1:17" x14ac:dyDescent="0.25">
      <c r="A927" s="11" t="s">
        <v>3751</v>
      </c>
      <c r="B927" s="13" t="s">
        <v>772</v>
      </c>
      <c r="C927" s="16" t="s">
        <v>4178</v>
      </c>
      <c r="F927" s="13" t="s">
        <v>773</v>
      </c>
      <c r="G927" s="13">
        <v>1</v>
      </c>
      <c r="H927" s="14">
        <f t="shared" si="19"/>
        <v>1</v>
      </c>
      <c r="J927" s="14">
        <v>1</v>
      </c>
      <c r="K927" s="13" t="s">
        <v>2264</v>
      </c>
      <c r="Q927" s="15"/>
    </row>
    <row r="928" spans="1:17" x14ac:dyDescent="0.25">
      <c r="A928" s="11" t="s">
        <v>3751</v>
      </c>
      <c r="B928" s="13" t="s">
        <v>772</v>
      </c>
      <c r="C928" s="16" t="s">
        <v>4179</v>
      </c>
      <c r="F928" s="13" t="s">
        <v>773</v>
      </c>
      <c r="G928" s="13">
        <v>1</v>
      </c>
      <c r="H928" s="14">
        <f t="shared" si="19"/>
        <v>1</v>
      </c>
      <c r="J928" s="14">
        <v>1</v>
      </c>
      <c r="K928" s="13" t="s">
        <v>2264</v>
      </c>
      <c r="Q928" s="15"/>
    </row>
    <row r="929" spans="1:17" x14ac:dyDescent="0.25">
      <c r="A929" s="11" t="s">
        <v>3751</v>
      </c>
      <c r="B929" s="13" t="s">
        <v>1245</v>
      </c>
      <c r="D929" s="13" t="s">
        <v>1940</v>
      </c>
      <c r="F929" s="13" t="s">
        <v>773</v>
      </c>
      <c r="G929" s="13">
        <v>4</v>
      </c>
      <c r="H929" s="14">
        <f t="shared" si="19"/>
        <v>4</v>
      </c>
      <c r="J929" s="14">
        <v>3</v>
      </c>
      <c r="K929" s="13" t="s">
        <v>4194</v>
      </c>
      <c r="Q929" s="15"/>
    </row>
    <row r="930" spans="1:17" x14ac:dyDescent="0.25">
      <c r="A930" s="11" t="s">
        <v>3751</v>
      </c>
      <c r="B930" s="13" t="s">
        <v>789</v>
      </c>
      <c r="D930" s="13" t="s">
        <v>1940</v>
      </c>
      <c r="F930" s="14" t="s">
        <v>773</v>
      </c>
      <c r="G930" s="13">
        <v>4</v>
      </c>
      <c r="H930" s="14">
        <f t="shared" si="19"/>
        <v>4</v>
      </c>
      <c r="J930" s="14">
        <v>2</v>
      </c>
      <c r="K930" s="13" t="s">
        <v>2899</v>
      </c>
      <c r="Q930" s="15"/>
    </row>
    <row r="931" spans="1:17" x14ac:dyDescent="0.25">
      <c r="A931" s="11" t="s">
        <v>3751</v>
      </c>
      <c r="B931" s="13" t="s">
        <v>3861</v>
      </c>
      <c r="C931" s="16" t="s">
        <v>3862</v>
      </c>
      <c r="E931" s="14" t="s">
        <v>3760</v>
      </c>
      <c r="F931" s="14" t="s">
        <v>773</v>
      </c>
      <c r="G931" s="13">
        <v>1</v>
      </c>
      <c r="H931" s="14">
        <f t="shared" si="19"/>
        <v>1</v>
      </c>
      <c r="J931" s="14">
        <v>1</v>
      </c>
      <c r="K931" s="13" t="s">
        <v>128</v>
      </c>
      <c r="Q931" s="15"/>
    </row>
    <row r="932" spans="1:17" x14ac:dyDescent="0.25">
      <c r="A932" s="11" t="s">
        <v>3751</v>
      </c>
      <c r="E932" s="13" t="s">
        <v>982</v>
      </c>
      <c r="F932" s="14" t="s">
        <v>771</v>
      </c>
      <c r="G932" s="13">
        <v>8</v>
      </c>
      <c r="H932" s="14">
        <f t="shared" si="19"/>
        <v>8</v>
      </c>
      <c r="J932" s="14">
        <v>7</v>
      </c>
      <c r="K932" s="13" t="s">
        <v>4206</v>
      </c>
      <c r="Q932" s="15"/>
    </row>
    <row r="933" spans="1:17" x14ac:dyDescent="0.25">
      <c r="A933" s="11" t="s">
        <v>3751</v>
      </c>
      <c r="E933" s="13" t="s">
        <v>1221</v>
      </c>
      <c r="F933" s="14" t="s">
        <v>771</v>
      </c>
      <c r="G933" s="13">
        <v>5</v>
      </c>
      <c r="H933" s="14">
        <f t="shared" si="19"/>
        <v>5</v>
      </c>
      <c r="J933" s="14">
        <v>5</v>
      </c>
      <c r="K933" s="13" t="s">
        <v>4658</v>
      </c>
      <c r="Q933" s="15"/>
    </row>
    <row r="934" spans="1:17" x14ac:dyDescent="0.25">
      <c r="A934" s="11" t="s">
        <v>3751</v>
      </c>
      <c r="E934" s="13" t="s">
        <v>1224</v>
      </c>
      <c r="F934" s="14" t="s">
        <v>771</v>
      </c>
      <c r="G934" s="13">
        <v>1</v>
      </c>
      <c r="H934" s="14">
        <f t="shared" si="19"/>
        <v>1</v>
      </c>
      <c r="J934" s="14">
        <v>1</v>
      </c>
      <c r="K934" s="13" t="s">
        <v>1552</v>
      </c>
      <c r="Q934" s="15"/>
    </row>
    <row r="935" spans="1:17" ht="22.5" x14ac:dyDescent="0.25">
      <c r="A935" s="11" t="s">
        <v>3751</v>
      </c>
      <c r="E935" s="13" t="s">
        <v>4280</v>
      </c>
      <c r="F935" s="14" t="s">
        <v>771</v>
      </c>
      <c r="G935" s="13"/>
      <c r="H935" s="14">
        <f t="shared" si="19"/>
        <v>1</v>
      </c>
      <c r="I935" s="14">
        <v>1</v>
      </c>
      <c r="J935" s="14">
        <v>1</v>
      </c>
      <c r="K935" s="13" t="s">
        <v>649</v>
      </c>
      <c r="Q935" s="15"/>
    </row>
    <row r="936" spans="1:17" x14ac:dyDescent="0.25">
      <c r="A936" s="11" t="s">
        <v>3751</v>
      </c>
      <c r="E936" s="14" t="s">
        <v>1947</v>
      </c>
      <c r="F936" s="14" t="s">
        <v>771</v>
      </c>
      <c r="G936" s="13">
        <v>3</v>
      </c>
      <c r="H936" s="14">
        <f t="shared" si="19"/>
        <v>3</v>
      </c>
      <c r="J936" s="14">
        <v>2</v>
      </c>
      <c r="K936" s="13" t="s">
        <v>4657</v>
      </c>
      <c r="Q936" s="15"/>
    </row>
    <row r="937" spans="1:17" x14ac:dyDescent="0.25">
      <c r="A937" s="11" t="s">
        <v>3751</v>
      </c>
      <c r="C937" s="16" t="s">
        <v>4109</v>
      </c>
      <c r="D937" s="13" t="s">
        <v>1940</v>
      </c>
      <c r="E937" s="14" t="s">
        <v>4109</v>
      </c>
      <c r="F937" s="14" t="s">
        <v>771</v>
      </c>
      <c r="G937" s="13">
        <v>1</v>
      </c>
      <c r="H937" s="14">
        <f t="shared" si="19"/>
        <v>1</v>
      </c>
      <c r="J937" s="14">
        <v>1</v>
      </c>
      <c r="K937" s="13" t="s">
        <v>2216</v>
      </c>
      <c r="Q937" s="15"/>
    </row>
    <row r="938" spans="1:17" x14ac:dyDescent="0.25">
      <c r="A938" s="11" t="s">
        <v>3751</v>
      </c>
      <c r="E938" s="14" t="s">
        <v>1023</v>
      </c>
      <c r="F938" s="14" t="s">
        <v>771</v>
      </c>
      <c r="G938" s="13">
        <v>1</v>
      </c>
      <c r="H938" s="14">
        <f t="shared" si="19"/>
        <v>1</v>
      </c>
      <c r="J938" s="14">
        <v>1</v>
      </c>
      <c r="K938" s="13" t="s">
        <v>4391</v>
      </c>
      <c r="Q938" s="15"/>
    </row>
    <row r="939" spans="1:17" x14ac:dyDescent="0.25">
      <c r="A939" s="11" t="s">
        <v>3751</v>
      </c>
      <c r="E939" s="14" t="s">
        <v>1910</v>
      </c>
      <c r="F939" s="14" t="s">
        <v>771</v>
      </c>
      <c r="G939" s="13">
        <v>3</v>
      </c>
      <c r="H939" s="14">
        <f t="shared" si="19"/>
        <v>3</v>
      </c>
      <c r="J939" s="14">
        <v>3</v>
      </c>
      <c r="K939" s="13" t="s">
        <v>4110</v>
      </c>
      <c r="Q939" s="15"/>
    </row>
    <row r="940" spans="1:17" x14ac:dyDescent="0.25">
      <c r="A940" s="11" t="s">
        <v>3751</v>
      </c>
      <c r="E940" s="14" t="s">
        <v>1345</v>
      </c>
      <c r="F940" s="14" t="s">
        <v>771</v>
      </c>
      <c r="G940" s="13">
        <v>2</v>
      </c>
      <c r="H940" s="14">
        <f t="shared" si="19"/>
        <v>2</v>
      </c>
      <c r="J940" s="14">
        <v>2</v>
      </c>
      <c r="K940" s="13" t="s">
        <v>4276</v>
      </c>
      <c r="Q940" s="15"/>
    </row>
    <row r="941" spans="1:17" x14ac:dyDescent="0.25">
      <c r="A941" s="11" t="s">
        <v>3751</v>
      </c>
      <c r="E941" s="14" t="s">
        <v>879</v>
      </c>
      <c r="F941" s="14" t="s">
        <v>771</v>
      </c>
      <c r="G941" s="13">
        <v>2</v>
      </c>
      <c r="H941" s="14">
        <f t="shared" si="19"/>
        <v>2</v>
      </c>
      <c r="J941" s="14">
        <v>2</v>
      </c>
      <c r="K941" s="13" t="s">
        <v>4348</v>
      </c>
      <c r="Q941" s="15"/>
    </row>
    <row r="942" spans="1:17" x14ac:dyDescent="0.25">
      <c r="A942" s="11" t="s">
        <v>3751</v>
      </c>
      <c r="C942" s="16" t="s">
        <v>774</v>
      </c>
      <c r="D942" s="13" t="s">
        <v>1940</v>
      </c>
      <c r="F942" s="14" t="s">
        <v>771</v>
      </c>
      <c r="G942" s="13">
        <v>3</v>
      </c>
      <c r="H942" s="14">
        <f t="shared" si="19"/>
        <v>3</v>
      </c>
      <c r="J942" s="14">
        <v>3</v>
      </c>
      <c r="K942" s="13" t="s">
        <v>4193</v>
      </c>
      <c r="Q942" s="15"/>
    </row>
    <row r="943" spans="1:17" x14ac:dyDescent="0.25">
      <c r="A943" s="11" t="s">
        <v>3751</v>
      </c>
      <c r="B943" s="13" t="s">
        <v>875</v>
      </c>
      <c r="C943" s="16" t="s">
        <v>875</v>
      </c>
      <c r="D943" s="13" t="s">
        <v>1289</v>
      </c>
      <c r="E943" s="14" t="s">
        <v>1290</v>
      </c>
      <c r="F943" s="14" t="s">
        <v>773</v>
      </c>
      <c r="G943" s="14">
        <v>1</v>
      </c>
      <c r="H943" s="14">
        <f t="shared" si="19"/>
        <v>1</v>
      </c>
      <c r="J943" s="14">
        <v>1</v>
      </c>
      <c r="K943" s="13" t="s">
        <v>1005</v>
      </c>
    </row>
    <row r="944" spans="1:17" x14ac:dyDescent="0.25">
      <c r="A944" s="11"/>
    </row>
    <row r="945" spans="1:17" ht="22.5" x14ac:dyDescent="0.25">
      <c r="A945" s="11"/>
      <c r="C945" s="16" t="s">
        <v>4662</v>
      </c>
      <c r="D945" s="13" t="s">
        <v>4663</v>
      </c>
      <c r="E945" s="14" t="s">
        <v>4664</v>
      </c>
      <c r="Q945" s="15"/>
    </row>
    <row r="946" spans="1:17" ht="22.5" x14ac:dyDescent="0.25">
      <c r="A946" s="11"/>
      <c r="B946" s="13" t="s">
        <v>532</v>
      </c>
      <c r="C946" s="16">
        <f>SUM(H2:H5)</f>
        <v>18</v>
      </c>
      <c r="D946" s="13">
        <v>2</v>
      </c>
      <c r="E946" s="14">
        <f>C946/D946</f>
        <v>9</v>
      </c>
      <c r="Q946" s="15"/>
    </row>
    <row r="947" spans="1:17" x14ac:dyDescent="0.25">
      <c r="B947" s="13" t="s">
        <v>411</v>
      </c>
      <c r="C947" s="16">
        <f>SUM(H6:H7)+H602</f>
        <v>6</v>
      </c>
      <c r="D947" s="13">
        <v>2</v>
      </c>
      <c r="E947" s="14">
        <f t="shared" ref="E947:E1002" si="20">C947/D947</f>
        <v>3</v>
      </c>
      <c r="Q947" s="15"/>
    </row>
    <row r="948" spans="1:17" x14ac:dyDescent="0.25">
      <c r="B948" s="13" t="s">
        <v>297</v>
      </c>
      <c r="C948" s="16">
        <f>H603</f>
        <v>1</v>
      </c>
      <c r="D948" s="13">
        <v>0</v>
      </c>
      <c r="E948" s="14" t="e">
        <f t="shared" si="20"/>
        <v>#DIV/0!</v>
      </c>
      <c r="Q948" s="15"/>
    </row>
    <row r="949" spans="1:17" x14ac:dyDescent="0.25">
      <c r="B949" s="13" t="s">
        <v>2249</v>
      </c>
      <c r="C949" s="16">
        <v>0</v>
      </c>
      <c r="D949" s="13">
        <v>0</v>
      </c>
      <c r="E949" s="14" t="e">
        <f t="shared" si="20"/>
        <v>#DIV/0!</v>
      </c>
      <c r="Q949" s="15"/>
    </row>
    <row r="950" spans="1:17" x14ac:dyDescent="0.25">
      <c r="B950" s="13" t="s">
        <v>3211</v>
      </c>
      <c r="C950" s="16">
        <f>H8+H604</f>
        <v>3</v>
      </c>
      <c r="D950" s="13">
        <v>1</v>
      </c>
      <c r="E950" s="14">
        <f t="shared" si="20"/>
        <v>3</v>
      </c>
      <c r="Q950" s="15"/>
    </row>
    <row r="951" spans="1:17" x14ac:dyDescent="0.25">
      <c r="B951" s="13" t="s">
        <v>76</v>
      </c>
      <c r="C951" s="16">
        <f>SUM(H9:H27)+SUM(H605:H608)</f>
        <v>134</v>
      </c>
      <c r="D951" s="13">
        <v>16</v>
      </c>
      <c r="E951" s="14">
        <f t="shared" si="20"/>
        <v>8.375</v>
      </c>
      <c r="Q951" s="15"/>
    </row>
    <row r="952" spans="1:17" x14ac:dyDescent="0.25">
      <c r="B952" s="13" t="s">
        <v>1424</v>
      </c>
      <c r="C952" s="16">
        <v>0</v>
      </c>
      <c r="D952" s="15">
        <v>0</v>
      </c>
      <c r="E952" s="14" t="e">
        <f t="shared" si="20"/>
        <v>#DIV/0!</v>
      </c>
      <c r="F952" s="15"/>
      <c r="G952" s="15"/>
      <c r="I952" s="15"/>
      <c r="J952" s="15"/>
      <c r="K952" s="16"/>
      <c r="Q952" s="15"/>
    </row>
    <row r="953" spans="1:17" x14ac:dyDescent="0.25">
      <c r="B953" s="13" t="s">
        <v>213</v>
      </c>
      <c r="C953" s="16">
        <f>H28+SUM(H609:H610)</f>
        <v>7</v>
      </c>
      <c r="D953" s="15">
        <v>1</v>
      </c>
      <c r="E953" s="14">
        <f t="shared" si="20"/>
        <v>7</v>
      </c>
      <c r="F953" s="15"/>
      <c r="G953" s="15"/>
      <c r="I953" s="15"/>
      <c r="J953" s="15"/>
      <c r="K953" s="16"/>
      <c r="Q953" s="15"/>
    </row>
    <row r="954" spans="1:17" x14ac:dyDescent="0.25">
      <c r="B954" s="13" t="s">
        <v>42</v>
      </c>
      <c r="C954" s="16">
        <f>SUM(H29:H43)+SUM(H611:H616)</f>
        <v>62</v>
      </c>
      <c r="D954" s="15">
        <v>15</v>
      </c>
      <c r="E954" s="14">
        <f t="shared" si="20"/>
        <v>4.1333333333333337</v>
      </c>
      <c r="F954" s="15"/>
      <c r="G954" s="15"/>
      <c r="I954" s="15"/>
      <c r="J954" s="15"/>
      <c r="K954" s="16"/>
      <c r="Q954" s="15"/>
    </row>
    <row r="955" spans="1:17" x14ac:dyDescent="0.25">
      <c r="B955" s="13" t="s">
        <v>10</v>
      </c>
      <c r="C955" s="16">
        <f>SUM(H44:H58)+SUM(H617:H622)</f>
        <v>73</v>
      </c>
      <c r="D955" s="15">
        <v>11</v>
      </c>
      <c r="E955" s="14">
        <f t="shared" si="20"/>
        <v>6.6363636363636367</v>
      </c>
      <c r="F955" s="15"/>
      <c r="G955" s="15"/>
      <c r="I955" s="15"/>
      <c r="J955" s="15"/>
      <c r="K955" s="16"/>
      <c r="Q955" s="15"/>
    </row>
    <row r="956" spans="1:17" x14ac:dyDescent="0.25">
      <c r="B956" s="13" t="s">
        <v>126</v>
      </c>
      <c r="C956" s="16">
        <f>SUM(H59:H77)+SUM(H623:H625)</f>
        <v>72</v>
      </c>
      <c r="D956" s="13">
        <v>15</v>
      </c>
      <c r="E956" s="14">
        <f t="shared" si="20"/>
        <v>4.8</v>
      </c>
      <c r="Q956" s="15"/>
    </row>
    <row r="957" spans="1:17" x14ac:dyDescent="0.25">
      <c r="B957" s="13" t="s">
        <v>191</v>
      </c>
      <c r="C957" s="16">
        <f>SUM(H78:H87)+SUM(H626:H630)</f>
        <v>52</v>
      </c>
      <c r="D957" s="13">
        <v>9</v>
      </c>
      <c r="E957" s="14">
        <f t="shared" si="20"/>
        <v>5.7777777777777777</v>
      </c>
      <c r="Q957" s="15"/>
    </row>
    <row r="958" spans="1:17" x14ac:dyDescent="0.25">
      <c r="B958" s="13" t="s">
        <v>68</v>
      </c>
      <c r="C958" s="16">
        <f>SUM(H88:H116)+SUM(H631:H636)+H732</f>
        <v>146</v>
      </c>
      <c r="D958" s="13">
        <v>22</v>
      </c>
      <c r="E958" s="14">
        <f t="shared" si="20"/>
        <v>6.6363636363636367</v>
      </c>
      <c r="Q958" s="15"/>
    </row>
    <row r="959" spans="1:17" x14ac:dyDescent="0.25">
      <c r="B959" s="13" t="s">
        <v>674</v>
      </c>
      <c r="C959" s="16">
        <v>0</v>
      </c>
      <c r="D959" s="13">
        <v>0</v>
      </c>
      <c r="E959" s="14" t="e">
        <f t="shared" si="20"/>
        <v>#DIV/0!</v>
      </c>
      <c r="Q959" s="15"/>
    </row>
    <row r="960" spans="1:17" customFormat="1" ht="15" x14ac:dyDescent="0.25">
      <c r="A960" s="48"/>
      <c r="B960" s="13" t="s">
        <v>327</v>
      </c>
      <c r="C960" s="16">
        <f>SUM(H637:H638)+SUM(H714:H716)</f>
        <v>23</v>
      </c>
      <c r="D960" s="13">
        <v>0</v>
      </c>
      <c r="E960" s="14" t="e">
        <f t="shared" si="20"/>
        <v>#DIV/0!</v>
      </c>
      <c r="F960" s="14"/>
      <c r="G960" s="14"/>
      <c r="H960" s="14"/>
      <c r="I960" s="14"/>
      <c r="J960" s="14"/>
      <c r="K960" s="13"/>
      <c r="L960" s="15"/>
      <c r="M960" s="15"/>
      <c r="N960" s="15"/>
      <c r="O960" s="15"/>
      <c r="P960" s="15"/>
    </row>
    <row r="961" spans="1:17" ht="15" x14ac:dyDescent="0.25">
      <c r="B961" s="13" t="s">
        <v>209</v>
      </c>
      <c r="C961" s="16">
        <f>SUM(H117:H124)+H639</f>
        <v>21</v>
      </c>
      <c r="D961" s="13">
        <v>8</v>
      </c>
      <c r="E961" s="14">
        <f t="shared" si="20"/>
        <v>2.625</v>
      </c>
      <c r="L961"/>
      <c r="M961"/>
      <c r="N961"/>
      <c r="O961"/>
      <c r="P961"/>
      <c r="Q961" s="15"/>
    </row>
    <row r="962" spans="1:17" ht="15" x14ac:dyDescent="0.25">
      <c r="B962" s="13" t="s">
        <v>2006</v>
      </c>
      <c r="C962" s="77">
        <v>0</v>
      </c>
      <c r="D962" s="13">
        <v>0</v>
      </c>
      <c r="E962" s="14" t="e">
        <f t="shared" si="20"/>
        <v>#DIV/0!</v>
      </c>
      <c r="F962"/>
      <c r="G962"/>
      <c r="I962"/>
      <c r="J962"/>
      <c r="K962"/>
      <c r="Q962" s="15"/>
    </row>
    <row r="963" spans="1:17" ht="15" x14ac:dyDescent="0.25">
      <c r="B963" s="13" t="s">
        <v>3231</v>
      </c>
      <c r="C963" s="77">
        <v>0</v>
      </c>
      <c r="D963" s="13">
        <v>0</v>
      </c>
      <c r="E963" s="14" t="e">
        <f t="shared" si="20"/>
        <v>#DIV/0!</v>
      </c>
      <c r="F963"/>
      <c r="G963"/>
      <c r="I963"/>
      <c r="J963"/>
      <c r="K963"/>
      <c r="Q963" s="15"/>
    </row>
    <row r="964" spans="1:17" x14ac:dyDescent="0.25">
      <c r="B964" s="13" t="s">
        <v>64</v>
      </c>
      <c r="C964" s="16">
        <f>SUM(H125:H137)+SUM(H640:H643)</f>
        <v>50</v>
      </c>
      <c r="D964" s="15">
        <v>12</v>
      </c>
      <c r="E964" s="14">
        <f t="shared" si="20"/>
        <v>4.166666666666667</v>
      </c>
      <c r="F964" s="15"/>
      <c r="G964" s="15"/>
      <c r="I964" s="15"/>
      <c r="J964" s="15"/>
      <c r="K964" s="15"/>
      <c r="Q964" s="15"/>
    </row>
    <row r="965" spans="1:17" x14ac:dyDescent="0.25">
      <c r="B965" s="13" t="s">
        <v>261</v>
      </c>
      <c r="C965" s="16">
        <f>SUM(H138:H142)+H644</f>
        <v>12</v>
      </c>
      <c r="D965" s="15">
        <v>4</v>
      </c>
      <c r="E965" s="14">
        <f t="shared" si="20"/>
        <v>3</v>
      </c>
      <c r="F965" s="15"/>
      <c r="G965" s="15"/>
      <c r="I965" s="15"/>
      <c r="J965" s="15"/>
      <c r="K965" s="15"/>
      <c r="Q965" s="15"/>
    </row>
    <row r="966" spans="1:17" x14ac:dyDescent="0.25">
      <c r="B966" s="13" t="s">
        <v>1346</v>
      </c>
      <c r="C966" s="16">
        <v>0</v>
      </c>
      <c r="D966" s="15">
        <v>0</v>
      </c>
      <c r="E966" s="14" t="e">
        <f t="shared" si="20"/>
        <v>#DIV/0!</v>
      </c>
      <c r="F966" s="15"/>
      <c r="G966" s="15"/>
      <c r="I966" s="15"/>
      <c r="J966" s="15"/>
      <c r="K966" s="15"/>
      <c r="Q966" s="15"/>
    </row>
    <row r="967" spans="1:17" x14ac:dyDescent="0.25">
      <c r="A967" s="15"/>
      <c r="B967" s="13" t="s">
        <v>705</v>
      </c>
      <c r="C967" s="16">
        <f>H143+H645</f>
        <v>3</v>
      </c>
      <c r="D967" s="15">
        <v>1</v>
      </c>
      <c r="E967" s="14">
        <f t="shared" si="20"/>
        <v>3</v>
      </c>
      <c r="F967" s="15"/>
      <c r="G967" s="15"/>
      <c r="I967" s="15"/>
      <c r="J967" s="15"/>
      <c r="K967" s="15"/>
      <c r="Q967" s="15"/>
    </row>
    <row r="968" spans="1:17" x14ac:dyDescent="0.25">
      <c r="A968" s="15"/>
      <c r="B968" s="13" t="s">
        <v>134</v>
      </c>
      <c r="C968" s="16">
        <f>H646+H713</f>
        <v>3</v>
      </c>
      <c r="D968" s="15">
        <v>0</v>
      </c>
      <c r="E968" s="14" t="e">
        <f t="shared" si="20"/>
        <v>#DIV/0!</v>
      </c>
      <c r="F968" s="15"/>
      <c r="G968" s="15"/>
      <c r="I968" s="15"/>
      <c r="J968" s="15"/>
      <c r="K968" s="15"/>
      <c r="Q968" s="15"/>
    </row>
    <row r="969" spans="1:17" x14ac:dyDescent="0.25">
      <c r="A969" s="15"/>
      <c r="B969" s="13" t="s">
        <v>283</v>
      </c>
      <c r="C969" s="16">
        <f>SUM(H144:H147)+SUM(H647:H649)</f>
        <v>22</v>
      </c>
      <c r="D969" s="15">
        <v>5</v>
      </c>
      <c r="E969" s="14">
        <f t="shared" si="20"/>
        <v>4.4000000000000004</v>
      </c>
      <c r="F969" s="15"/>
      <c r="G969" s="15"/>
      <c r="I969" s="15"/>
      <c r="J969" s="15"/>
      <c r="K969" s="15"/>
      <c r="Q969" s="15"/>
    </row>
    <row r="970" spans="1:17" x14ac:dyDescent="0.25">
      <c r="A970" s="15"/>
      <c r="B970" s="13" t="s">
        <v>430</v>
      </c>
      <c r="C970" s="16">
        <f>H650</f>
        <v>2</v>
      </c>
      <c r="D970" s="15">
        <v>0</v>
      </c>
      <c r="E970" s="14" t="e">
        <f t="shared" si="20"/>
        <v>#DIV/0!</v>
      </c>
      <c r="F970" s="15"/>
      <c r="G970" s="15"/>
      <c r="I970" s="15"/>
      <c r="J970" s="15"/>
      <c r="K970" s="15"/>
      <c r="Q970" s="15"/>
    </row>
    <row r="971" spans="1:17" x14ac:dyDescent="0.25">
      <c r="A971" s="15"/>
      <c r="B971" s="13" t="s">
        <v>1933</v>
      </c>
      <c r="C971" s="16">
        <v>0</v>
      </c>
      <c r="D971" s="15">
        <v>0</v>
      </c>
      <c r="E971" s="14" t="e">
        <f t="shared" si="20"/>
        <v>#DIV/0!</v>
      </c>
      <c r="F971" s="15"/>
      <c r="G971" s="15"/>
      <c r="I971" s="15"/>
      <c r="J971" s="15"/>
      <c r="K971" s="15"/>
      <c r="Q971" s="15"/>
    </row>
    <row r="972" spans="1:17" x14ac:dyDescent="0.25">
      <c r="A972" s="15"/>
      <c r="B972" s="13" t="s">
        <v>328</v>
      </c>
      <c r="C972" s="16">
        <f>SUM(H148:H149)+SUM(H651:H652)</f>
        <v>22</v>
      </c>
      <c r="D972" s="15">
        <v>2</v>
      </c>
      <c r="E972" s="14">
        <f t="shared" si="20"/>
        <v>11</v>
      </c>
      <c r="F972" s="15"/>
      <c r="G972" s="15"/>
      <c r="I972" s="15"/>
      <c r="J972" s="15"/>
      <c r="K972" s="15"/>
      <c r="Q972" s="15"/>
    </row>
    <row r="973" spans="1:17" x14ac:dyDescent="0.25">
      <c r="A973" s="15"/>
      <c r="B973" s="13" t="s">
        <v>3201</v>
      </c>
      <c r="C973" s="16">
        <v>0</v>
      </c>
      <c r="D973" s="15">
        <v>0</v>
      </c>
      <c r="E973" s="14" t="e">
        <f t="shared" si="20"/>
        <v>#DIV/0!</v>
      </c>
      <c r="F973" s="15"/>
      <c r="G973" s="15"/>
      <c r="I973" s="15"/>
      <c r="J973" s="15"/>
      <c r="K973" s="15"/>
      <c r="Q973" s="15"/>
    </row>
    <row r="974" spans="1:17" x14ac:dyDescent="0.25">
      <c r="A974" s="15"/>
      <c r="B974" s="13" t="s">
        <v>2391</v>
      </c>
      <c r="C974" s="16">
        <f>H749</f>
        <v>1</v>
      </c>
      <c r="D974" s="15">
        <v>0</v>
      </c>
      <c r="E974" s="14" t="e">
        <f t="shared" si="20"/>
        <v>#DIV/0!</v>
      </c>
      <c r="F974" s="15"/>
      <c r="G974" s="15"/>
      <c r="I974" s="15"/>
      <c r="J974" s="15"/>
      <c r="K974" s="15"/>
      <c r="Q974" s="15"/>
    </row>
    <row r="975" spans="1:17" x14ac:dyDescent="0.25">
      <c r="A975" s="15"/>
      <c r="B975" s="13" t="s">
        <v>483</v>
      </c>
      <c r="C975" s="16">
        <f>H150+H653</f>
        <v>4</v>
      </c>
      <c r="D975" s="15">
        <v>1</v>
      </c>
      <c r="E975" s="14">
        <f t="shared" si="20"/>
        <v>4</v>
      </c>
      <c r="F975" s="15"/>
      <c r="G975" s="15"/>
      <c r="I975" s="15"/>
      <c r="J975" s="15"/>
      <c r="K975" s="15"/>
      <c r="Q975" s="15"/>
    </row>
    <row r="976" spans="1:17" x14ac:dyDescent="0.25">
      <c r="A976" s="15"/>
      <c r="B976" s="13" t="s">
        <v>2674</v>
      </c>
      <c r="C976" s="16">
        <v>0</v>
      </c>
      <c r="D976" s="15">
        <v>0</v>
      </c>
      <c r="E976" s="14" t="e">
        <f t="shared" si="20"/>
        <v>#DIV/0!</v>
      </c>
      <c r="F976" s="15"/>
      <c r="G976" s="15"/>
      <c r="I976" s="15"/>
      <c r="J976" s="15"/>
      <c r="K976" s="15"/>
      <c r="Q976" s="15"/>
    </row>
    <row r="977" spans="1:17" x14ac:dyDescent="0.25">
      <c r="A977" s="15"/>
      <c r="B977" s="13" t="s">
        <v>2091</v>
      </c>
      <c r="C977" s="16">
        <v>0</v>
      </c>
      <c r="D977" s="15">
        <v>0</v>
      </c>
      <c r="E977" s="14" t="e">
        <f t="shared" si="20"/>
        <v>#DIV/0!</v>
      </c>
      <c r="F977" s="15"/>
      <c r="G977" s="15"/>
      <c r="I977" s="15"/>
      <c r="J977" s="15"/>
      <c r="K977" s="15"/>
      <c r="Q977" s="15"/>
    </row>
    <row r="978" spans="1:17" x14ac:dyDescent="0.25">
      <c r="A978" s="15"/>
      <c r="B978" s="13" t="s">
        <v>78</v>
      </c>
      <c r="C978" s="16">
        <f>SUM(H151:H155)+H654</f>
        <v>35</v>
      </c>
      <c r="D978" s="15">
        <v>5</v>
      </c>
      <c r="E978" s="14">
        <f t="shared" si="20"/>
        <v>7</v>
      </c>
      <c r="F978" s="15"/>
      <c r="G978" s="15"/>
      <c r="I978" s="15"/>
      <c r="J978" s="15"/>
      <c r="K978" s="15"/>
      <c r="Q978" s="15"/>
    </row>
    <row r="979" spans="1:17" x14ac:dyDescent="0.25">
      <c r="A979" s="15"/>
      <c r="B979" s="13" t="s">
        <v>206</v>
      </c>
      <c r="C979" s="16">
        <f>SUM(H156:H158)+SUM(H655:H657)</f>
        <v>13</v>
      </c>
      <c r="D979" s="15">
        <v>3</v>
      </c>
      <c r="E979" s="14">
        <f t="shared" si="20"/>
        <v>4.333333333333333</v>
      </c>
      <c r="F979" s="15"/>
      <c r="G979" s="15"/>
      <c r="I979" s="15"/>
      <c r="J979" s="15"/>
      <c r="K979" s="15"/>
      <c r="Q979" s="15"/>
    </row>
    <row r="980" spans="1:17" x14ac:dyDescent="0.25">
      <c r="A980" s="15"/>
      <c r="B980" s="13" t="s">
        <v>46</v>
      </c>
      <c r="C980" s="16">
        <f>SUM(H159:H164)+SUM(H658:H659)</f>
        <v>22</v>
      </c>
      <c r="D980" s="15">
        <v>5</v>
      </c>
      <c r="E980" s="14">
        <f t="shared" si="20"/>
        <v>4.4000000000000004</v>
      </c>
      <c r="F980" s="15"/>
      <c r="G980" s="15"/>
      <c r="I980" s="15"/>
      <c r="J980" s="15"/>
      <c r="K980" s="15"/>
      <c r="Q980" s="15"/>
    </row>
    <row r="981" spans="1:17" x14ac:dyDescent="0.25">
      <c r="A981" s="15"/>
      <c r="B981" s="13" t="s">
        <v>2617</v>
      </c>
      <c r="C981" s="16">
        <f>H660+SUM(H661/2)</f>
        <v>2</v>
      </c>
      <c r="D981" s="15">
        <v>0</v>
      </c>
      <c r="E981" s="14" t="e">
        <f t="shared" si="20"/>
        <v>#DIV/0!</v>
      </c>
      <c r="F981" s="15"/>
      <c r="G981" s="15"/>
      <c r="I981" s="15"/>
      <c r="J981" s="15"/>
      <c r="K981" s="15"/>
      <c r="Q981" s="15"/>
    </row>
    <row r="982" spans="1:17" x14ac:dyDescent="0.25">
      <c r="A982" s="15"/>
      <c r="B982" s="13" t="s">
        <v>62</v>
      </c>
      <c r="C982" s="16">
        <f>SUM(H165:H174)+SUM(H661/2)+H662</f>
        <v>55</v>
      </c>
      <c r="D982" s="15">
        <v>8</v>
      </c>
      <c r="E982" s="14">
        <f t="shared" si="20"/>
        <v>6.875</v>
      </c>
      <c r="F982" s="15"/>
      <c r="G982" s="15"/>
      <c r="I982" s="15"/>
      <c r="J982" s="15"/>
      <c r="K982" s="15"/>
      <c r="Q982" s="15"/>
    </row>
    <row r="983" spans="1:17" x14ac:dyDescent="0.25">
      <c r="A983" s="15"/>
      <c r="B983" s="13" t="s">
        <v>3137</v>
      </c>
      <c r="C983" s="16">
        <v>0</v>
      </c>
      <c r="D983" s="15">
        <v>0</v>
      </c>
      <c r="E983" s="14" t="e">
        <f t="shared" si="20"/>
        <v>#DIV/0!</v>
      </c>
      <c r="F983" s="15"/>
      <c r="G983" s="15"/>
      <c r="I983" s="15"/>
      <c r="J983" s="15"/>
      <c r="K983" s="15"/>
      <c r="Q983" s="15"/>
    </row>
    <row r="984" spans="1:17" x14ac:dyDescent="0.25">
      <c r="A984" s="15"/>
      <c r="B984" s="13" t="s">
        <v>82</v>
      </c>
      <c r="C984" s="16">
        <f>H663</f>
        <v>1</v>
      </c>
      <c r="D984" s="15">
        <v>0</v>
      </c>
      <c r="E984" s="14" t="e">
        <f t="shared" si="20"/>
        <v>#DIV/0!</v>
      </c>
      <c r="F984" s="15"/>
      <c r="G984" s="15"/>
      <c r="I984" s="15"/>
      <c r="J984" s="15"/>
      <c r="K984" s="15"/>
      <c r="Q984" s="15"/>
    </row>
    <row r="985" spans="1:17" x14ac:dyDescent="0.25">
      <c r="A985" s="15"/>
      <c r="B985" s="13" t="s">
        <v>22</v>
      </c>
      <c r="C985" s="16">
        <f>SUM(H175:H187)+SUM(H664:H672)+H731</f>
        <v>62</v>
      </c>
      <c r="D985" s="15">
        <v>10</v>
      </c>
      <c r="E985" s="14">
        <f t="shared" si="20"/>
        <v>6.2</v>
      </c>
      <c r="F985" s="15"/>
      <c r="G985" s="15"/>
      <c r="I985" s="15"/>
      <c r="J985" s="15"/>
      <c r="K985" s="15"/>
      <c r="Q985" s="15"/>
    </row>
    <row r="986" spans="1:17" x14ac:dyDescent="0.25">
      <c r="A986" s="15"/>
      <c r="B986" s="13" t="s">
        <v>446</v>
      </c>
      <c r="C986" s="16">
        <f>SUM(H188:H189)</f>
        <v>2</v>
      </c>
      <c r="D986" s="15">
        <v>2</v>
      </c>
      <c r="E986" s="14">
        <f t="shared" si="20"/>
        <v>1</v>
      </c>
      <c r="F986" s="15"/>
      <c r="G986" s="15"/>
      <c r="I986" s="15"/>
      <c r="J986" s="15"/>
      <c r="K986" s="15"/>
      <c r="Q986" s="15"/>
    </row>
    <row r="987" spans="1:17" x14ac:dyDescent="0.25">
      <c r="A987" s="15"/>
      <c r="B987" s="13" t="s">
        <v>609</v>
      </c>
      <c r="C987" s="16">
        <f>SUM(H190:H192)+SUM(H673:H674)+H711</f>
        <v>19</v>
      </c>
      <c r="D987" s="15">
        <v>2</v>
      </c>
      <c r="E987" s="14">
        <f t="shared" si="20"/>
        <v>9.5</v>
      </c>
      <c r="F987" s="15"/>
      <c r="G987" s="15"/>
      <c r="I987" s="15"/>
      <c r="J987" s="15"/>
      <c r="K987" s="15"/>
      <c r="Q987" s="15"/>
    </row>
    <row r="988" spans="1:17" x14ac:dyDescent="0.25">
      <c r="A988" s="15"/>
      <c r="B988" s="13" t="s">
        <v>699</v>
      </c>
      <c r="C988" s="16">
        <f>SUM(H193:H196)+H675</f>
        <v>18</v>
      </c>
      <c r="D988" s="15">
        <v>4</v>
      </c>
      <c r="E988" s="14">
        <f t="shared" si="20"/>
        <v>4.5</v>
      </c>
      <c r="F988" s="15"/>
      <c r="G988" s="15"/>
      <c r="I988" s="15"/>
      <c r="J988" s="15"/>
      <c r="K988" s="15"/>
      <c r="Q988" s="15"/>
    </row>
    <row r="989" spans="1:17" x14ac:dyDescent="0.25">
      <c r="A989" s="15"/>
      <c r="B989" s="13" t="s">
        <v>93</v>
      </c>
      <c r="C989" s="16">
        <f>SUM(H197:H209)+SUM(H676:H680)</f>
        <v>55</v>
      </c>
      <c r="D989" s="15">
        <v>13</v>
      </c>
      <c r="E989" s="14">
        <f t="shared" si="20"/>
        <v>4.2307692307692308</v>
      </c>
      <c r="F989" s="15"/>
      <c r="G989" s="15"/>
      <c r="I989" s="15"/>
      <c r="J989" s="15"/>
      <c r="K989" s="15"/>
      <c r="Q989" s="15"/>
    </row>
    <row r="990" spans="1:17" x14ac:dyDescent="0.25">
      <c r="A990" s="15"/>
      <c r="B990" s="13" t="s">
        <v>1731</v>
      </c>
      <c r="C990" s="16">
        <f>H210+H681</f>
        <v>2</v>
      </c>
      <c r="D990" s="15">
        <v>1</v>
      </c>
      <c r="E990" s="14">
        <f t="shared" si="20"/>
        <v>2</v>
      </c>
      <c r="F990" s="15"/>
      <c r="G990" s="15"/>
      <c r="I990" s="15"/>
      <c r="J990" s="15"/>
      <c r="K990" s="15"/>
      <c r="Q990" s="15"/>
    </row>
    <row r="991" spans="1:17" x14ac:dyDescent="0.25">
      <c r="A991" s="15"/>
      <c r="B991" s="13" t="s">
        <v>50</v>
      </c>
      <c r="C991" s="16">
        <f>SUM(H211:H212)</f>
        <v>5</v>
      </c>
      <c r="D991" s="15">
        <v>2</v>
      </c>
      <c r="E991" s="14">
        <f t="shared" si="20"/>
        <v>2.5</v>
      </c>
      <c r="F991" s="15"/>
      <c r="G991" s="15"/>
      <c r="I991" s="15"/>
      <c r="J991" s="15"/>
      <c r="K991" s="15"/>
      <c r="Q991" s="15"/>
    </row>
    <row r="992" spans="1:17" x14ac:dyDescent="0.25">
      <c r="A992" s="15"/>
      <c r="B992" s="13" t="s">
        <v>24</v>
      </c>
      <c r="C992" s="16">
        <f>SUM(H213:H271)+SUM(H682:H693)+SUM(H706:H710)</f>
        <v>409</v>
      </c>
      <c r="D992" s="15">
        <v>36</v>
      </c>
      <c r="E992" s="14">
        <f t="shared" si="20"/>
        <v>11.361111111111111</v>
      </c>
      <c r="F992" s="15"/>
      <c r="G992" s="15"/>
      <c r="I992" s="15"/>
      <c r="J992" s="15"/>
      <c r="K992" s="15"/>
      <c r="Q992" s="15"/>
    </row>
    <row r="993" spans="1:17" ht="23.25" customHeight="1" x14ac:dyDescent="0.25">
      <c r="A993" s="15"/>
      <c r="B993" s="13" t="s">
        <v>3208</v>
      </c>
      <c r="C993" s="16">
        <v>0</v>
      </c>
      <c r="D993" s="15">
        <v>0</v>
      </c>
      <c r="E993" s="14" t="e">
        <f t="shared" si="20"/>
        <v>#DIV/0!</v>
      </c>
      <c r="F993" s="15"/>
      <c r="G993" s="15"/>
      <c r="I993" s="15"/>
      <c r="J993" s="15"/>
      <c r="K993" s="15"/>
      <c r="Q993" s="15"/>
    </row>
    <row r="994" spans="1:17" ht="15.75" customHeight="1" x14ac:dyDescent="0.25">
      <c r="A994" s="15"/>
      <c r="B994" s="13" t="s">
        <v>416</v>
      </c>
      <c r="C994" s="16">
        <f>SUM(H694:H695)+SUM(H703:H705)</f>
        <v>48</v>
      </c>
      <c r="D994" s="15">
        <v>0</v>
      </c>
      <c r="E994" s="14" t="e">
        <f t="shared" si="20"/>
        <v>#DIV/0!</v>
      </c>
      <c r="F994" s="15"/>
      <c r="G994" s="15"/>
      <c r="I994" s="15"/>
      <c r="J994" s="15"/>
      <c r="K994" s="15"/>
      <c r="Q994" s="15"/>
    </row>
    <row r="995" spans="1:17" x14ac:dyDescent="0.25">
      <c r="A995" s="15"/>
      <c r="B995" s="13" t="s">
        <v>139</v>
      </c>
      <c r="C995" s="16">
        <f>SUM(H272:H285)+SUM(H696:H697)</f>
        <v>37</v>
      </c>
      <c r="D995" s="15">
        <v>12</v>
      </c>
      <c r="E995" s="14">
        <f t="shared" si="20"/>
        <v>3.0833333333333335</v>
      </c>
      <c r="F995" s="15"/>
      <c r="G995" s="15"/>
      <c r="I995" s="15"/>
      <c r="J995" s="15"/>
      <c r="K995" s="15"/>
      <c r="Q995" s="15"/>
    </row>
    <row r="996" spans="1:17" x14ac:dyDescent="0.25">
      <c r="A996" s="15"/>
      <c r="B996" s="13" t="s">
        <v>269</v>
      </c>
      <c r="C996" s="16">
        <f>SUM(H286:H295)+SUM(H698:H701)</f>
        <v>72</v>
      </c>
      <c r="D996" s="15">
        <v>7</v>
      </c>
      <c r="E996" s="14">
        <f t="shared" si="20"/>
        <v>10.285714285714286</v>
      </c>
      <c r="F996" s="15"/>
      <c r="G996" s="15"/>
      <c r="H996" s="15"/>
      <c r="I996" s="15"/>
      <c r="J996" s="15"/>
      <c r="K996" s="15"/>
      <c r="Q996" s="15"/>
    </row>
    <row r="997" spans="1:17" x14ac:dyDescent="0.25">
      <c r="A997" s="15"/>
      <c r="B997" s="13" t="s">
        <v>2384</v>
      </c>
      <c r="C997" s="16">
        <v>0</v>
      </c>
      <c r="D997" s="15">
        <v>0</v>
      </c>
      <c r="E997" s="14" t="e">
        <f t="shared" si="20"/>
        <v>#DIV/0!</v>
      </c>
      <c r="F997" s="15"/>
      <c r="G997" s="15"/>
      <c r="H997" s="15"/>
      <c r="I997" s="15"/>
      <c r="J997" s="15"/>
      <c r="K997" s="15"/>
      <c r="Q997" s="15"/>
    </row>
    <row r="998" spans="1:17" x14ac:dyDescent="0.25">
      <c r="A998" s="15"/>
      <c r="B998" s="13" t="s">
        <v>2079</v>
      </c>
      <c r="C998" s="16">
        <f>H702</f>
        <v>2</v>
      </c>
      <c r="D998" s="15">
        <v>0</v>
      </c>
      <c r="E998" s="14" t="e">
        <f t="shared" si="20"/>
        <v>#DIV/0!</v>
      </c>
      <c r="F998" s="15"/>
      <c r="G998" s="15"/>
      <c r="H998" s="15"/>
      <c r="I998" s="15"/>
      <c r="J998" s="15"/>
      <c r="K998" s="15"/>
      <c r="Q998" s="15"/>
    </row>
    <row r="999" spans="1:17" x14ac:dyDescent="0.25">
      <c r="A999" s="15"/>
      <c r="B999" s="13" t="s">
        <v>1347</v>
      </c>
      <c r="D999" s="15"/>
      <c r="E999" s="14" t="e">
        <f t="shared" si="20"/>
        <v>#DIV/0!</v>
      </c>
      <c r="F999" s="15"/>
      <c r="G999" s="15"/>
      <c r="H999" s="15"/>
      <c r="I999" s="15"/>
      <c r="J999" s="15"/>
      <c r="K999" s="15"/>
      <c r="Q999" s="15"/>
    </row>
    <row r="1000" spans="1:17" x14ac:dyDescent="0.25">
      <c r="A1000" s="15"/>
      <c r="B1000" s="13" t="s">
        <v>718</v>
      </c>
      <c r="C1000" s="16">
        <f>SUM(H296:H297)+H739</f>
        <v>9</v>
      </c>
      <c r="D1000" s="15">
        <v>2</v>
      </c>
      <c r="E1000" s="14">
        <f t="shared" si="20"/>
        <v>4.5</v>
      </c>
      <c r="F1000" s="15"/>
      <c r="G1000" s="15"/>
      <c r="H1000" s="15"/>
      <c r="I1000" s="15"/>
      <c r="J1000" s="15"/>
      <c r="K1000" s="15"/>
      <c r="Q1000" s="15"/>
    </row>
    <row r="1001" spans="1:17" x14ac:dyDescent="0.25">
      <c r="A1001" s="15"/>
      <c r="B1001" s="13" t="s">
        <v>1682</v>
      </c>
      <c r="C1001" s="16">
        <v>0</v>
      </c>
      <c r="D1001" s="15">
        <v>0</v>
      </c>
      <c r="E1001" s="14" t="e">
        <f t="shared" si="20"/>
        <v>#DIV/0!</v>
      </c>
      <c r="F1001" s="15"/>
      <c r="G1001" s="15"/>
      <c r="H1001" s="15"/>
      <c r="I1001" s="15"/>
      <c r="J1001" s="15"/>
      <c r="K1001" s="15"/>
      <c r="Q1001" s="15"/>
    </row>
    <row r="1002" spans="1:17" x14ac:dyDescent="0.25">
      <c r="A1002" s="15"/>
      <c r="B1002" s="13" t="s">
        <v>742</v>
      </c>
      <c r="C1002" s="16">
        <f>SUM(H298:H300)+SUM(H740:H741)</f>
        <v>14</v>
      </c>
      <c r="D1002" s="15">
        <v>2</v>
      </c>
      <c r="E1002" s="14">
        <f t="shared" si="20"/>
        <v>7</v>
      </c>
      <c r="F1002" s="15"/>
      <c r="G1002" s="15"/>
      <c r="H1002" s="15"/>
      <c r="I1002" s="15"/>
      <c r="J1002" s="15"/>
      <c r="K1002" s="15"/>
      <c r="Q1002" s="15"/>
    </row>
    <row r="1003" spans="1:17" x14ac:dyDescent="0.25">
      <c r="A1003" s="15"/>
      <c r="B1003" s="13" t="s">
        <v>3596</v>
      </c>
      <c r="C1003" s="16">
        <f>H742</f>
        <v>1</v>
      </c>
      <c r="D1003" s="15"/>
      <c r="F1003" s="15"/>
      <c r="G1003" s="15"/>
      <c r="H1003" s="15"/>
      <c r="I1003" s="15"/>
      <c r="J1003" s="15"/>
      <c r="K1003" s="15"/>
      <c r="Q1003" s="15"/>
    </row>
    <row r="1004" spans="1:17" x14ac:dyDescent="0.25">
      <c r="A1004" s="15"/>
      <c r="C1004" s="16">
        <f>SUM(C946:C1003)</f>
        <v>1620</v>
      </c>
      <c r="D1004" s="15"/>
      <c r="F1004" s="15"/>
      <c r="G1004" s="15"/>
      <c r="H1004" s="15"/>
      <c r="I1004" s="15"/>
      <c r="J1004" s="15"/>
      <c r="K1004" s="15"/>
      <c r="Q1004" s="15"/>
    </row>
    <row r="1005" spans="1:17" x14ac:dyDescent="0.25">
      <c r="A1005" s="15"/>
      <c r="B1005" s="12" t="s">
        <v>11</v>
      </c>
      <c r="C1005" s="16">
        <f>SUM(C1006:C1010)+SUM(H592:H594)+H596+H721+SUM(H753:H755)/2+SUM(H783:H784)/2</f>
        <v>1759</v>
      </c>
      <c r="D1005" s="15"/>
      <c r="E1005" s="15"/>
      <c r="F1005" s="15"/>
      <c r="G1005" s="15"/>
      <c r="H1005" s="15"/>
      <c r="I1005" s="15"/>
      <c r="J1005" s="15"/>
      <c r="K1005" s="15"/>
      <c r="Q1005" s="15"/>
    </row>
    <row r="1006" spans="1:17" x14ac:dyDescent="0.25">
      <c r="A1006" s="15"/>
      <c r="B1006" s="13" t="s">
        <v>663</v>
      </c>
      <c r="C1006" s="16">
        <f>SUM(H718/2)+H723+SUM(H724:H725)/2+H726+C953+C968+C972+C980+C990+C994+C995+C996</f>
        <v>225.5</v>
      </c>
      <c r="D1006" s="15"/>
      <c r="E1006" s="15"/>
      <c r="F1006" s="15"/>
      <c r="G1006" s="15"/>
      <c r="H1006" s="15"/>
      <c r="I1006" s="15"/>
      <c r="J1006" s="15"/>
      <c r="K1006" s="15"/>
      <c r="Q1006" s="15"/>
    </row>
    <row r="1007" spans="1:17" x14ac:dyDescent="0.25">
      <c r="A1007" s="15"/>
      <c r="B1007" s="13" t="s">
        <v>664</v>
      </c>
      <c r="C1007" s="16">
        <f>H722+SUM(H724/2)+SUM(H747/2)+C955+C970+C975+C1000</f>
        <v>95.5</v>
      </c>
      <c r="D1007" s="15"/>
      <c r="E1007" s="15"/>
      <c r="F1007" s="15"/>
      <c r="G1007" s="15"/>
      <c r="H1007" s="15"/>
      <c r="I1007" s="15"/>
      <c r="J1007" s="15"/>
      <c r="K1007" s="15"/>
      <c r="Q1007" s="15"/>
    </row>
    <row r="1008" spans="1:17" x14ac:dyDescent="0.25">
      <c r="A1008" s="15"/>
      <c r="B1008" s="13" t="s">
        <v>271</v>
      </c>
      <c r="C1008" s="16">
        <f>SUM(H712/2)+H717+SUM(H718/2)+SUM(H719:H720)+SUM(H725/2)+SUM(H733:H736)/2+SUM(H744:H745)+C960+C961+C965+C967+C969+C974+C978+C987+C988+C989</f>
        <v>248.5</v>
      </c>
      <c r="D1008" s="15"/>
      <c r="E1008" s="15"/>
      <c r="F1008" s="15"/>
      <c r="G1008" s="15"/>
      <c r="H1008" s="15"/>
      <c r="I1008" s="15"/>
      <c r="J1008" s="15"/>
      <c r="K1008" s="15"/>
      <c r="Q1008" s="15"/>
    </row>
    <row r="1009" spans="1:17" x14ac:dyDescent="0.25">
      <c r="A1009" s="15"/>
      <c r="B1009" s="13" t="s">
        <v>144</v>
      </c>
      <c r="C1009" s="16">
        <f>SUM(H712/2)+SUM(H733:H736)/2+H746+SUM(H747/2)+H748+SUM(H750:H752)+C946+C954+C957+C958+C964+C985+C992+C1002</f>
        <v>879.5</v>
      </c>
      <c r="D1009" s="15"/>
      <c r="E1009" s="15"/>
      <c r="F1009" s="15"/>
      <c r="G1009" s="15"/>
      <c r="H1009" s="15"/>
      <c r="I1009" s="15"/>
      <c r="J1009" s="15"/>
      <c r="K1009" s="15"/>
      <c r="Q1009" s="15"/>
    </row>
    <row r="1010" spans="1:17" x14ac:dyDescent="0.25">
      <c r="A1010" s="15"/>
      <c r="B1010" s="13" t="s">
        <v>666</v>
      </c>
      <c r="C1010" s="16">
        <f>SUM(H727:H730)+H743+C950+C947+C948+C951+C956+C979+C981+C984+C986+C991+C998</f>
        <v>253</v>
      </c>
      <c r="D1010" s="15"/>
      <c r="E1010" s="15"/>
      <c r="F1010" s="15"/>
      <c r="G1010" s="15"/>
      <c r="H1010" s="15"/>
      <c r="I1010" s="15"/>
      <c r="J1010" s="15"/>
      <c r="K1010" s="15"/>
      <c r="Q1010" s="15"/>
    </row>
    <row r="1011" spans="1:17" x14ac:dyDescent="0.25">
      <c r="A1011" s="15"/>
      <c r="D1011" s="15"/>
      <c r="E1011" s="15"/>
      <c r="F1011" s="15"/>
      <c r="G1011" s="15"/>
      <c r="H1011" s="15"/>
      <c r="I1011" s="15"/>
      <c r="J1011" s="15"/>
      <c r="K1011" s="15"/>
      <c r="Q1011" s="15"/>
    </row>
    <row r="1012" spans="1:17" x14ac:dyDescent="0.25">
      <c r="D1012" s="15"/>
      <c r="E1012" s="15"/>
      <c r="F1012" s="15"/>
      <c r="G1012" s="15"/>
      <c r="H1012" s="15"/>
      <c r="I1012" s="15"/>
      <c r="J1012" s="15"/>
      <c r="K1012" s="15"/>
      <c r="Q1012" s="15"/>
    </row>
    <row r="1013" spans="1:17" x14ac:dyDescent="0.25">
      <c r="B1013" s="13" t="s">
        <v>231</v>
      </c>
      <c r="C1013" s="16">
        <f>SUM(H301:H310)+H790+SUM(H809:H814)</f>
        <v>35</v>
      </c>
      <c r="D1013" s="15">
        <v>10</v>
      </c>
      <c r="E1013" s="15"/>
      <c r="F1013" s="15"/>
      <c r="G1013" s="15"/>
      <c r="H1013" s="15"/>
      <c r="I1013" s="15"/>
      <c r="J1013" s="15"/>
      <c r="K1013" s="15"/>
      <c r="Q1013" s="15"/>
    </row>
    <row r="1014" spans="1:17" x14ac:dyDescent="0.25">
      <c r="B1014" s="13" t="s">
        <v>995</v>
      </c>
      <c r="C1014" s="16">
        <f>SUM(H311:H315)+H815</f>
        <v>14</v>
      </c>
      <c r="D1014" s="15">
        <v>5</v>
      </c>
      <c r="E1014" s="15"/>
      <c r="F1014" s="15"/>
      <c r="G1014" s="15"/>
      <c r="H1014" s="15"/>
      <c r="I1014" s="15"/>
      <c r="J1014" s="15"/>
      <c r="K1014" s="15"/>
      <c r="Q1014" s="15"/>
    </row>
    <row r="1015" spans="1:17" x14ac:dyDescent="0.25">
      <c r="B1015" s="13" t="s">
        <v>953</v>
      </c>
      <c r="C1015" s="16">
        <f>SUM(H316:H323)+SUM(H816:H821)</f>
        <v>35</v>
      </c>
      <c r="D1015" s="15">
        <v>8</v>
      </c>
      <c r="E1015" s="15"/>
      <c r="F1015" s="15"/>
      <c r="G1015" s="15"/>
      <c r="H1015" s="15"/>
      <c r="I1015" s="15"/>
      <c r="J1015" s="15"/>
      <c r="K1015" s="15"/>
      <c r="Q1015" s="15"/>
    </row>
    <row r="1016" spans="1:17" x14ac:dyDescent="0.25">
      <c r="B1016" s="13" t="s">
        <v>1608</v>
      </c>
      <c r="C1016" s="16">
        <f>H822</f>
        <v>2</v>
      </c>
      <c r="D1016" s="15">
        <v>0</v>
      </c>
      <c r="E1016" s="15"/>
      <c r="F1016" s="15"/>
      <c r="G1016" s="15"/>
      <c r="H1016" s="15"/>
      <c r="I1016" s="15"/>
      <c r="J1016" s="15"/>
      <c r="K1016" s="15"/>
      <c r="Q1016" s="15"/>
    </row>
    <row r="1017" spans="1:17" x14ac:dyDescent="0.25">
      <c r="B1017" s="13" t="s">
        <v>394</v>
      </c>
      <c r="C1017" s="16">
        <f>H324+H785</f>
        <v>18</v>
      </c>
      <c r="D1017" s="15">
        <v>1</v>
      </c>
      <c r="E1017" s="15"/>
      <c r="F1017" s="15"/>
      <c r="G1017" s="15"/>
      <c r="H1017" s="15"/>
      <c r="I1017" s="15"/>
      <c r="J1017" s="15"/>
      <c r="K1017" s="15"/>
      <c r="Q1017" s="15"/>
    </row>
    <row r="1018" spans="1:17" x14ac:dyDescent="0.25">
      <c r="B1018" s="13" t="s">
        <v>238</v>
      </c>
      <c r="C1018" s="16">
        <f>SUM(H325:H334)+SUM(H823:H827)</f>
        <v>43</v>
      </c>
      <c r="D1018" s="15">
        <v>9</v>
      </c>
      <c r="E1018" s="15"/>
      <c r="F1018" s="15"/>
      <c r="G1018" s="15"/>
      <c r="H1018" s="15"/>
      <c r="I1018" s="15"/>
      <c r="J1018" s="15"/>
      <c r="K1018" s="15"/>
      <c r="Q1018" s="15"/>
    </row>
    <row r="1019" spans="1:17" customFormat="1" ht="15" x14ac:dyDescent="0.25">
      <c r="A1019" s="48"/>
      <c r="B1019" s="13" t="s">
        <v>226</v>
      </c>
      <c r="C1019" s="16">
        <f>SUM(H335:H345)+SUM(H828:H833)+H851</f>
        <v>38</v>
      </c>
      <c r="D1019" s="15">
        <v>11</v>
      </c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7" customFormat="1" ht="15" x14ac:dyDescent="0.25">
      <c r="A1020" s="48"/>
      <c r="B1020" s="13" t="s">
        <v>1641</v>
      </c>
      <c r="C1020" s="16">
        <f>H834</f>
        <v>2</v>
      </c>
      <c r="D1020" s="15">
        <v>0</v>
      </c>
      <c r="E1020" s="15"/>
      <c r="F1020" s="15"/>
      <c r="G1020" s="15"/>
      <c r="H1020" s="15"/>
      <c r="I1020" s="15"/>
      <c r="J1020" s="15"/>
      <c r="K1020" s="15"/>
    </row>
    <row r="1021" spans="1:17" customFormat="1" ht="15" x14ac:dyDescent="0.25">
      <c r="A1021" s="48"/>
      <c r="B1021" s="13" t="s">
        <v>998</v>
      </c>
      <c r="C1021" s="77">
        <v>0</v>
      </c>
      <c r="D1021" s="15">
        <v>0</v>
      </c>
      <c r="H1021" s="15"/>
    </row>
    <row r="1022" spans="1:17" ht="15" x14ac:dyDescent="0.25">
      <c r="B1022" s="13" t="s">
        <v>407</v>
      </c>
      <c r="C1022" s="77">
        <f>SUM(H346:H348)+SUM(H835:H836)</f>
        <v>8</v>
      </c>
      <c r="D1022" s="15">
        <v>3</v>
      </c>
      <c r="E1022"/>
      <c r="F1022"/>
      <c r="G1022"/>
      <c r="H1022" s="15"/>
      <c r="I1022"/>
      <c r="J1022"/>
      <c r="K1022"/>
      <c r="L1022"/>
      <c r="M1022"/>
      <c r="N1022"/>
      <c r="O1022"/>
      <c r="P1022"/>
      <c r="Q1022" s="15"/>
    </row>
    <row r="1023" spans="1:17" ht="15" x14ac:dyDescent="0.25">
      <c r="B1023" s="13" t="s">
        <v>1612</v>
      </c>
      <c r="C1023" s="77">
        <v>0</v>
      </c>
      <c r="D1023" s="15">
        <v>0</v>
      </c>
      <c r="E1023"/>
      <c r="F1023"/>
      <c r="G1023"/>
      <c r="H1023"/>
      <c r="I1023"/>
      <c r="J1023"/>
      <c r="K1023"/>
      <c r="Q1023" s="15"/>
    </row>
    <row r="1024" spans="1:17" ht="15" x14ac:dyDescent="0.25">
      <c r="B1024" s="13" t="s">
        <v>86</v>
      </c>
      <c r="C1024" s="16">
        <f>H349</f>
        <v>7</v>
      </c>
      <c r="D1024" s="15">
        <v>1</v>
      </c>
      <c r="E1024" s="15"/>
      <c r="F1024" s="15"/>
      <c r="G1024" s="15"/>
      <c r="H1024"/>
      <c r="I1024" s="15"/>
      <c r="J1024" s="15"/>
      <c r="K1024" s="15"/>
      <c r="Q1024" s="15"/>
    </row>
    <row r="1025" spans="1:17" ht="15" x14ac:dyDescent="0.25">
      <c r="B1025" s="13" t="s">
        <v>676</v>
      </c>
      <c r="C1025" s="16">
        <f>SUM(H350:H358)+SUM(H837:H843)</f>
        <v>43</v>
      </c>
      <c r="D1025" s="15">
        <v>6</v>
      </c>
      <c r="E1025" s="15"/>
      <c r="F1025" s="15"/>
      <c r="G1025" s="15"/>
      <c r="H1025"/>
      <c r="I1025" s="15"/>
      <c r="J1025" s="15"/>
      <c r="K1025" s="15"/>
      <c r="Q1025" s="15"/>
    </row>
    <row r="1026" spans="1:17" x14ac:dyDescent="0.25">
      <c r="B1026" s="13" t="s">
        <v>975</v>
      </c>
      <c r="C1026" s="16">
        <f>H859</f>
        <v>1</v>
      </c>
      <c r="D1026" s="15">
        <v>0</v>
      </c>
      <c r="E1026" s="15"/>
      <c r="F1026" s="15"/>
      <c r="G1026" s="15"/>
      <c r="H1026" s="15"/>
      <c r="I1026" s="15"/>
      <c r="J1026" s="15"/>
      <c r="K1026" s="15"/>
      <c r="Q1026" s="15"/>
    </row>
    <row r="1027" spans="1:17" x14ac:dyDescent="0.25">
      <c r="B1027" s="13" t="s">
        <v>249</v>
      </c>
      <c r="C1027" s="16">
        <f>SUM(H359:H368)+SUM(H844:H846)</f>
        <v>30</v>
      </c>
      <c r="D1027" s="15">
        <v>10</v>
      </c>
      <c r="E1027" s="15"/>
      <c r="F1027" s="15"/>
      <c r="G1027" s="15"/>
      <c r="H1027" s="15"/>
      <c r="I1027" s="15"/>
      <c r="J1027" s="15"/>
      <c r="K1027" s="15"/>
      <c r="Q1027" s="15"/>
    </row>
    <row r="1028" spans="1:17" x14ac:dyDescent="0.25">
      <c r="B1028" s="13" t="s">
        <v>1709</v>
      </c>
      <c r="C1028" s="16">
        <v>0</v>
      </c>
      <c r="D1028" s="15">
        <v>0</v>
      </c>
      <c r="E1028" s="15"/>
      <c r="F1028" s="15"/>
      <c r="G1028" s="15"/>
      <c r="H1028" s="15"/>
      <c r="I1028" s="15"/>
      <c r="J1028" s="15"/>
      <c r="K1028" s="15"/>
      <c r="Q1028" s="15"/>
    </row>
    <row r="1029" spans="1:17" x14ac:dyDescent="0.25">
      <c r="A1029" s="15"/>
      <c r="B1029" s="13" t="s">
        <v>426</v>
      </c>
      <c r="C1029" s="16">
        <v>0</v>
      </c>
      <c r="D1029" s="15">
        <v>0</v>
      </c>
      <c r="E1029" s="15"/>
      <c r="F1029" s="15"/>
      <c r="G1029" s="15"/>
      <c r="H1029" s="15"/>
      <c r="I1029" s="15"/>
      <c r="J1029" s="15"/>
      <c r="K1029" s="15"/>
      <c r="Q1029" s="15"/>
    </row>
    <row r="1030" spans="1:17" x14ac:dyDescent="0.25">
      <c r="A1030" s="15"/>
      <c r="B1030" s="13" t="s">
        <v>34</v>
      </c>
      <c r="C1030" s="16">
        <f>SUM(H369:H401)+SUM(H847:H850)+SUM(H852:H858)</f>
        <v>246</v>
      </c>
      <c r="D1030" s="15">
        <v>29</v>
      </c>
      <c r="E1030" s="15"/>
      <c r="F1030" s="15"/>
      <c r="G1030" s="15"/>
      <c r="H1030" s="15"/>
      <c r="I1030" s="15"/>
      <c r="J1030" s="15"/>
      <c r="K1030" s="15"/>
      <c r="Q1030" s="15"/>
    </row>
    <row r="1031" spans="1:17" x14ac:dyDescent="0.25">
      <c r="A1031" s="15"/>
      <c r="B1031" s="13" t="s">
        <v>99</v>
      </c>
      <c r="C1031" s="16">
        <f>SUM(H402:H406)+SUM(H860:H861)</f>
        <v>23</v>
      </c>
      <c r="D1031" s="15">
        <v>4</v>
      </c>
      <c r="E1031" s="15"/>
      <c r="F1031" s="15"/>
      <c r="G1031" s="15"/>
      <c r="H1031" s="15"/>
      <c r="I1031" s="15"/>
      <c r="J1031" s="15"/>
      <c r="K1031" s="15"/>
      <c r="Q1031" s="15"/>
    </row>
    <row r="1032" spans="1:17" x14ac:dyDescent="0.25">
      <c r="A1032" s="15"/>
      <c r="B1032" s="13" t="s">
        <v>3857</v>
      </c>
      <c r="C1032" s="16">
        <f>SUM(H862:H863)</f>
        <v>4</v>
      </c>
      <c r="D1032" s="15">
        <v>0</v>
      </c>
      <c r="E1032" s="15"/>
      <c r="F1032" s="15"/>
      <c r="G1032" s="15"/>
      <c r="H1032" s="15"/>
      <c r="I1032" s="15"/>
      <c r="J1032" s="15"/>
      <c r="K1032" s="15"/>
      <c r="Q1032" s="15"/>
    </row>
    <row r="1033" spans="1:17" x14ac:dyDescent="0.25">
      <c r="A1033" s="15"/>
      <c r="B1033" s="13" t="s">
        <v>170</v>
      </c>
      <c r="C1033" s="16">
        <f>SUM(H407:H414)+SUM(H864:H865)</f>
        <v>38</v>
      </c>
      <c r="D1033" s="15">
        <v>8</v>
      </c>
      <c r="E1033" s="15"/>
      <c r="F1033" s="15"/>
      <c r="G1033" s="15"/>
      <c r="H1033" s="15"/>
      <c r="I1033" s="15"/>
      <c r="J1033" s="15"/>
      <c r="K1033" s="15"/>
      <c r="Q1033" s="15"/>
    </row>
    <row r="1034" spans="1:17" x14ac:dyDescent="0.25">
      <c r="A1034" s="15"/>
      <c r="B1034" s="13" t="s">
        <v>1694</v>
      </c>
      <c r="C1034" s="16">
        <v>0</v>
      </c>
      <c r="D1034" s="15">
        <v>0</v>
      </c>
      <c r="E1034" s="15"/>
      <c r="F1034" s="15"/>
      <c r="G1034" s="15"/>
      <c r="H1034" s="15"/>
      <c r="I1034" s="15"/>
      <c r="J1034" s="15"/>
      <c r="K1034" s="15"/>
      <c r="Q1034" s="15"/>
    </row>
    <row r="1035" spans="1:17" x14ac:dyDescent="0.25">
      <c r="A1035" s="15"/>
      <c r="B1035" s="13" t="s">
        <v>1031</v>
      </c>
      <c r="C1035" s="16">
        <f>H866</f>
        <v>1</v>
      </c>
      <c r="D1035" s="15">
        <v>0</v>
      </c>
      <c r="E1035" s="15"/>
      <c r="F1035" s="15"/>
      <c r="G1035" s="15"/>
      <c r="H1035" s="15"/>
      <c r="I1035" s="15"/>
      <c r="J1035" s="15"/>
      <c r="K1035" s="15"/>
      <c r="Q1035" s="15"/>
    </row>
    <row r="1036" spans="1:17" x14ac:dyDescent="0.25">
      <c r="A1036" s="15"/>
      <c r="B1036" s="13" t="s">
        <v>319</v>
      </c>
      <c r="C1036" s="16">
        <f>SUM(H415:H434)+SUM(H867:H870)</f>
        <v>62</v>
      </c>
      <c r="D1036" s="15">
        <v>19</v>
      </c>
      <c r="E1036" s="15"/>
      <c r="F1036" s="15"/>
      <c r="G1036" s="15"/>
      <c r="H1036" s="15"/>
      <c r="I1036" s="15"/>
      <c r="J1036" s="15"/>
      <c r="K1036" s="15"/>
      <c r="Q1036" s="15"/>
    </row>
    <row r="1037" spans="1:17" x14ac:dyDescent="0.25">
      <c r="A1037" s="15"/>
      <c r="B1037" s="13" t="s">
        <v>1606</v>
      </c>
      <c r="C1037" s="16">
        <v>0</v>
      </c>
      <c r="D1037" s="15">
        <v>0</v>
      </c>
      <c r="E1037" s="15"/>
      <c r="F1037" s="15"/>
      <c r="G1037" s="15"/>
      <c r="H1037" s="15"/>
      <c r="I1037" s="15"/>
      <c r="J1037" s="15"/>
      <c r="K1037" s="15"/>
      <c r="Q1037" s="15"/>
    </row>
    <row r="1038" spans="1:17" x14ac:dyDescent="0.25">
      <c r="A1038" s="15"/>
      <c r="B1038" s="13" t="s">
        <v>1610</v>
      </c>
      <c r="C1038" s="16">
        <v>0</v>
      </c>
      <c r="D1038" s="15">
        <v>0</v>
      </c>
      <c r="E1038" s="15"/>
      <c r="F1038" s="15"/>
      <c r="G1038" s="15"/>
      <c r="H1038" s="15"/>
      <c r="I1038" s="15"/>
      <c r="J1038" s="15"/>
      <c r="K1038" s="15"/>
      <c r="Q1038" s="15"/>
    </row>
    <row r="1039" spans="1:17" x14ac:dyDescent="0.25">
      <c r="A1039" s="15"/>
      <c r="B1039" s="13" t="s">
        <v>709</v>
      </c>
      <c r="C1039" s="16">
        <v>0</v>
      </c>
      <c r="D1039" s="15">
        <v>0</v>
      </c>
      <c r="E1039" s="15"/>
      <c r="F1039" s="15"/>
      <c r="G1039" s="15"/>
      <c r="H1039" s="15"/>
      <c r="I1039" s="15"/>
      <c r="J1039" s="15"/>
      <c r="K1039" s="15"/>
      <c r="Q1039" s="15"/>
    </row>
    <row r="1040" spans="1:17" x14ac:dyDescent="0.25">
      <c r="A1040" s="15"/>
      <c r="B1040" s="13" t="s">
        <v>743</v>
      </c>
      <c r="C1040" s="16">
        <f>SUM(H435:H436)+H871</f>
        <v>4</v>
      </c>
      <c r="D1040" s="15">
        <v>2</v>
      </c>
      <c r="E1040" s="15"/>
      <c r="F1040" s="15"/>
      <c r="G1040" s="15"/>
      <c r="H1040" s="15"/>
      <c r="I1040" s="15"/>
      <c r="J1040" s="15"/>
      <c r="K1040" s="15"/>
      <c r="Q1040" s="15"/>
    </row>
    <row r="1041" spans="1:17" x14ac:dyDescent="0.25">
      <c r="A1041" s="15"/>
      <c r="B1041" s="13" t="s">
        <v>167</v>
      </c>
      <c r="C1041" s="16">
        <f>SUM(H437:H440)+SUM(H872:H873)</f>
        <v>15</v>
      </c>
      <c r="D1041" s="15">
        <v>4</v>
      </c>
      <c r="E1041" s="15"/>
      <c r="F1041" s="15"/>
      <c r="G1041" s="15"/>
      <c r="H1041" s="15"/>
      <c r="I1041" s="15"/>
      <c r="J1041" s="15"/>
      <c r="K1041" s="15"/>
      <c r="Q1041" s="15"/>
    </row>
    <row r="1042" spans="1:17" x14ac:dyDescent="0.25">
      <c r="A1042" s="15"/>
      <c r="B1042" s="13" t="s">
        <v>522</v>
      </c>
      <c r="C1042" s="16">
        <f>H874</f>
        <v>1</v>
      </c>
      <c r="D1042" s="15">
        <v>0</v>
      </c>
      <c r="E1042" s="15"/>
      <c r="F1042" s="15"/>
      <c r="G1042" s="15"/>
      <c r="H1042" s="15"/>
      <c r="I1042" s="15"/>
      <c r="J1042" s="15"/>
      <c r="K1042" s="15"/>
      <c r="Q1042" s="15"/>
    </row>
    <row r="1043" spans="1:17" x14ac:dyDescent="0.25">
      <c r="A1043" s="15"/>
      <c r="B1043" s="13" t="s">
        <v>1594</v>
      </c>
      <c r="C1043" s="16">
        <f>H441+H875</f>
        <v>7</v>
      </c>
      <c r="D1043" s="15">
        <v>1</v>
      </c>
      <c r="E1043" s="15"/>
      <c r="F1043" s="15"/>
      <c r="G1043" s="15"/>
      <c r="H1043" s="15"/>
      <c r="I1043" s="15"/>
      <c r="J1043" s="15"/>
      <c r="K1043" s="15"/>
      <c r="Q1043" s="15"/>
    </row>
    <row r="1044" spans="1:17" x14ac:dyDescent="0.25">
      <c r="A1044" s="15"/>
      <c r="B1044" s="13" t="s">
        <v>1347</v>
      </c>
      <c r="D1044" s="15"/>
      <c r="E1044" s="15"/>
      <c r="F1044" s="15"/>
      <c r="G1044" s="15"/>
      <c r="H1044" s="15"/>
      <c r="I1044" s="15"/>
      <c r="J1044" s="15"/>
      <c r="K1044" s="15"/>
      <c r="Q1044" s="15"/>
    </row>
    <row r="1045" spans="1:17" x14ac:dyDescent="0.25">
      <c r="A1045" s="15"/>
      <c r="B1045" s="12" t="s">
        <v>35</v>
      </c>
      <c r="C1045" s="16">
        <f>SUM(C1046:C1050)+H597+H781+SUM(H783:H784)/2+SUM(H786:H789)+H795+SUM(H806:H807)+SUM(H808/2)+SUM(H877/2)</f>
        <v>818</v>
      </c>
      <c r="D1045" s="15"/>
      <c r="E1045" s="15"/>
      <c r="F1045" s="15"/>
      <c r="G1045" s="15"/>
      <c r="H1045" s="15"/>
      <c r="I1045" s="15"/>
      <c r="J1045" s="15"/>
      <c r="K1045" s="15"/>
      <c r="Q1045" s="15"/>
    </row>
    <row r="1046" spans="1:17" x14ac:dyDescent="0.25">
      <c r="A1046" s="15"/>
      <c r="B1046" s="13" t="s">
        <v>667</v>
      </c>
      <c r="C1046" s="16">
        <f>H791+SUM(H798:H799)/2+H801+SUM(H802/2)+SUM(H805/2)+C1013+C1018+C1025+C1030+C1031+C1035+C1036+C1040</f>
        <v>468.5</v>
      </c>
      <c r="D1046" s="15"/>
      <c r="E1046" s="15"/>
      <c r="F1046" s="15"/>
      <c r="G1046" s="15"/>
      <c r="H1046" s="15"/>
      <c r="I1046" s="15"/>
      <c r="J1046" s="15"/>
      <c r="K1046" s="15"/>
      <c r="Q1046" s="15"/>
    </row>
    <row r="1047" spans="1:17" x14ac:dyDescent="0.25">
      <c r="A1047" s="15"/>
      <c r="B1047" s="13" t="s">
        <v>668</v>
      </c>
      <c r="C1047" s="16">
        <f>SUM(H800/2)+H804+C1017+C1019+C1032</f>
        <v>64.5</v>
      </c>
      <c r="D1047" s="15"/>
      <c r="E1047" s="15"/>
      <c r="F1047" s="15"/>
      <c r="G1047" s="15"/>
      <c r="H1047" s="15"/>
      <c r="I1047" s="15"/>
      <c r="J1047" s="15"/>
      <c r="K1047" s="15"/>
      <c r="Q1047" s="15"/>
    </row>
    <row r="1048" spans="1:17" x14ac:dyDescent="0.25">
      <c r="A1048" s="15"/>
      <c r="B1048" s="13" t="s">
        <v>669</v>
      </c>
      <c r="C1048" s="16">
        <f>H797+SUM(H798:H799)/2+SUM(H802/2)+H803+C1014+C1022+C1024+C1027+C1041</f>
        <v>87</v>
      </c>
      <c r="D1048" s="15"/>
      <c r="E1048" s="15"/>
      <c r="F1048" s="15"/>
      <c r="G1048" s="15"/>
      <c r="H1048" s="15"/>
      <c r="I1048" s="15"/>
      <c r="J1048" s="15"/>
      <c r="K1048" s="15"/>
      <c r="Q1048" s="15"/>
    </row>
    <row r="1049" spans="1:17" x14ac:dyDescent="0.25">
      <c r="A1049" s="15"/>
      <c r="B1049" s="13" t="s">
        <v>670</v>
      </c>
      <c r="C1049" s="16">
        <f>SUM(H792:H794)+H796+SUM(H800/2)+SUM(H805/2)+C1015+C1026+C1016+C1042</f>
        <v>60</v>
      </c>
      <c r="D1049" s="15"/>
      <c r="E1049" s="15"/>
      <c r="F1049" s="15"/>
      <c r="G1049" s="15"/>
      <c r="H1049" s="15"/>
      <c r="I1049" s="15"/>
      <c r="J1049" s="15"/>
      <c r="K1049" s="15"/>
      <c r="Q1049" s="15"/>
    </row>
    <row r="1050" spans="1:17" x14ac:dyDescent="0.25">
      <c r="A1050" s="15"/>
      <c r="B1050" s="13" t="s">
        <v>666</v>
      </c>
      <c r="C1050" s="16">
        <f>C1020+C1033+C1043</f>
        <v>47</v>
      </c>
      <c r="D1050" s="15"/>
      <c r="E1050" s="15"/>
      <c r="F1050" s="15"/>
      <c r="G1050" s="15"/>
      <c r="H1050" s="15"/>
      <c r="I1050" s="15"/>
      <c r="J1050" s="15"/>
      <c r="K1050" s="15"/>
      <c r="Q1050" s="15"/>
    </row>
    <row r="1051" spans="1:17" x14ac:dyDescent="0.25">
      <c r="A1051" s="15"/>
      <c r="D1051" s="15"/>
      <c r="E1051" s="15"/>
      <c r="F1051" s="15"/>
      <c r="G1051" s="15"/>
      <c r="H1051" s="15"/>
      <c r="I1051" s="15"/>
      <c r="J1051" s="15"/>
      <c r="K1051" s="15"/>
      <c r="Q1051" s="15"/>
    </row>
    <row r="1052" spans="1:17" x14ac:dyDescent="0.25">
      <c r="A1052" s="15"/>
      <c r="B1052" s="13" t="s">
        <v>163</v>
      </c>
      <c r="C1052" s="16">
        <f>H442+H766</f>
        <v>2</v>
      </c>
      <c r="D1052" s="15">
        <v>1</v>
      </c>
      <c r="E1052" s="15"/>
      <c r="F1052" s="15"/>
      <c r="G1052" s="15"/>
      <c r="H1052" s="15"/>
      <c r="I1052" s="15"/>
      <c r="J1052" s="15"/>
      <c r="K1052" s="15"/>
      <c r="Q1052" s="15"/>
    </row>
    <row r="1053" spans="1:17" x14ac:dyDescent="0.25">
      <c r="A1053" s="15"/>
      <c r="B1053" s="13" t="s">
        <v>186</v>
      </c>
      <c r="C1053" s="16">
        <f>SUM(H780/2)</f>
        <v>0.5</v>
      </c>
      <c r="D1053" s="15">
        <v>0</v>
      </c>
      <c r="E1053" s="15"/>
      <c r="F1053" s="15"/>
      <c r="G1053" s="15"/>
      <c r="H1053" s="15"/>
      <c r="I1053" s="15"/>
      <c r="J1053" s="15"/>
      <c r="K1053" s="15"/>
      <c r="Q1053" s="15"/>
    </row>
    <row r="1054" spans="1:17" x14ac:dyDescent="0.25">
      <c r="A1054" s="15"/>
      <c r="B1054" s="13" t="s">
        <v>55</v>
      </c>
      <c r="C1054" s="16">
        <f>SUM(H443:H454)+H767</f>
        <v>21</v>
      </c>
      <c r="D1054" s="15">
        <v>10</v>
      </c>
      <c r="E1054" s="15"/>
      <c r="F1054" s="15"/>
      <c r="G1054" s="15"/>
      <c r="H1054" s="15"/>
      <c r="I1054" s="15"/>
      <c r="J1054" s="15"/>
      <c r="K1054" s="15"/>
      <c r="Q1054" s="15"/>
    </row>
    <row r="1055" spans="1:17" x14ac:dyDescent="0.25">
      <c r="A1055" s="15"/>
      <c r="B1055" s="13" t="s">
        <v>593</v>
      </c>
      <c r="C1055" s="16">
        <f>SUM(H455:H459)+SUM(H768:H769)</f>
        <v>16</v>
      </c>
      <c r="D1055" s="15">
        <v>5</v>
      </c>
      <c r="E1055" s="15"/>
      <c r="F1055" s="15"/>
      <c r="G1055" s="15"/>
      <c r="H1055" s="15"/>
      <c r="I1055" s="15"/>
      <c r="J1055" s="15"/>
      <c r="K1055" s="15"/>
      <c r="Q1055" s="15"/>
    </row>
    <row r="1056" spans="1:17" x14ac:dyDescent="0.25">
      <c r="A1056" s="15"/>
      <c r="B1056" s="13" t="s">
        <v>4100</v>
      </c>
      <c r="C1056" s="16">
        <f>H770</f>
        <v>1</v>
      </c>
      <c r="D1056" s="15">
        <v>0</v>
      </c>
      <c r="E1056" s="15"/>
      <c r="F1056" s="15"/>
      <c r="G1056" s="15"/>
      <c r="H1056" s="15"/>
      <c r="I1056" s="15"/>
      <c r="J1056" s="15"/>
      <c r="K1056" s="15"/>
      <c r="Q1056" s="15"/>
    </row>
    <row r="1057" spans="1:17" x14ac:dyDescent="0.25">
      <c r="A1057" s="15"/>
      <c r="B1057" s="13" t="s">
        <v>161</v>
      </c>
      <c r="C1057" s="16">
        <f>SUM(H460:H472)+SUM(H771:H774)+SUM(H780/2)</f>
        <v>50.5</v>
      </c>
      <c r="D1057" s="15">
        <v>11</v>
      </c>
      <c r="E1057" s="15"/>
      <c r="F1057" s="15"/>
      <c r="G1057" s="15"/>
      <c r="H1057" s="15"/>
      <c r="I1057" s="15"/>
      <c r="J1057" s="15"/>
      <c r="K1057" s="15"/>
      <c r="Q1057" s="15"/>
    </row>
    <row r="1058" spans="1:17" x14ac:dyDescent="0.25">
      <c r="A1058" s="15"/>
      <c r="B1058" s="13" t="s">
        <v>66</v>
      </c>
      <c r="C1058" s="16">
        <f>SUM(H473:H488)+SUM(H775:H779)</f>
        <v>45</v>
      </c>
      <c r="D1058" s="15">
        <v>14</v>
      </c>
      <c r="E1058" s="15"/>
      <c r="F1058" s="15"/>
      <c r="G1058" s="15"/>
      <c r="H1058" s="15"/>
      <c r="I1058" s="15"/>
      <c r="J1058" s="15"/>
      <c r="K1058" s="15"/>
      <c r="Q1058" s="15"/>
    </row>
    <row r="1059" spans="1:17" x14ac:dyDescent="0.25">
      <c r="A1059" s="15"/>
      <c r="B1059" s="13" t="s">
        <v>1347</v>
      </c>
      <c r="D1059" s="15"/>
      <c r="E1059" s="15"/>
      <c r="F1059" s="15"/>
      <c r="G1059" s="15"/>
      <c r="H1059" s="15"/>
      <c r="I1059" s="15"/>
      <c r="J1059" s="15"/>
      <c r="K1059" s="15"/>
      <c r="Q1059" s="15"/>
    </row>
    <row r="1060" spans="1:17" x14ac:dyDescent="0.25">
      <c r="A1060" s="15"/>
      <c r="B1060" s="12" t="s">
        <v>56</v>
      </c>
      <c r="C1060" s="16">
        <f>SUM(C1061:C1065)+SUM(H753:H755)/2+H756</f>
        <v>217</v>
      </c>
      <c r="D1060" s="15"/>
      <c r="E1060" s="15"/>
      <c r="F1060" s="15"/>
      <c r="G1060" s="15"/>
      <c r="H1060" s="15"/>
      <c r="I1060" s="15"/>
      <c r="J1060" s="15"/>
      <c r="K1060" s="15"/>
      <c r="Q1060" s="15"/>
    </row>
    <row r="1061" spans="1:17" x14ac:dyDescent="0.25">
      <c r="A1061" s="15"/>
      <c r="B1061" s="13" t="s">
        <v>663</v>
      </c>
      <c r="C1061" s="16">
        <f>SUM(H758/2)+SUM(H761/2)+SUM(C1052/2)+C1053</f>
        <v>5.5</v>
      </c>
      <c r="D1061" s="15"/>
      <c r="E1061" s="15"/>
      <c r="F1061" s="15"/>
      <c r="G1061" s="15"/>
      <c r="H1061" s="15"/>
      <c r="I1061" s="15"/>
      <c r="J1061" s="15"/>
      <c r="K1061" s="15"/>
      <c r="Q1061" s="15"/>
    </row>
    <row r="1062" spans="1:17" x14ac:dyDescent="0.25">
      <c r="A1062" s="15"/>
      <c r="B1062" s="13" t="s">
        <v>664</v>
      </c>
      <c r="C1062" s="16">
        <f>SUM(H761/2)+SUM(H762/2)+SUM(C1052/2)+C1057</f>
        <v>57.5</v>
      </c>
      <c r="D1062" s="15"/>
      <c r="E1062" s="15"/>
      <c r="F1062" s="15"/>
      <c r="G1062" s="15"/>
      <c r="H1062" s="15"/>
      <c r="I1062" s="15"/>
      <c r="J1062" s="15"/>
      <c r="K1062" s="15"/>
      <c r="Q1062" s="15"/>
    </row>
    <row r="1063" spans="1:17" x14ac:dyDescent="0.25">
      <c r="A1063" s="15"/>
      <c r="B1063" s="13" t="s">
        <v>271</v>
      </c>
      <c r="C1063" s="16">
        <f>SUM(H758/2)+SUM(H759/2)+C1055+C1056</f>
        <v>20.5</v>
      </c>
      <c r="D1063" s="15"/>
      <c r="E1063" s="15"/>
      <c r="F1063" s="15"/>
      <c r="G1063" s="15"/>
      <c r="H1063" s="15"/>
      <c r="I1063" s="15"/>
      <c r="J1063" s="15"/>
      <c r="K1063" s="15"/>
      <c r="Q1063" s="15"/>
    </row>
    <row r="1064" spans="1:17" x14ac:dyDescent="0.25">
      <c r="A1064" s="15"/>
      <c r="B1064" s="13" t="s">
        <v>144</v>
      </c>
      <c r="C1064" s="16">
        <f>SUM(H759/2)+H760+SUM(H762/2)+SUM(H763:H765)+C1054</f>
        <v>39.5</v>
      </c>
      <c r="D1064" s="15"/>
      <c r="E1064" s="15"/>
      <c r="F1064" s="15"/>
      <c r="G1064" s="15"/>
      <c r="H1064" s="15"/>
      <c r="I1064" s="15"/>
      <c r="J1064" s="15"/>
      <c r="K1064" s="15"/>
      <c r="Q1064" s="15"/>
    </row>
    <row r="1065" spans="1:17" x14ac:dyDescent="0.25">
      <c r="A1065" s="15"/>
      <c r="B1065" s="13" t="s">
        <v>666</v>
      </c>
      <c r="C1065" s="16">
        <f>H757+C1058</f>
        <v>46</v>
      </c>
      <c r="D1065" s="15"/>
      <c r="E1065" s="15"/>
      <c r="F1065" s="15"/>
      <c r="G1065" s="15"/>
      <c r="H1065" s="15"/>
      <c r="I1065" s="15"/>
      <c r="J1065" s="15"/>
      <c r="K1065" s="15"/>
      <c r="Q1065" s="15"/>
    </row>
    <row r="1066" spans="1:17" x14ac:dyDescent="0.25">
      <c r="A1066" s="15"/>
      <c r="D1066" s="15"/>
      <c r="E1066" s="15"/>
      <c r="F1066" s="15"/>
      <c r="G1066" s="15"/>
      <c r="H1066" s="15"/>
      <c r="I1066" s="15"/>
      <c r="J1066" s="15"/>
      <c r="K1066" s="15"/>
      <c r="Q1066" s="15"/>
    </row>
    <row r="1067" spans="1:17" x14ac:dyDescent="0.25">
      <c r="B1067" s="13" t="s">
        <v>778</v>
      </c>
      <c r="C1067" s="16">
        <f>SUM(H489:H500)+H881</f>
        <v>42</v>
      </c>
      <c r="D1067" s="15">
        <v>10</v>
      </c>
      <c r="E1067" s="15"/>
      <c r="F1067" s="15"/>
      <c r="G1067" s="15"/>
      <c r="H1067" s="15"/>
      <c r="I1067" s="15"/>
      <c r="J1067" s="15"/>
      <c r="K1067" s="15"/>
      <c r="Q1067" s="15"/>
    </row>
    <row r="1068" spans="1:17" x14ac:dyDescent="0.25">
      <c r="B1068" s="13" t="s">
        <v>1444</v>
      </c>
      <c r="C1068" s="16">
        <f>SUM(H501:H503)+H882</f>
        <v>6</v>
      </c>
      <c r="D1068" s="13">
        <v>3</v>
      </c>
      <c r="H1068" s="15"/>
      <c r="Q1068" s="15"/>
    </row>
    <row r="1069" spans="1:17" x14ac:dyDescent="0.25">
      <c r="B1069" s="13" t="s">
        <v>1631</v>
      </c>
      <c r="C1069" s="16">
        <f>H504+H893</f>
        <v>6</v>
      </c>
      <c r="D1069" s="13">
        <v>1</v>
      </c>
      <c r="H1069" s="15"/>
      <c r="Q1069" s="15"/>
    </row>
    <row r="1070" spans="1:17" x14ac:dyDescent="0.25">
      <c r="B1070" s="13" t="s">
        <v>1968</v>
      </c>
      <c r="C1070" s="16">
        <f>SUM(H505:H507)+H883</f>
        <v>7</v>
      </c>
      <c r="D1070" s="13">
        <v>3</v>
      </c>
      <c r="Q1070" s="15"/>
    </row>
    <row r="1071" spans="1:17" x14ac:dyDescent="0.25">
      <c r="B1071" s="13" t="s">
        <v>1099</v>
      </c>
      <c r="C1071" s="16">
        <f>SUM(H508:H512)+H884</f>
        <v>30</v>
      </c>
      <c r="D1071" s="13">
        <v>4</v>
      </c>
      <c r="Q1071" s="15"/>
    </row>
    <row r="1072" spans="1:17" x14ac:dyDescent="0.25">
      <c r="B1072" s="13" t="s">
        <v>2114</v>
      </c>
      <c r="C1072" s="16">
        <f>SUM(H513:H514)+H885</f>
        <v>4</v>
      </c>
      <c r="D1072" s="13">
        <v>2</v>
      </c>
      <c r="Q1072" s="15"/>
    </row>
    <row r="1073" spans="1:17" x14ac:dyDescent="0.25">
      <c r="B1073" s="13" t="s">
        <v>783</v>
      </c>
      <c r="C1073" s="16">
        <f>H907</f>
        <v>1</v>
      </c>
      <c r="D1073" s="13">
        <v>0</v>
      </c>
      <c r="Q1073" s="15"/>
    </row>
    <row r="1074" spans="1:17" x14ac:dyDescent="0.25">
      <c r="B1074" s="13" t="s">
        <v>1264</v>
      </c>
      <c r="C1074" s="16">
        <f>SUM(H515:H517)+H886</f>
        <v>8</v>
      </c>
      <c r="D1074" s="13">
        <v>3</v>
      </c>
      <c r="Q1074" s="15"/>
    </row>
    <row r="1075" spans="1:17" x14ac:dyDescent="0.25">
      <c r="B1075" s="13" t="s">
        <v>980</v>
      </c>
      <c r="C1075" s="16">
        <f>H518+H887</f>
        <v>2</v>
      </c>
      <c r="D1075" s="13">
        <v>1</v>
      </c>
      <c r="Q1075" s="15"/>
    </row>
    <row r="1076" spans="1:17" x14ac:dyDescent="0.25">
      <c r="B1076" s="13" t="s">
        <v>1157</v>
      </c>
      <c r="C1076" s="16">
        <f>SUM(H519:H520)+H888+H894</f>
        <v>9</v>
      </c>
      <c r="D1076" s="13">
        <v>2</v>
      </c>
      <c r="Q1076" s="15"/>
    </row>
    <row r="1077" spans="1:17" x14ac:dyDescent="0.25">
      <c r="B1077" s="13" t="s">
        <v>3757</v>
      </c>
      <c r="C1077" s="16">
        <f>H895</f>
        <v>1</v>
      </c>
      <c r="D1077" s="13">
        <v>0</v>
      </c>
      <c r="Q1077" s="15"/>
    </row>
    <row r="1078" spans="1:17" x14ac:dyDescent="0.25">
      <c r="B1078" s="13" t="s">
        <v>1248</v>
      </c>
      <c r="C1078" s="16">
        <f>SUM(H521:H523)+SUM(H896:H897)</f>
        <v>10</v>
      </c>
      <c r="D1078" s="13">
        <v>3</v>
      </c>
      <c r="Q1078" s="15"/>
    </row>
    <row r="1079" spans="1:17" x14ac:dyDescent="0.25">
      <c r="B1079" s="13" t="s">
        <v>1688</v>
      </c>
      <c r="C1079" s="16">
        <f>SUM(H524:H525)+H898</f>
        <v>6</v>
      </c>
      <c r="D1079" s="13">
        <v>2</v>
      </c>
      <c r="Q1079" s="15"/>
    </row>
    <row r="1080" spans="1:17" x14ac:dyDescent="0.25">
      <c r="B1080" s="13" t="s">
        <v>793</v>
      </c>
      <c r="C1080" s="16">
        <f>SUM(H526:H531)+H899</f>
        <v>15</v>
      </c>
      <c r="D1080" s="13">
        <v>6</v>
      </c>
      <c r="Q1080" s="15"/>
    </row>
    <row r="1081" spans="1:17" x14ac:dyDescent="0.25">
      <c r="B1081" s="13" t="s">
        <v>1666</v>
      </c>
      <c r="C1081" s="16">
        <f>H532+H900</f>
        <v>4</v>
      </c>
      <c r="D1081" s="13">
        <v>1</v>
      </c>
      <c r="Q1081" s="15"/>
    </row>
    <row r="1082" spans="1:17" x14ac:dyDescent="0.25">
      <c r="B1082" s="13" t="s">
        <v>878</v>
      </c>
      <c r="C1082" s="16">
        <f>SUM(H533:H534)+H901</f>
        <v>7</v>
      </c>
      <c r="D1082" s="13">
        <v>2</v>
      </c>
      <c r="Q1082" s="15"/>
    </row>
    <row r="1083" spans="1:17" x14ac:dyDescent="0.25">
      <c r="B1083" s="13" t="s">
        <v>1977</v>
      </c>
      <c r="C1083" s="16">
        <f>H535+H902</f>
        <v>2</v>
      </c>
      <c r="D1083" s="13">
        <v>1</v>
      </c>
      <c r="Q1083" s="15"/>
    </row>
    <row r="1084" spans="1:17" x14ac:dyDescent="0.25">
      <c r="A1084" s="15"/>
      <c r="B1084" s="13" t="s">
        <v>2120</v>
      </c>
      <c r="C1084" s="16">
        <v>0</v>
      </c>
      <c r="D1084" s="13">
        <v>0</v>
      </c>
      <c r="Q1084" s="15"/>
    </row>
    <row r="1085" spans="1:17" x14ac:dyDescent="0.25">
      <c r="A1085" s="15"/>
      <c r="B1085" s="13" t="s">
        <v>3759</v>
      </c>
      <c r="C1085" s="16">
        <f>H903</f>
        <v>1</v>
      </c>
      <c r="D1085" s="13">
        <v>0</v>
      </c>
      <c r="Q1085" s="15"/>
    </row>
    <row r="1086" spans="1:17" x14ac:dyDescent="0.25">
      <c r="A1086" s="15"/>
      <c r="B1086" s="13" t="s">
        <v>1691</v>
      </c>
      <c r="C1086" s="16">
        <v>0</v>
      </c>
      <c r="D1086" s="15">
        <v>0</v>
      </c>
      <c r="E1086" s="15"/>
      <c r="F1086" s="15"/>
      <c r="G1086" s="15"/>
      <c r="H1086" s="15"/>
      <c r="I1086" s="15"/>
      <c r="J1086" s="15"/>
      <c r="K1086" s="15"/>
      <c r="Q1086" s="15"/>
    </row>
    <row r="1087" spans="1:17" x14ac:dyDescent="0.25">
      <c r="A1087" s="15"/>
      <c r="B1087" s="13" t="s">
        <v>804</v>
      </c>
      <c r="C1087" s="16">
        <f>SUM(H536:H549)+SUM(H904:H905)</f>
        <v>35</v>
      </c>
      <c r="D1087" s="15">
        <v>3</v>
      </c>
      <c r="E1087" s="15"/>
      <c r="F1087" s="15"/>
      <c r="G1087" s="15"/>
      <c r="H1087" s="15"/>
      <c r="I1087" s="15"/>
      <c r="J1087" s="15"/>
      <c r="K1087" s="15"/>
      <c r="Q1087" s="15"/>
    </row>
    <row r="1088" spans="1:17" x14ac:dyDescent="0.25">
      <c r="A1088" s="15" t="s">
        <v>2457</v>
      </c>
      <c r="B1088" s="13" t="s">
        <v>2456</v>
      </c>
      <c r="C1088" s="16">
        <f>SUM(H550:H551)+H906</f>
        <v>5</v>
      </c>
      <c r="D1088" s="15">
        <v>2</v>
      </c>
      <c r="E1088" s="15"/>
      <c r="F1088" s="15"/>
      <c r="G1088" s="15"/>
      <c r="H1088" s="15"/>
      <c r="I1088" s="15"/>
      <c r="J1088" s="15"/>
      <c r="K1088" s="15"/>
      <c r="Q1088" s="15"/>
    </row>
    <row r="1089" spans="1:17" x14ac:dyDescent="0.25">
      <c r="A1089" s="15"/>
      <c r="B1089" s="13" t="s">
        <v>984</v>
      </c>
      <c r="C1089" s="16">
        <f>H552+SUM(H908:H909)</f>
        <v>4</v>
      </c>
      <c r="D1089" s="15">
        <v>1</v>
      </c>
      <c r="E1089" s="15"/>
      <c r="F1089" s="15"/>
      <c r="G1089" s="15"/>
      <c r="H1089" s="15"/>
      <c r="I1089" s="15"/>
      <c r="J1089" s="15"/>
      <c r="K1089" s="15"/>
      <c r="Q1089" s="15"/>
    </row>
    <row r="1090" spans="1:17" x14ac:dyDescent="0.25">
      <c r="A1090" s="15"/>
      <c r="B1090" s="13" t="s">
        <v>785</v>
      </c>
      <c r="C1090" s="16">
        <f>SUM(H553:H556)+SUM(H910:H912)</f>
        <v>27</v>
      </c>
      <c r="D1090" s="15">
        <v>3</v>
      </c>
      <c r="E1090" s="15"/>
      <c r="F1090" s="15"/>
      <c r="G1090" s="15"/>
      <c r="H1090" s="15"/>
      <c r="I1090" s="15"/>
      <c r="J1090" s="15"/>
      <c r="K1090" s="15"/>
      <c r="Q1090" s="15"/>
    </row>
    <row r="1091" spans="1:17" x14ac:dyDescent="0.25">
      <c r="A1091" s="15"/>
      <c r="B1091" s="13" t="s">
        <v>795</v>
      </c>
      <c r="C1091" s="16">
        <f>SUM(H557:H575)+SUM(H913:H921)</f>
        <v>146</v>
      </c>
      <c r="D1091" s="15">
        <v>10</v>
      </c>
      <c r="E1091" s="15"/>
      <c r="F1091" s="15"/>
      <c r="G1091" s="15"/>
      <c r="H1091" s="15"/>
      <c r="I1091" s="15"/>
      <c r="J1091" s="15"/>
      <c r="K1091" s="15"/>
      <c r="Q1091" s="15"/>
    </row>
    <row r="1092" spans="1:17" x14ac:dyDescent="0.25">
      <c r="A1092" s="15"/>
      <c r="B1092" s="13" t="s">
        <v>989</v>
      </c>
      <c r="C1092" s="16">
        <f>H922</f>
        <v>3</v>
      </c>
      <c r="D1092" s="15">
        <v>0</v>
      </c>
      <c r="E1092" s="15"/>
      <c r="F1092" s="15"/>
      <c r="G1092" s="15"/>
      <c r="H1092" s="15"/>
      <c r="I1092" s="15"/>
      <c r="J1092" s="15"/>
      <c r="K1092" s="15"/>
      <c r="Q1092" s="15"/>
    </row>
    <row r="1093" spans="1:17" x14ac:dyDescent="0.25">
      <c r="A1093" s="15"/>
      <c r="B1093" s="13" t="s">
        <v>1671</v>
      </c>
      <c r="C1093" s="16">
        <f>H923</f>
        <v>1</v>
      </c>
      <c r="D1093" s="15">
        <v>0</v>
      </c>
      <c r="E1093" s="15"/>
      <c r="F1093" s="15"/>
      <c r="G1093" s="15"/>
      <c r="H1093" s="15"/>
      <c r="I1093" s="15"/>
      <c r="J1093" s="15"/>
      <c r="K1093" s="15"/>
      <c r="Q1093" s="15"/>
    </row>
    <row r="1094" spans="1:17" x14ac:dyDescent="0.25">
      <c r="A1094" s="15"/>
      <c r="B1094" s="13" t="s">
        <v>1677</v>
      </c>
      <c r="C1094" s="16">
        <v>0</v>
      </c>
      <c r="D1094" s="15">
        <v>0</v>
      </c>
      <c r="E1094" s="15"/>
      <c r="F1094" s="15"/>
      <c r="G1094" s="15"/>
      <c r="H1094" s="15"/>
      <c r="I1094" s="15"/>
      <c r="J1094" s="15"/>
      <c r="K1094" s="15"/>
      <c r="Q1094" s="15"/>
    </row>
    <row r="1095" spans="1:17" x14ac:dyDescent="0.25">
      <c r="A1095" s="15"/>
      <c r="B1095" s="13" t="s">
        <v>4076</v>
      </c>
      <c r="C1095" s="16">
        <f>H576+H924</f>
        <v>4</v>
      </c>
      <c r="D1095" s="15">
        <v>1</v>
      </c>
      <c r="E1095" s="15"/>
      <c r="F1095" s="15"/>
      <c r="G1095" s="15"/>
      <c r="H1095" s="15"/>
      <c r="I1095" s="15"/>
      <c r="J1095" s="15"/>
      <c r="K1095" s="15"/>
      <c r="Q1095" s="15"/>
    </row>
    <row r="1096" spans="1:17" x14ac:dyDescent="0.25">
      <c r="A1096" s="15"/>
      <c r="B1096" s="13" t="s">
        <v>772</v>
      </c>
      <c r="C1096" s="16">
        <f>SUM(H577:H584)+SUM(H925:H928)</f>
        <v>53</v>
      </c>
      <c r="D1096" s="15">
        <v>6</v>
      </c>
      <c r="E1096" s="15"/>
      <c r="F1096" s="15"/>
      <c r="G1096" s="15"/>
      <c r="H1096" s="15"/>
      <c r="I1096" s="15"/>
      <c r="J1096" s="15"/>
      <c r="K1096" s="15"/>
      <c r="Q1096" s="15"/>
    </row>
    <row r="1097" spans="1:17" x14ac:dyDescent="0.25">
      <c r="A1097" s="15"/>
      <c r="B1097" s="13" t="s">
        <v>1245</v>
      </c>
      <c r="C1097" s="16">
        <f>SUM(H585:H586)+H929</f>
        <v>11</v>
      </c>
      <c r="D1097" s="15">
        <v>2</v>
      </c>
      <c r="E1097" s="15"/>
      <c r="F1097" s="15"/>
      <c r="G1097" s="15"/>
      <c r="H1097" s="15"/>
      <c r="I1097" s="15"/>
      <c r="J1097" s="15"/>
      <c r="K1097" s="15"/>
      <c r="Q1097" s="15"/>
    </row>
    <row r="1098" spans="1:17" x14ac:dyDescent="0.25">
      <c r="A1098" s="15"/>
      <c r="B1098" s="13" t="s">
        <v>789</v>
      </c>
      <c r="C1098" s="16">
        <f>SUM(H587:H588)+H930</f>
        <v>10</v>
      </c>
      <c r="D1098" s="15">
        <v>2</v>
      </c>
      <c r="E1098" s="15"/>
      <c r="F1098" s="15"/>
      <c r="G1098" s="15"/>
      <c r="H1098" s="15"/>
      <c r="I1098" s="15"/>
      <c r="J1098" s="15"/>
      <c r="K1098" s="15"/>
      <c r="Q1098" s="15"/>
    </row>
    <row r="1099" spans="1:17" x14ac:dyDescent="0.25">
      <c r="A1099" s="15"/>
      <c r="B1099" s="13" t="s">
        <v>3861</v>
      </c>
      <c r="C1099" s="16">
        <f>H931</f>
        <v>1</v>
      </c>
      <c r="D1099" s="15">
        <v>0</v>
      </c>
      <c r="E1099" s="15"/>
      <c r="F1099" s="15"/>
      <c r="G1099" s="15"/>
      <c r="H1099" s="15"/>
      <c r="I1099" s="15"/>
      <c r="J1099" s="15"/>
      <c r="K1099" s="15"/>
      <c r="Q1099" s="15"/>
    </row>
    <row r="1100" spans="1:17" x14ac:dyDescent="0.25">
      <c r="A1100" s="15"/>
      <c r="B1100" s="13" t="s">
        <v>875</v>
      </c>
      <c r="C1100" s="16">
        <f>H943</f>
        <v>1</v>
      </c>
      <c r="D1100" s="15">
        <v>0</v>
      </c>
      <c r="E1100" s="15"/>
      <c r="F1100" s="15"/>
      <c r="G1100" s="15"/>
      <c r="H1100" s="15"/>
      <c r="I1100" s="15"/>
      <c r="J1100" s="15"/>
      <c r="K1100" s="15"/>
      <c r="Q1100" s="15"/>
    </row>
    <row r="1101" spans="1:17" x14ac:dyDescent="0.25">
      <c r="A1101" s="15"/>
      <c r="B1101" s="13" t="s">
        <v>1347</v>
      </c>
      <c r="D1101" s="15"/>
      <c r="E1101" s="15"/>
      <c r="F1101" s="15"/>
      <c r="G1101" s="15"/>
      <c r="H1101" s="15"/>
      <c r="I1101" s="15"/>
      <c r="J1101" s="15"/>
      <c r="K1101" s="15"/>
      <c r="Q1101" s="15"/>
    </row>
    <row r="1102" spans="1:17" x14ac:dyDescent="0.25">
      <c r="A1102" s="15"/>
      <c r="B1102" s="12" t="s">
        <v>771</v>
      </c>
      <c r="C1102" s="16">
        <f>C1103+C1109+SUM(H808/2)+H876+SUM(H877/2)+SUM(H889:H891)+H942</f>
        <v>601</v>
      </c>
      <c r="D1102" s="15"/>
      <c r="E1102" s="15"/>
      <c r="F1102" s="15"/>
      <c r="G1102" s="15"/>
      <c r="H1102" s="15"/>
      <c r="I1102" s="15"/>
      <c r="J1102" s="15"/>
      <c r="K1102" s="15"/>
      <c r="Q1102" s="15"/>
    </row>
    <row r="1103" spans="1:17" x14ac:dyDescent="0.25">
      <c r="A1103" s="15"/>
      <c r="B1103" s="13" t="s">
        <v>2251</v>
      </c>
      <c r="C1103" s="16">
        <f>SUM(H878:H880)+SUM(H936/3)+SUM(C1067:C1074)</f>
        <v>122</v>
      </c>
      <c r="D1103" s="15"/>
      <c r="E1103" s="15"/>
      <c r="F1103" s="15"/>
      <c r="G1103" s="15"/>
      <c r="H1103" s="15"/>
      <c r="I1103" s="15"/>
      <c r="J1103" s="15"/>
      <c r="K1103" s="15"/>
      <c r="Q1103" s="15"/>
    </row>
    <row r="1104" spans="1:17" x14ac:dyDescent="0.25">
      <c r="A1104" s="15"/>
      <c r="B1104" s="13" t="s">
        <v>1351</v>
      </c>
      <c r="C1104" s="16">
        <f>SUM(H933/2)+SUM(H936/3)+SUM(H937/2)+H938+C1080+C1089+C1091+C1092+SUM(C1083/2)</f>
        <v>174</v>
      </c>
      <c r="D1104" s="15"/>
      <c r="E1104" s="15"/>
      <c r="F1104" s="15"/>
      <c r="G1104" s="15"/>
      <c r="H1104" s="15"/>
      <c r="I1104" s="15"/>
      <c r="J1104" s="15"/>
      <c r="K1104" s="15"/>
      <c r="Q1104" s="15"/>
    </row>
    <row r="1105" spans="1:17" x14ac:dyDescent="0.25">
      <c r="A1105" s="15"/>
      <c r="B1105" s="13" t="s">
        <v>1352</v>
      </c>
      <c r="C1105" s="16">
        <f>SUM(H892/2)+SUM(H932/2)+SUM(H936/3)+SUM(H937/2)+C1077+C1079+C1081+C1090+C1096</f>
        <v>98.5</v>
      </c>
      <c r="D1105" s="15"/>
      <c r="E1105" s="15"/>
      <c r="F1105" s="15"/>
      <c r="G1105" s="15"/>
      <c r="H1105" s="15"/>
      <c r="I1105" s="15"/>
      <c r="J1105" s="15"/>
      <c r="K1105" s="15"/>
      <c r="Q1105" s="15"/>
    </row>
    <row r="1106" spans="1:17" x14ac:dyDescent="0.25">
      <c r="A1106" s="15"/>
      <c r="B1106" s="13" t="s">
        <v>1353</v>
      </c>
      <c r="C1106" s="16">
        <f>SUM(H933/2)+SUM(H939/2)+H940+C1075+C1085+C1098+C1099+C1100+SUM(C1083/2)</f>
        <v>22</v>
      </c>
      <c r="D1106" s="15"/>
      <c r="E1106" s="15"/>
      <c r="F1106" s="15"/>
      <c r="G1106" s="15"/>
      <c r="H1106" s="15"/>
      <c r="I1106" s="15"/>
      <c r="J1106" s="15"/>
      <c r="K1106" s="15"/>
      <c r="Q1106" s="15"/>
    </row>
    <row r="1107" spans="1:17" x14ac:dyDescent="0.25">
      <c r="A1107" s="15"/>
      <c r="B1107" s="13" t="s">
        <v>1354</v>
      </c>
      <c r="C1107" s="16">
        <f>SUM(H892/2)+SUM(H932/2)+SUM(H939/2)+H941+C1076+C1078+C1082+C1087+C1093</f>
        <v>71.5</v>
      </c>
      <c r="D1107" s="15"/>
      <c r="E1107" s="15"/>
      <c r="F1107" s="15"/>
      <c r="G1107" s="15"/>
      <c r="H1107" s="15"/>
      <c r="I1107" s="15"/>
      <c r="J1107" s="15"/>
      <c r="K1107" s="15"/>
      <c r="Q1107" s="15"/>
    </row>
    <row r="1108" spans="1:17" x14ac:dyDescent="0.25">
      <c r="A1108" s="15"/>
      <c r="B1108" s="13" t="s">
        <v>1355</v>
      </c>
      <c r="C1108" s="16">
        <f>SUM(H934:H935)+C1088+C1097</f>
        <v>18</v>
      </c>
      <c r="D1108" s="15"/>
      <c r="E1108" s="15"/>
      <c r="F1108" s="15"/>
      <c r="G1108" s="15"/>
      <c r="H1108" s="15"/>
      <c r="I1108" s="15"/>
      <c r="J1108" s="15"/>
      <c r="K1108" s="15"/>
      <c r="Q1108" s="15"/>
    </row>
    <row r="1109" spans="1:17" x14ac:dyDescent="0.25">
      <c r="A1109" s="15"/>
      <c r="B1109" s="13" t="s">
        <v>2250</v>
      </c>
      <c r="C1109" s="16">
        <f>SUM(C1104:C1108)</f>
        <v>384</v>
      </c>
      <c r="D1109" s="15"/>
      <c r="E1109" s="15"/>
      <c r="F1109" s="15"/>
      <c r="G1109" s="15"/>
      <c r="H1109" s="15"/>
      <c r="I1109" s="15"/>
      <c r="J1109" s="15"/>
      <c r="K1109" s="15"/>
      <c r="Q1109" s="15"/>
    </row>
    <row r="1110" spans="1:17" x14ac:dyDescent="0.25">
      <c r="A1110" s="15"/>
      <c r="D1110" s="15"/>
      <c r="E1110" s="15"/>
      <c r="F1110" s="15"/>
      <c r="G1110" s="15"/>
      <c r="H1110" s="15"/>
      <c r="I1110" s="15"/>
      <c r="J1110" s="15"/>
      <c r="K1110" s="15"/>
      <c r="Q1110" s="15"/>
    </row>
    <row r="1111" spans="1:17" x14ac:dyDescent="0.25">
      <c r="A1111" s="15"/>
      <c r="B1111" s="52" t="s">
        <v>2252</v>
      </c>
      <c r="C1111" s="16">
        <f>SUM(H589:H591)+H595+SUM(H598:H601)+SUM(H737:H738)+H782</f>
        <v>177</v>
      </c>
      <c r="D1111" s="15"/>
      <c r="E1111" s="15"/>
      <c r="F1111" s="15"/>
      <c r="G1111" s="15"/>
      <c r="H1111" s="15"/>
      <c r="I1111" s="15"/>
      <c r="J1111" s="15"/>
      <c r="K1111" s="15"/>
      <c r="Q1111" s="15"/>
    </row>
    <row r="1112" spans="1:17" x14ac:dyDescent="0.25">
      <c r="A1112" s="15"/>
      <c r="B1112" s="52"/>
      <c r="D1112" s="15"/>
      <c r="E1112" s="15"/>
      <c r="F1112" s="15"/>
      <c r="G1112" s="15"/>
      <c r="H1112" s="15"/>
      <c r="I1112" s="15"/>
      <c r="J1112" s="15"/>
      <c r="K1112" s="15"/>
      <c r="Q1112" s="15"/>
    </row>
    <row r="1113" spans="1:17" x14ac:dyDescent="0.25">
      <c r="A1113" s="15"/>
      <c r="B1113" s="12" t="s">
        <v>2253</v>
      </c>
      <c r="C1113" s="16">
        <f>C1111+C1005+C1045+C1060+C1102</f>
        <v>3572</v>
      </c>
      <c r="D1113" s="15"/>
      <c r="E1113" s="15"/>
      <c r="F1113" s="15"/>
      <c r="G1113" s="15"/>
      <c r="H1113" s="15"/>
      <c r="I1113" s="15"/>
      <c r="J1113" s="15"/>
      <c r="K1113" s="15"/>
      <c r="Q1113" s="15"/>
    </row>
    <row r="1114" spans="1:17" x14ac:dyDescent="0.25">
      <c r="A1114" s="15"/>
      <c r="D1114" s="15"/>
      <c r="E1114" s="15"/>
      <c r="F1114" s="15"/>
      <c r="G1114" s="15"/>
      <c r="H1114" s="15"/>
      <c r="I1114" s="15"/>
      <c r="J1114" s="15"/>
      <c r="K1114" s="15"/>
      <c r="Q1114" s="15"/>
    </row>
    <row r="1115" spans="1:17" x14ac:dyDescent="0.25">
      <c r="A1115" s="15"/>
      <c r="B1115" s="13" t="s">
        <v>5756</v>
      </c>
      <c r="C1115" s="16">
        <f>C953+C955+C980+C994+C996</f>
        <v>222</v>
      </c>
      <c r="D1115" s="15"/>
      <c r="E1115" s="15"/>
      <c r="F1115" s="15"/>
      <c r="G1115" s="15"/>
      <c r="H1115" s="15"/>
      <c r="I1115" s="15"/>
      <c r="J1115" s="15"/>
      <c r="K1115" s="15"/>
      <c r="Q1115" s="15"/>
    </row>
    <row r="1116" spans="1:17" x14ac:dyDescent="0.25">
      <c r="A1116" s="15"/>
      <c r="B1116" s="13" t="s">
        <v>1272</v>
      </c>
      <c r="C1116" s="16">
        <f>C1005-C1115</f>
        <v>1537</v>
      </c>
      <c r="D1116" s="15"/>
      <c r="E1116" s="15"/>
      <c r="F1116" s="15"/>
      <c r="G1116" s="15"/>
      <c r="H1116" s="15"/>
      <c r="I1116" s="15"/>
      <c r="J1116" s="15"/>
      <c r="K1116" s="15"/>
      <c r="Q1116" s="15"/>
    </row>
    <row r="1117" spans="1:17" x14ac:dyDescent="0.25">
      <c r="A1117" s="15"/>
      <c r="D1117" s="15"/>
      <c r="E1117" s="15"/>
      <c r="F1117" s="15"/>
      <c r="G1117" s="15"/>
      <c r="H1117" s="15"/>
      <c r="I1117" s="15"/>
      <c r="J1117" s="15"/>
      <c r="K1117" s="15"/>
      <c r="Q1117" s="15"/>
    </row>
    <row r="1118" spans="1:17" x14ac:dyDescent="0.25">
      <c r="A1118" s="15"/>
      <c r="B1118" s="13" t="s">
        <v>1359</v>
      </c>
      <c r="C1118" s="16">
        <f>C1115</f>
        <v>222</v>
      </c>
      <c r="D1118" s="15"/>
      <c r="E1118" s="15"/>
      <c r="F1118" s="15"/>
      <c r="G1118" s="15"/>
      <c r="H1118" s="15"/>
      <c r="I1118" s="15"/>
      <c r="J1118" s="15"/>
      <c r="K1118" s="15"/>
      <c r="Q1118" s="15"/>
    </row>
    <row r="1119" spans="1:17" x14ac:dyDescent="0.25">
      <c r="A1119" s="15"/>
      <c r="B1119" s="13" t="s">
        <v>1891</v>
      </c>
      <c r="C1119" s="16">
        <f>C1113-C1115</f>
        <v>3350</v>
      </c>
      <c r="D1119" s="15"/>
      <c r="E1119" s="15"/>
      <c r="F1119" s="15"/>
      <c r="G1119" s="15"/>
      <c r="H1119" s="15"/>
      <c r="I1119" s="15"/>
      <c r="J1119" s="15"/>
      <c r="K1119" s="15"/>
      <c r="Q1119" s="15"/>
    </row>
    <row r="1120" spans="1:17" x14ac:dyDescent="0.25">
      <c r="A1120" s="15"/>
      <c r="D1120" s="15"/>
      <c r="E1120" s="15"/>
      <c r="F1120" s="15"/>
      <c r="G1120" s="15"/>
      <c r="H1120" s="15"/>
      <c r="I1120" s="15"/>
      <c r="J1120" s="15"/>
      <c r="K1120" s="15"/>
      <c r="Q1120" s="15"/>
    </row>
    <row r="1121" spans="1:17" x14ac:dyDescent="0.25">
      <c r="A1121" s="15"/>
      <c r="B1121" s="13" t="s">
        <v>11</v>
      </c>
      <c r="C1121" s="16">
        <f>C1005</f>
        <v>1759</v>
      </c>
      <c r="D1121" s="15"/>
      <c r="E1121" s="15"/>
      <c r="F1121" s="15"/>
      <c r="G1121" s="15"/>
      <c r="H1121" s="15"/>
      <c r="I1121" s="15"/>
      <c r="J1121" s="15"/>
      <c r="K1121" s="15"/>
      <c r="Q1121" s="15"/>
    </row>
    <row r="1122" spans="1:17" x14ac:dyDescent="0.25">
      <c r="A1122" s="15"/>
      <c r="B1122" s="13" t="s">
        <v>35</v>
      </c>
      <c r="C1122" s="16">
        <f>C1045</f>
        <v>818</v>
      </c>
      <c r="D1122" s="15"/>
      <c r="E1122" s="15"/>
      <c r="F1122" s="15"/>
      <c r="G1122" s="15"/>
      <c r="H1122" s="15"/>
      <c r="I1122" s="15"/>
      <c r="J1122" s="15"/>
      <c r="K1122" s="15"/>
      <c r="Q1122" s="15"/>
    </row>
    <row r="1123" spans="1:17" x14ac:dyDescent="0.25">
      <c r="A1123" s="15"/>
      <c r="B1123" s="13" t="s">
        <v>56</v>
      </c>
      <c r="C1123" s="16">
        <f>C1060</f>
        <v>217</v>
      </c>
      <c r="D1123" s="15"/>
      <c r="E1123" s="15"/>
      <c r="F1123" s="15"/>
      <c r="G1123" s="15"/>
      <c r="H1123" s="15"/>
      <c r="I1123" s="15"/>
      <c r="J1123" s="15"/>
      <c r="K1123" s="15"/>
      <c r="Q1123" s="15"/>
    </row>
    <row r="1124" spans="1:17" x14ac:dyDescent="0.25">
      <c r="A1124" s="15"/>
      <c r="B1124" s="13" t="s">
        <v>771</v>
      </c>
      <c r="C1124" s="16">
        <f>C1102</f>
        <v>601</v>
      </c>
      <c r="D1124" s="15"/>
      <c r="E1124" s="15"/>
      <c r="F1124" s="15"/>
      <c r="G1124" s="15"/>
      <c r="H1124" s="15"/>
      <c r="I1124" s="15"/>
      <c r="J1124" s="15"/>
      <c r="K1124" s="15"/>
      <c r="Q1124" s="15"/>
    </row>
    <row r="1125" spans="1:17" x14ac:dyDescent="0.25">
      <c r="A1125" s="15"/>
      <c r="B1125" s="15"/>
      <c r="D1125" s="15"/>
      <c r="E1125" s="15"/>
      <c r="F1125" s="15"/>
      <c r="G1125" s="15"/>
      <c r="H1125" s="15"/>
      <c r="I1125" s="15"/>
      <c r="J1125" s="15"/>
      <c r="K1125" s="15"/>
      <c r="Q1125" s="15"/>
    </row>
    <row r="1126" spans="1:17" ht="13.5" thickBot="1" x14ac:dyDescent="0.3"/>
    <row r="1127" spans="1:17" x14ac:dyDescent="0.25">
      <c r="B1127" s="85" t="s">
        <v>5449</v>
      </c>
      <c r="C1127" s="88">
        <v>225.5</v>
      </c>
    </row>
    <row r="1128" spans="1:17" x14ac:dyDescent="0.25">
      <c r="B1128" s="86" t="s">
        <v>5450</v>
      </c>
      <c r="C1128" s="89">
        <v>95.5</v>
      </c>
    </row>
    <row r="1129" spans="1:17" x14ac:dyDescent="0.25">
      <c r="B1129" s="86" t="s">
        <v>5451</v>
      </c>
      <c r="C1129" s="89">
        <v>248.5</v>
      </c>
    </row>
    <row r="1130" spans="1:17" x14ac:dyDescent="0.25">
      <c r="B1130" s="86" t="s">
        <v>5452</v>
      </c>
      <c r="C1130" s="89">
        <v>879.5</v>
      </c>
    </row>
    <row r="1131" spans="1:17" ht="13.5" thickBot="1" x14ac:dyDescent="0.3">
      <c r="B1131" s="87" t="s">
        <v>5453</v>
      </c>
      <c r="C1131" s="90">
        <v>253</v>
      </c>
    </row>
    <row r="1132" spans="1:17" x14ac:dyDescent="0.25">
      <c r="B1132" s="85" t="s">
        <v>5454</v>
      </c>
      <c r="C1132" s="88">
        <v>468.5</v>
      </c>
    </row>
    <row r="1133" spans="1:17" x14ac:dyDescent="0.25">
      <c r="B1133" s="86" t="s">
        <v>5455</v>
      </c>
      <c r="C1133" s="89">
        <v>64.5</v>
      </c>
    </row>
    <row r="1134" spans="1:17" x14ac:dyDescent="0.25">
      <c r="B1134" s="86" t="s">
        <v>5456</v>
      </c>
      <c r="C1134" s="89">
        <v>87</v>
      </c>
    </row>
    <row r="1135" spans="1:17" x14ac:dyDescent="0.25">
      <c r="B1135" s="86" t="s">
        <v>5457</v>
      </c>
      <c r="C1135" s="89">
        <v>60</v>
      </c>
    </row>
    <row r="1136" spans="1:17" ht="13.5" thickBot="1" x14ac:dyDescent="0.3">
      <c r="B1136" s="87" t="s">
        <v>5458</v>
      </c>
      <c r="C1136" s="90">
        <v>47</v>
      </c>
    </row>
    <row r="1137" spans="2:3" x14ac:dyDescent="0.25">
      <c r="B1137" s="85" t="s">
        <v>923</v>
      </c>
      <c r="C1137" s="88">
        <v>5.5</v>
      </c>
    </row>
    <row r="1138" spans="2:3" x14ac:dyDescent="0.25">
      <c r="B1138" s="86" t="s">
        <v>924</v>
      </c>
      <c r="C1138" s="89">
        <v>57.5</v>
      </c>
    </row>
    <row r="1139" spans="2:3" x14ac:dyDescent="0.25">
      <c r="B1139" s="86" t="s">
        <v>925</v>
      </c>
      <c r="C1139" s="89">
        <v>20.5</v>
      </c>
    </row>
    <row r="1140" spans="2:3" x14ac:dyDescent="0.25">
      <c r="B1140" s="86" t="s">
        <v>926</v>
      </c>
      <c r="C1140" s="89">
        <v>39.5</v>
      </c>
    </row>
    <row r="1141" spans="2:3" ht="13.5" thickBot="1" x14ac:dyDescent="0.3">
      <c r="B1141" s="87" t="s">
        <v>629</v>
      </c>
      <c r="C1141" s="90">
        <v>46</v>
      </c>
    </row>
    <row r="1142" spans="2:3" x14ac:dyDescent="0.25">
      <c r="B1142" s="85" t="s">
        <v>776</v>
      </c>
      <c r="C1142" s="88">
        <v>122</v>
      </c>
    </row>
    <row r="1143" spans="2:3" x14ac:dyDescent="0.25">
      <c r="B1143" s="86" t="s">
        <v>1351</v>
      </c>
      <c r="C1143" s="89">
        <v>174</v>
      </c>
    </row>
    <row r="1144" spans="2:3" x14ac:dyDescent="0.25">
      <c r="B1144" s="86" t="s">
        <v>1352</v>
      </c>
      <c r="C1144" s="89">
        <v>98.5</v>
      </c>
    </row>
    <row r="1145" spans="2:3" x14ac:dyDescent="0.25">
      <c r="B1145" s="86" t="s">
        <v>1353</v>
      </c>
      <c r="C1145" s="89">
        <v>22</v>
      </c>
    </row>
    <row r="1146" spans="2:3" x14ac:dyDescent="0.25">
      <c r="B1146" s="86" t="s">
        <v>1354</v>
      </c>
      <c r="C1146" s="89">
        <v>71.5</v>
      </c>
    </row>
    <row r="1147" spans="2:3" ht="13.5" thickBot="1" x14ac:dyDescent="0.3">
      <c r="B1147" s="87" t="s">
        <v>1880</v>
      </c>
      <c r="C1147" s="90">
        <v>18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7"/>
  <sheetViews>
    <sheetView zoomScale="110" zoomScaleNormal="108" workbookViewId="0">
      <pane ySplit="1" topLeftCell="A454" activePane="bottomLeft" state="frozen"/>
      <selection pane="bottomLeft" activeCell="C452" sqref="C452"/>
    </sheetView>
  </sheetViews>
  <sheetFormatPr defaultRowHeight="11.25" x14ac:dyDescent="0.25"/>
  <cols>
    <col min="1" max="1" width="13.28515625" style="11" customWidth="1"/>
    <col min="2" max="2" width="17.140625" style="13" customWidth="1"/>
    <col min="3" max="3" width="21.140625" style="61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4" customWidth="1"/>
    <col min="13" max="13" width="6.85546875" style="14" customWidth="1"/>
    <col min="14" max="14" width="6.5703125" style="14" customWidth="1"/>
    <col min="15" max="16" width="9.140625" style="14"/>
    <col min="17" max="17" width="13.85546875" style="13" customWidth="1"/>
    <col min="18" max="16384" width="9.140625" style="14"/>
  </cols>
  <sheetData>
    <row r="1" spans="1:19" s="11" customFormat="1" ht="54.75" customHeight="1" x14ac:dyDescent="0.25">
      <c r="A1" s="11" t="s">
        <v>1267</v>
      </c>
      <c r="B1" s="12" t="s">
        <v>2</v>
      </c>
      <c r="C1" s="82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4660</v>
      </c>
      <c r="B2" s="13" t="s">
        <v>532</v>
      </c>
      <c r="C2" s="61" t="s">
        <v>2965</v>
      </c>
      <c r="D2" s="13" t="s">
        <v>2964</v>
      </c>
      <c r="E2" s="14" t="s">
        <v>534</v>
      </c>
      <c r="F2" s="14" t="s">
        <v>11</v>
      </c>
      <c r="G2" s="13"/>
      <c r="H2" s="14">
        <f t="shared" ref="H2:H11" si="0">G2+I2</f>
        <v>1</v>
      </c>
      <c r="I2" s="13">
        <v>1</v>
      </c>
      <c r="J2" s="13">
        <v>1</v>
      </c>
      <c r="K2" s="13" t="s">
        <v>4476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ht="33.75" x14ac:dyDescent="0.25">
      <c r="A3" s="11" t="s">
        <v>4660</v>
      </c>
      <c r="B3" s="13" t="s">
        <v>76</v>
      </c>
      <c r="C3" s="61" t="s">
        <v>330</v>
      </c>
      <c r="D3" s="13" t="s">
        <v>4474</v>
      </c>
      <c r="E3" s="14" t="s">
        <v>1281</v>
      </c>
      <c r="F3" s="14" t="s">
        <v>11</v>
      </c>
      <c r="G3" s="13">
        <v>14</v>
      </c>
      <c r="H3" s="14">
        <f>G3+I3</f>
        <v>15</v>
      </c>
      <c r="I3" s="13">
        <v>1</v>
      </c>
      <c r="J3" s="13">
        <v>11</v>
      </c>
      <c r="K3" s="13" t="s">
        <v>4826</v>
      </c>
      <c r="L3" s="14" t="s">
        <v>177</v>
      </c>
      <c r="M3" s="14">
        <v>193</v>
      </c>
      <c r="N3" s="14">
        <v>983</v>
      </c>
      <c r="O3" s="14">
        <v>519300</v>
      </c>
      <c r="P3" s="14">
        <v>298300</v>
      </c>
      <c r="Q3" s="14"/>
    </row>
    <row r="4" spans="1:19" ht="33.75" x14ac:dyDescent="0.25">
      <c r="A4" s="11" t="s">
        <v>4660</v>
      </c>
      <c r="B4" s="13" t="s">
        <v>76</v>
      </c>
      <c r="C4" s="61" t="s">
        <v>174</v>
      </c>
      <c r="D4" s="13" t="s">
        <v>3823</v>
      </c>
      <c r="E4" s="13" t="s">
        <v>176</v>
      </c>
      <c r="F4" s="14" t="s">
        <v>11</v>
      </c>
      <c r="G4" s="13">
        <v>7</v>
      </c>
      <c r="H4" s="14">
        <f t="shared" si="0"/>
        <v>30</v>
      </c>
      <c r="I4" s="14">
        <v>23</v>
      </c>
      <c r="J4" s="14">
        <v>22</v>
      </c>
      <c r="K4" s="13" t="s">
        <v>4816</v>
      </c>
      <c r="L4" s="14" t="s">
        <v>175</v>
      </c>
      <c r="M4" s="14">
        <v>1385</v>
      </c>
      <c r="N4" s="14">
        <v>735</v>
      </c>
      <c r="O4" s="14">
        <v>513850</v>
      </c>
      <c r="P4" s="14">
        <v>307350</v>
      </c>
    </row>
    <row r="5" spans="1:19" ht="22.5" x14ac:dyDescent="0.25">
      <c r="A5" s="11" t="s">
        <v>4660</v>
      </c>
      <c r="B5" s="13" t="s">
        <v>76</v>
      </c>
      <c r="C5" s="61" t="s">
        <v>3960</v>
      </c>
      <c r="D5" s="13" t="s">
        <v>20</v>
      </c>
      <c r="E5" s="13" t="s">
        <v>176</v>
      </c>
      <c r="F5" s="14" t="s">
        <v>11</v>
      </c>
      <c r="G5" s="13"/>
      <c r="H5" s="14">
        <f>G5+I5</f>
        <v>2</v>
      </c>
      <c r="I5" s="14">
        <v>2</v>
      </c>
      <c r="J5" s="14">
        <v>2</v>
      </c>
      <c r="K5" s="13" t="s">
        <v>4739</v>
      </c>
      <c r="L5" s="14" t="s">
        <v>175</v>
      </c>
      <c r="M5" s="14">
        <v>1385</v>
      </c>
      <c r="N5" s="14">
        <v>735</v>
      </c>
      <c r="O5" s="14">
        <v>513850</v>
      </c>
      <c r="P5" s="14">
        <v>307350</v>
      </c>
    </row>
    <row r="6" spans="1:19" ht="33.75" x14ac:dyDescent="0.25">
      <c r="A6" s="11" t="s">
        <v>4660</v>
      </c>
      <c r="B6" s="13" t="s">
        <v>76</v>
      </c>
      <c r="C6" s="61" t="s">
        <v>3369</v>
      </c>
      <c r="D6" s="13" t="s">
        <v>4698</v>
      </c>
      <c r="E6" s="13" t="s">
        <v>176</v>
      </c>
      <c r="F6" s="14" t="s">
        <v>11</v>
      </c>
      <c r="G6" s="13">
        <v>1</v>
      </c>
      <c r="H6" s="14">
        <f t="shared" si="0"/>
        <v>11</v>
      </c>
      <c r="I6" s="14">
        <v>10</v>
      </c>
      <c r="J6" s="14">
        <v>6</v>
      </c>
      <c r="K6" s="13" t="s">
        <v>4795</v>
      </c>
      <c r="L6" s="14" t="s">
        <v>177</v>
      </c>
      <c r="M6" s="14">
        <v>208</v>
      </c>
      <c r="N6" s="14">
        <v>989</v>
      </c>
      <c r="O6" s="14">
        <v>520800</v>
      </c>
      <c r="P6" s="14">
        <v>298900</v>
      </c>
    </row>
    <row r="7" spans="1:19" ht="45" x14ac:dyDescent="0.25">
      <c r="A7" s="11" t="s">
        <v>4660</v>
      </c>
      <c r="B7" s="13" t="s">
        <v>76</v>
      </c>
      <c r="C7" s="61" t="s">
        <v>2487</v>
      </c>
      <c r="D7" s="13" t="s">
        <v>2546</v>
      </c>
      <c r="E7" s="13" t="s">
        <v>176</v>
      </c>
      <c r="F7" s="14" t="s">
        <v>11</v>
      </c>
      <c r="G7" s="13">
        <v>1</v>
      </c>
      <c r="H7" s="14">
        <f t="shared" si="0"/>
        <v>2</v>
      </c>
      <c r="I7" s="14">
        <v>1</v>
      </c>
      <c r="J7" s="14">
        <v>2</v>
      </c>
      <c r="K7" s="13" t="s">
        <v>4697</v>
      </c>
      <c r="L7" s="14" t="s">
        <v>177</v>
      </c>
      <c r="M7" s="14">
        <v>22714</v>
      </c>
      <c r="N7" s="14">
        <v>98911</v>
      </c>
      <c r="O7" s="14">
        <v>522714</v>
      </c>
      <c r="P7" s="14">
        <v>298911</v>
      </c>
    </row>
    <row r="8" spans="1:19" ht="22.5" x14ac:dyDescent="0.25">
      <c r="A8" s="11" t="s">
        <v>4660</v>
      </c>
      <c r="B8" s="13" t="s">
        <v>76</v>
      </c>
      <c r="C8" s="61" t="s">
        <v>946</v>
      </c>
      <c r="D8" s="13" t="s">
        <v>26</v>
      </c>
      <c r="E8" s="13" t="s">
        <v>178</v>
      </c>
      <c r="F8" s="14" t="s">
        <v>11</v>
      </c>
      <c r="G8" s="13"/>
      <c r="H8" s="14">
        <f t="shared" si="0"/>
        <v>3</v>
      </c>
      <c r="I8" s="14">
        <v>3</v>
      </c>
      <c r="J8" s="14">
        <v>1</v>
      </c>
      <c r="K8" s="13" t="s">
        <v>4364</v>
      </c>
      <c r="L8" s="14" t="s">
        <v>177</v>
      </c>
      <c r="M8" s="14">
        <v>420</v>
      </c>
      <c r="N8" s="14">
        <v>767</v>
      </c>
      <c r="O8" s="14">
        <v>542000</v>
      </c>
      <c r="P8" s="14">
        <v>276700</v>
      </c>
    </row>
    <row r="9" spans="1:19" ht="22.5" x14ac:dyDescent="0.25">
      <c r="A9" s="11" t="s">
        <v>4660</v>
      </c>
      <c r="B9" s="13" t="s">
        <v>76</v>
      </c>
      <c r="C9" s="61" t="s">
        <v>388</v>
      </c>
      <c r="D9" s="13" t="s">
        <v>20</v>
      </c>
      <c r="E9" s="13" t="s">
        <v>176</v>
      </c>
      <c r="F9" s="14" t="s">
        <v>11</v>
      </c>
      <c r="G9" s="13">
        <v>2</v>
      </c>
      <c r="H9" s="14">
        <f t="shared" si="0"/>
        <v>6</v>
      </c>
      <c r="I9" s="14">
        <v>4</v>
      </c>
      <c r="J9" s="14">
        <v>5</v>
      </c>
      <c r="K9" s="13" t="s">
        <v>4762</v>
      </c>
      <c r="L9" s="14" t="s">
        <v>175</v>
      </c>
      <c r="M9" s="14">
        <v>1180</v>
      </c>
      <c r="N9" s="14">
        <v>830</v>
      </c>
      <c r="O9" s="14">
        <v>511800</v>
      </c>
      <c r="P9" s="14">
        <v>308300</v>
      </c>
    </row>
    <row r="10" spans="1:19" ht="22.5" x14ac:dyDescent="0.25">
      <c r="A10" s="11" t="s">
        <v>4660</v>
      </c>
      <c r="B10" s="13" t="s">
        <v>76</v>
      </c>
      <c r="C10" s="61" t="s">
        <v>4738</v>
      </c>
      <c r="D10" s="13" t="s">
        <v>18</v>
      </c>
      <c r="E10" s="13" t="s">
        <v>176</v>
      </c>
      <c r="F10" s="14" t="s">
        <v>11</v>
      </c>
      <c r="G10" s="13">
        <v>2</v>
      </c>
      <c r="H10" s="14">
        <f t="shared" si="0"/>
        <v>6</v>
      </c>
      <c r="I10" s="14">
        <v>4</v>
      </c>
      <c r="J10" s="14">
        <v>4</v>
      </c>
      <c r="K10" s="13" t="s">
        <v>4740</v>
      </c>
      <c r="L10" s="14" t="s">
        <v>175</v>
      </c>
      <c r="M10" s="14">
        <v>1180</v>
      </c>
      <c r="N10" s="14">
        <v>830</v>
      </c>
      <c r="O10" s="14">
        <v>511800</v>
      </c>
      <c r="P10" s="14">
        <v>308300</v>
      </c>
    </row>
    <row r="11" spans="1:19" ht="22.5" x14ac:dyDescent="0.25">
      <c r="A11" s="11" t="s">
        <v>4660</v>
      </c>
      <c r="B11" s="13" t="s">
        <v>213</v>
      </c>
      <c r="C11" s="61" t="s">
        <v>214</v>
      </c>
      <c r="D11" s="13" t="s">
        <v>215</v>
      </c>
      <c r="E11" s="13" t="s">
        <v>216</v>
      </c>
      <c r="F11" s="14" t="s">
        <v>11</v>
      </c>
      <c r="G11" s="13"/>
      <c r="H11" s="14">
        <f t="shared" si="0"/>
        <v>6</v>
      </c>
      <c r="I11" s="14">
        <v>6</v>
      </c>
      <c r="J11" s="14">
        <v>3</v>
      </c>
      <c r="K11" s="13" t="s">
        <v>4760</v>
      </c>
      <c r="L11" s="14" t="s">
        <v>218</v>
      </c>
      <c r="M11" s="14">
        <v>7365</v>
      </c>
      <c r="N11" s="14">
        <v>1960</v>
      </c>
      <c r="O11" s="14">
        <v>473650</v>
      </c>
      <c r="P11" s="14">
        <v>519600</v>
      </c>
      <c r="Q11" s="14"/>
    </row>
    <row r="12" spans="1:19" ht="22.5" x14ac:dyDescent="0.25">
      <c r="A12" s="11" t="s">
        <v>4660</v>
      </c>
      <c r="B12" s="13" t="s">
        <v>213</v>
      </c>
      <c r="C12" s="61" t="s">
        <v>4758</v>
      </c>
      <c r="D12" s="13" t="s">
        <v>4759</v>
      </c>
      <c r="E12" s="13" t="s">
        <v>216</v>
      </c>
      <c r="F12" s="14" t="s">
        <v>11</v>
      </c>
      <c r="G12" s="13"/>
      <c r="H12" s="14">
        <f t="shared" ref="H12:H17" si="1">G12+I12</f>
        <v>1</v>
      </c>
      <c r="I12" s="14">
        <v>1</v>
      </c>
      <c r="J12" s="14">
        <v>1</v>
      </c>
      <c r="K12" s="13" t="s">
        <v>4341</v>
      </c>
      <c r="L12" s="14" t="s">
        <v>218</v>
      </c>
      <c r="M12" s="14">
        <v>7365</v>
      </c>
      <c r="N12" s="14">
        <v>1960</v>
      </c>
      <c r="O12" s="14">
        <v>473650</v>
      </c>
      <c r="P12" s="14">
        <v>519600</v>
      </c>
      <c r="Q12" s="14"/>
    </row>
    <row r="13" spans="1:19" ht="22.5" x14ac:dyDescent="0.25">
      <c r="A13" s="11" t="s">
        <v>4660</v>
      </c>
      <c r="B13" s="13" t="s">
        <v>10</v>
      </c>
      <c r="C13" s="61" t="s">
        <v>165</v>
      </c>
      <c r="D13" s="13" t="s">
        <v>825</v>
      </c>
      <c r="E13" s="14" t="s">
        <v>12</v>
      </c>
      <c r="F13" s="14" t="s">
        <v>11</v>
      </c>
      <c r="G13" s="13">
        <v>1</v>
      </c>
      <c r="H13" s="14">
        <f t="shared" si="1"/>
        <v>16</v>
      </c>
      <c r="I13" s="14">
        <v>15</v>
      </c>
      <c r="J13" s="14">
        <v>9</v>
      </c>
      <c r="K13" s="13" t="s">
        <v>4718</v>
      </c>
      <c r="L13" s="14" t="s">
        <v>166</v>
      </c>
      <c r="M13" s="14">
        <v>274</v>
      </c>
      <c r="N13" s="14">
        <v>72</v>
      </c>
      <c r="O13" s="14">
        <v>327400</v>
      </c>
      <c r="P13" s="14">
        <v>507200</v>
      </c>
      <c r="Q13" s="14"/>
    </row>
    <row r="14" spans="1:19" x14ac:dyDescent="0.25">
      <c r="A14" s="11" t="s">
        <v>4660</v>
      </c>
      <c r="B14" s="13" t="s">
        <v>10</v>
      </c>
      <c r="C14" s="61" t="s">
        <v>2070</v>
      </c>
      <c r="D14" s="13" t="s">
        <v>2069</v>
      </c>
      <c r="E14" s="14" t="s">
        <v>12</v>
      </c>
      <c r="F14" s="14" t="s">
        <v>11</v>
      </c>
      <c r="G14" s="13"/>
      <c r="H14" s="14">
        <f t="shared" si="1"/>
        <v>1</v>
      </c>
      <c r="I14" s="14">
        <v>1</v>
      </c>
      <c r="J14" s="14">
        <v>1</v>
      </c>
      <c r="K14" s="13" t="s">
        <v>1521</v>
      </c>
      <c r="L14" s="14" t="s">
        <v>166</v>
      </c>
      <c r="M14" s="14">
        <v>27399</v>
      </c>
      <c r="N14" s="14">
        <v>7356</v>
      </c>
      <c r="O14" s="14">
        <v>327399</v>
      </c>
      <c r="P14" s="14">
        <v>507356</v>
      </c>
      <c r="Q14" s="14"/>
    </row>
    <row r="15" spans="1:19" ht="22.5" x14ac:dyDescent="0.25">
      <c r="A15" s="11" t="s">
        <v>4660</v>
      </c>
      <c r="B15" s="13" t="s">
        <v>126</v>
      </c>
      <c r="C15" s="61" t="s">
        <v>3828</v>
      </c>
      <c r="D15" s="13" t="s">
        <v>1212</v>
      </c>
      <c r="E15" s="14" t="s">
        <v>1378</v>
      </c>
      <c r="F15" s="14" t="s">
        <v>11</v>
      </c>
      <c r="G15" s="13"/>
      <c r="H15" s="14">
        <f t="shared" si="1"/>
        <v>4</v>
      </c>
      <c r="I15" s="14">
        <v>4</v>
      </c>
      <c r="J15" s="14">
        <v>2</v>
      </c>
      <c r="K15" s="13" t="s">
        <v>2904</v>
      </c>
      <c r="L15" s="14" t="s">
        <v>445</v>
      </c>
      <c r="M15" s="14">
        <v>499</v>
      </c>
      <c r="N15" s="14">
        <v>7320</v>
      </c>
      <c r="O15" s="14">
        <v>404990</v>
      </c>
      <c r="P15" s="14">
        <v>373200</v>
      </c>
      <c r="Q15" s="14"/>
    </row>
    <row r="16" spans="1:19" x14ac:dyDescent="0.25">
      <c r="A16" s="11" t="s">
        <v>4660</v>
      </c>
      <c r="B16" s="13" t="s">
        <v>126</v>
      </c>
      <c r="C16" s="61" t="s">
        <v>3799</v>
      </c>
      <c r="D16" s="13" t="s">
        <v>1207</v>
      </c>
      <c r="E16" s="14" t="s">
        <v>1378</v>
      </c>
      <c r="F16" s="14" t="s">
        <v>11</v>
      </c>
      <c r="G16" s="13"/>
      <c r="H16" s="14">
        <f t="shared" si="1"/>
        <v>3</v>
      </c>
      <c r="I16" s="14">
        <v>3</v>
      </c>
      <c r="J16" s="14">
        <v>2</v>
      </c>
      <c r="K16" s="13" t="s">
        <v>4708</v>
      </c>
      <c r="L16" s="14" t="s">
        <v>445</v>
      </c>
      <c r="M16" s="14">
        <v>499</v>
      </c>
      <c r="N16" s="14">
        <v>7320</v>
      </c>
      <c r="O16" s="14">
        <v>404990</v>
      </c>
      <c r="P16" s="14">
        <v>373200</v>
      </c>
      <c r="Q16" s="14"/>
    </row>
    <row r="17" spans="1:17" x14ac:dyDescent="0.25">
      <c r="A17" s="11" t="s">
        <v>4660</v>
      </c>
      <c r="B17" s="13" t="s">
        <v>126</v>
      </c>
      <c r="C17" s="61" t="s">
        <v>3800</v>
      </c>
      <c r="D17" s="13" t="s">
        <v>1207</v>
      </c>
      <c r="E17" s="14" t="s">
        <v>1378</v>
      </c>
      <c r="F17" s="14" t="s">
        <v>11</v>
      </c>
      <c r="G17" s="13"/>
      <c r="H17" s="14">
        <f t="shared" si="1"/>
        <v>1</v>
      </c>
      <c r="I17" s="14">
        <v>1</v>
      </c>
      <c r="J17" s="14">
        <v>1</v>
      </c>
      <c r="K17" s="13" t="s">
        <v>1241</v>
      </c>
      <c r="L17" s="14" t="s">
        <v>445</v>
      </c>
      <c r="M17" s="14">
        <v>499</v>
      </c>
      <c r="N17" s="14">
        <v>7320</v>
      </c>
      <c r="O17" s="14">
        <v>404990</v>
      </c>
      <c r="P17" s="14">
        <v>373200</v>
      </c>
      <c r="Q17" s="14"/>
    </row>
    <row r="18" spans="1:17" ht="33.75" x14ac:dyDescent="0.25">
      <c r="A18" s="11" t="s">
        <v>4660</v>
      </c>
      <c r="B18" s="13" t="s">
        <v>191</v>
      </c>
      <c r="C18" s="61" t="s">
        <v>1439</v>
      </c>
      <c r="D18" s="13" t="s">
        <v>4704</v>
      </c>
      <c r="E18" s="14" t="s">
        <v>1440</v>
      </c>
      <c r="F18" s="14" t="s">
        <v>11</v>
      </c>
      <c r="G18" s="13"/>
      <c r="H18" s="14">
        <f t="shared" ref="H18:H35" si="2">G18+I18</f>
        <v>6</v>
      </c>
      <c r="I18" s="14">
        <v>6</v>
      </c>
      <c r="J18" s="14">
        <v>5</v>
      </c>
      <c r="K18" s="13" t="s">
        <v>4705</v>
      </c>
      <c r="L18" s="14" t="s">
        <v>520</v>
      </c>
      <c r="M18" s="14">
        <v>8757</v>
      </c>
      <c r="N18" s="14">
        <v>8607</v>
      </c>
      <c r="O18" s="14">
        <v>287570</v>
      </c>
      <c r="P18" s="14">
        <v>86070</v>
      </c>
    </row>
    <row r="19" spans="1:17" x14ac:dyDescent="0.25">
      <c r="A19" s="11" t="s">
        <v>4660</v>
      </c>
      <c r="B19" s="13" t="s">
        <v>68</v>
      </c>
      <c r="C19" s="61" t="s">
        <v>382</v>
      </c>
      <c r="D19" s="13" t="s">
        <v>1278</v>
      </c>
      <c r="E19" s="14" t="s">
        <v>314</v>
      </c>
      <c r="F19" s="14" t="s">
        <v>11</v>
      </c>
      <c r="G19" s="13">
        <v>2</v>
      </c>
      <c r="H19" s="14">
        <f t="shared" si="2"/>
        <v>2</v>
      </c>
      <c r="J19" s="14">
        <v>2</v>
      </c>
      <c r="K19" s="13" t="s">
        <v>4746</v>
      </c>
      <c r="L19" s="14" t="s">
        <v>119</v>
      </c>
      <c r="M19" s="14">
        <v>96585</v>
      </c>
      <c r="N19" s="14">
        <v>18584</v>
      </c>
      <c r="O19" s="14">
        <v>396585</v>
      </c>
      <c r="P19" s="14">
        <v>118584</v>
      </c>
      <c r="Q19" s="14"/>
    </row>
    <row r="20" spans="1:17" x14ac:dyDescent="0.25">
      <c r="A20" s="11" t="s">
        <v>4660</v>
      </c>
      <c r="B20" s="13" t="s">
        <v>68</v>
      </c>
      <c r="C20" s="61" t="s">
        <v>381</v>
      </c>
      <c r="D20" s="13" t="s">
        <v>20</v>
      </c>
      <c r="E20" s="14" t="s">
        <v>314</v>
      </c>
      <c r="F20" s="14" t="s">
        <v>11</v>
      </c>
      <c r="G20" s="13"/>
      <c r="H20" s="14">
        <f t="shared" si="2"/>
        <v>5</v>
      </c>
      <c r="I20" s="14">
        <v>5</v>
      </c>
      <c r="J20" s="14">
        <v>3</v>
      </c>
      <c r="K20" s="13" t="s">
        <v>4745</v>
      </c>
      <c r="L20" s="14" t="s">
        <v>110</v>
      </c>
      <c r="M20" s="14">
        <v>17</v>
      </c>
      <c r="N20" s="14">
        <v>160</v>
      </c>
      <c r="O20" s="14">
        <v>401700</v>
      </c>
      <c r="P20" s="14">
        <v>116000</v>
      </c>
      <c r="Q20" s="14"/>
    </row>
    <row r="21" spans="1:17" ht="22.5" x14ac:dyDescent="0.25">
      <c r="A21" s="11" t="s">
        <v>4660</v>
      </c>
      <c r="B21" s="13" t="s">
        <v>68</v>
      </c>
      <c r="C21" s="61" t="s">
        <v>117</v>
      </c>
      <c r="D21" s="13" t="s">
        <v>92</v>
      </c>
      <c r="E21" s="14" t="s">
        <v>118</v>
      </c>
      <c r="F21" s="14" t="s">
        <v>11</v>
      </c>
      <c r="G21" s="13"/>
      <c r="H21" s="14">
        <f t="shared" si="2"/>
        <v>2</v>
      </c>
      <c r="I21" s="14">
        <v>2</v>
      </c>
      <c r="J21" s="14">
        <v>2</v>
      </c>
      <c r="K21" s="13" t="s">
        <v>4724</v>
      </c>
      <c r="L21" s="14" t="s">
        <v>119</v>
      </c>
      <c r="M21" s="14">
        <v>8492</v>
      </c>
      <c r="N21" s="14">
        <v>1226</v>
      </c>
      <c r="O21" s="14">
        <v>384920</v>
      </c>
      <c r="P21" s="14">
        <v>112260</v>
      </c>
      <c r="Q21" s="14"/>
    </row>
    <row r="22" spans="1:17" ht="22.5" x14ac:dyDescent="0.25">
      <c r="A22" s="11" t="s">
        <v>4660</v>
      </c>
      <c r="B22" s="13" t="s">
        <v>68</v>
      </c>
      <c r="C22" s="61" t="s">
        <v>197</v>
      </c>
      <c r="D22" s="13" t="s">
        <v>92</v>
      </c>
      <c r="E22" s="14" t="s">
        <v>198</v>
      </c>
      <c r="F22" s="14" t="s">
        <v>11</v>
      </c>
      <c r="G22" s="13">
        <v>1</v>
      </c>
      <c r="H22" s="14">
        <f t="shared" si="2"/>
        <v>2</v>
      </c>
      <c r="I22" s="14">
        <v>1</v>
      </c>
      <c r="J22" s="14">
        <v>2</v>
      </c>
      <c r="K22" s="13" t="s">
        <v>4761</v>
      </c>
      <c r="L22" s="14" t="s">
        <v>145</v>
      </c>
      <c r="M22" s="14">
        <v>6693</v>
      </c>
      <c r="N22" s="14">
        <v>8848</v>
      </c>
      <c r="O22" s="14">
        <v>366930</v>
      </c>
      <c r="P22" s="14">
        <v>88480</v>
      </c>
      <c r="Q22" s="14"/>
    </row>
    <row r="23" spans="1:17" ht="22.5" x14ac:dyDescent="0.25">
      <c r="A23" s="11" t="s">
        <v>4660</v>
      </c>
      <c r="B23" s="13" t="s">
        <v>68</v>
      </c>
      <c r="C23" s="61" t="s">
        <v>4002</v>
      </c>
      <c r="D23" s="13" t="s">
        <v>26</v>
      </c>
      <c r="E23" s="13" t="s">
        <v>703</v>
      </c>
      <c r="F23" s="14" t="s">
        <v>11</v>
      </c>
      <c r="G23" s="13"/>
      <c r="H23" s="14">
        <f t="shared" si="2"/>
        <v>1</v>
      </c>
      <c r="I23" s="14">
        <v>1</v>
      </c>
      <c r="J23" s="14">
        <v>1</v>
      </c>
      <c r="K23" s="13" t="s">
        <v>4373</v>
      </c>
      <c r="L23" s="14" t="s">
        <v>145</v>
      </c>
      <c r="M23" s="14">
        <v>6651</v>
      </c>
      <c r="N23" s="14">
        <v>8879</v>
      </c>
      <c r="O23" s="14">
        <v>366510</v>
      </c>
      <c r="P23" s="14">
        <v>88790</v>
      </c>
      <c r="Q23" s="14"/>
    </row>
    <row r="24" spans="1:17" x14ac:dyDescent="0.25">
      <c r="A24" s="11" t="s">
        <v>4660</v>
      </c>
      <c r="B24" s="13" t="s">
        <v>68</v>
      </c>
      <c r="C24" s="61" t="s">
        <v>3963</v>
      </c>
      <c r="D24" s="13" t="s">
        <v>26</v>
      </c>
      <c r="E24" s="14" t="s">
        <v>381</v>
      </c>
      <c r="F24" s="14" t="s">
        <v>11</v>
      </c>
      <c r="G24" s="13">
        <v>1</v>
      </c>
      <c r="H24" s="14">
        <f>G24+I24</f>
        <v>1</v>
      </c>
      <c r="J24" s="14">
        <v>1</v>
      </c>
      <c r="K24" s="13" t="s">
        <v>657</v>
      </c>
      <c r="L24" s="14" t="s">
        <v>110</v>
      </c>
      <c r="M24" s="14">
        <v>40</v>
      </c>
      <c r="N24" s="14">
        <v>191</v>
      </c>
      <c r="O24" s="14">
        <v>404000</v>
      </c>
      <c r="P24" s="14">
        <v>119100</v>
      </c>
      <c r="Q24" s="14"/>
    </row>
    <row r="25" spans="1:17" x14ac:dyDescent="0.25">
      <c r="A25" s="11" t="s">
        <v>4660</v>
      </c>
      <c r="B25" s="13" t="s">
        <v>68</v>
      </c>
      <c r="C25" s="61" t="s">
        <v>1317</v>
      </c>
      <c r="D25" s="13" t="s">
        <v>26</v>
      </c>
      <c r="E25" s="14" t="s">
        <v>381</v>
      </c>
      <c r="F25" s="14" t="s">
        <v>11</v>
      </c>
      <c r="G25" s="13">
        <v>1</v>
      </c>
      <c r="H25" s="14">
        <f t="shared" si="2"/>
        <v>1</v>
      </c>
      <c r="J25" s="14">
        <v>1</v>
      </c>
      <c r="K25" s="13" t="s">
        <v>657</v>
      </c>
      <c r="L25" s="14" t="s">
        <v>119</v>
      </c>
      <c r="M25" s="14">
        <v>971</v>
      </c>
      <c r="N25" s="14">
        <v>122</v>
      </c>
      <c r="O25" s="14">
        <v>397100</v>
      </c>
      <c r="P25" s="14">
        <v>112200</v>
      </c>
      <c r="Q25" s="14"/>
    </row>
    <row r="26" spans="1:17" x14ac:dyDescent="0.25">
      <c r="A26" s="11" t="s">
        <v>4660</v>
      </c>
      <c r="B26" s="13" t="s">
        <v>68</v>
      </c>
      <c r="C26" s="61" t="s">
        <v>343</v>
      </c>
      <c r="D26" s="13" t="s">
        <v>26</v>
      </c>
      <c r="E26" s="14" t="s">
        <v>314</v>
      </c>
      <c r="F26" s="14" t="s">
        <v>11</v>
      </c>
      <c r="G26" s="13">
        <v>1</v>
      </c>
      <c r="H26" s="14">
        <f t="shared" si="2"/>
        <v>1</v>
      </c>
      <c r="J26" s="14">
        <v>1</v>
      </c>
      <c r="K26" s="13" t="s">
        <v>657</v>
      </c>
      <c r="L26" s="14" t="s">
        <v>110</v>
      </c>
      <c r="M26" s="14">
        <v>1239</v>
      </c>
      <c r="N26" s="14">
        <v>17283</v>
      </c>
      <c r="O26" s="14">
        <v>401239</v>
      </c>
      <c r="P26" s="14">
        <v>117283</v>
      </c>
      <c r="Q26" s="14"/>
    </row>
    <row r="27" spans="1:17" ht="33.75" x14ac:dyDescent="0.25">
      <c r="A27" s="11" t="s">
        <v>4660</v>
      </c>
      <c r="B27" s="13" t="s">
        <v>209</v>
      </c>
      <c r="C27" s="61" t="s">
        <v>823</v>
      </c>
      <c r="D27" s="13" t="s">
        <v>4504</v>
      </c>
      <c r="E27" s="13" t="s">
        <v>282</v>
      </c>
      <c r="F27" s="14" t="s">
        <v>11</v>
      </c>
      <c r="G27" s="13">
        <v>1</v>
      </c>
      <c r="H27" s="14">
        <f t="shared" si="2"/>
        <v>1</v>
      </c>
      <c r="J27" s="14">
        <v>1</v>
      </c>
      <c r="K27" s="13" t="s">
        <v>3242</v>
      </c>
      <c r="L27" s="14" t="s">
        <v>140</v>
      </c>
      <c r="M27" s="14">
        <v>17</v>
      </c>
      <c r="N27" s="14">
        <v>15</v>
      </c>
      <c r="O27" s="14">
        <v>617500</v>
      </c>
      <c r="P27" s="14">
        <v>215500</v>
      </c>
      <c r="Q27" s="14"/>
    </row>
    <row r="28" spans="1:17" x14ac:dyDescent="0.25">
      <c r="A28" s="11" t="s">
        <v>4660</v>
      </c>
      <c r="B28" s="13" t="s">
        <v>209</v>
      </c>
      <c r="C28" s="61" t="s">
        <v>383</v>
      </c>
      <c r="D28" s="13" t="s">
        <v>20</v>
      </c>
      <c r="E28" s="14" t="s">
        <v>384</v>
      </c>
      <c r="F28" s="14" t="s">
        <v>11</v>
      </c>
      <c r="G28" s="13"/>
      <c r="H28" s="14">
        <f t="shared" si="2"/>
        <v>1</v>
      </c>
      <c r="I28" s="14">
        <v>1</v>
      </c>
      <c r="J28" s="14">
        <v>1</v>
      </c>
      <c r="K28" s="13" t="s">
        <v>649</v>
      </c>
      <c r="L28" s="14" t="s">
        <v>177</v>
      </c>
      <c r="M28" s="14">
        <v>7252</v>
      </c>
      <c r="N28" s="14">
        <v>666</v>
      </c>
      <c r="O28" s="14">
        <v>572520</v>
      </c>
      <c r="P28" s="14">
        <v>206660</v>
      </c>
      <c r="Q28" s="14"/>
    </row>
    <row r="29" spans="1:17" ht="33.75" x14ac:dyDescent="0.25">
      <c r="A29" s="11" t="s">
        <v>4660</v>
      </c>
      <c r="B29" s="13" t="s">
        <v>64</v>
      </c>
      <c r="C29" s="61" t="s">
        <v>1117</v>
      </c>
      <c r="D29" s="13" t="s">
        <v>3668</v>
      </c>
      <c r="E29" s="13" t="s">
        <v>4754</v>
      </c>
      <c r="F29" s="14" t="s">
        <v>11</v>
      </c>
      <c r="G29" s="13">
        <v>5</v>
      </c>
      <c r="H29" s="14">
        <f>G29+I29</f>
        <v>22</v>
      </c>
      <c r="I29" s="14">
        <v>17</v>
      </c>
      <c r="J29" s="14">
        <v>13</v>
      </c>
      <c r="K29" s="13" t="s">
        <v>4779</v>
      </c>
      <c r="L29" s="14" t="s">
        <v>111</v>
      </c>
      <c r="M29" s="14">
        <v>72</v>
      </c>
      <c r="N29" s="14">
        <v>188</v>
      </c>
      <c r="O29" s="14">
        <v>407200</v>
      </c>
      <c r="P29" s="14">
        <v>218800</v>
      </c>
      <c r="Q29" s="14"/>
    </row>
    <row r="30" spans="1:17" ht="33.75" x14ac:dyDescent="0.25">
      <c r="A30" s="11" t="s">
        <v>4660</v>
      </c>
      <c r="B30" s="13" t="s">
        <v>64</v>
      </c>
      <c r="C30" s="61" t="s">
        <v>4753</v>
      </c>
      <c r="D30" s="13" t="s">
        <v>3668</v>
      </c>
      <c r="E30" s="13" t="s">
        <v>4754</v>
      </c>
      <c r="F30" s="14" t="s">
        <v>11</v>
      </c>
      <c r="G30" s="13"/>
      <c r="H30" s="14">
        <f>G30+I30</f>
        <v>1</v>
      </c>
      <c r="I30" s="14">
        <v>1</v>
      </c>
      <c r="J30" s="14">
        <v>1</v>
      </c>
      <c r="K30" s="13" t="s">
        <v>1673</v>
      </c>
      <c r="L30" s="14" t="s">
        <v>111</v>
      </c>
      <c r="M30" s="14">
        <v>72</v>
      </c>
      <c r="N30" s="14">
        <v>188</v>
      </c>
      <c r="O30" s="14">
        <v>407200</v>
      </c>
      <c r="P30" s="14">
        <v>218800</v>
      </c>
      <c r="Q30" s="14"/>
    </row>
    <row r="31" spans="1:17" x14ac:dyDescent="0.25">
      <c r="A31" s="11" t="s">
        <v>4660</v>
      </c>
      <c r="B31" s="13" t="s">
        <v>64</v>
      </c>
      <c r="C31" s="61" t="s">
        <v>222</v>
      </c>
      <c r="D31" s="13" t="s">
        <v>26</v>
      </c>
      <c r="E31" s="14" t="s">
        <v>69</v>
      </c>
      <c r="F31" s="14" t="s">
        <v>11</v>
      </c>
      <c r="G31" s="13"/>
      <c r="H31" s="14">
        <f t="shared" si="2"/>
        <v>1</v>
      </c>
      <c r="I31" s="14">
        <v>1</v>
      </c>
      <c r="J31" s="14">
        <v>1</v>
      </c>
      <c r="K31" s="13" t="s">
        <v>1673</v>
      </c>
      <c r="L31" s="14" t="s">
        <v>111</v>
      </c>
      <c r="M31" s="14">
        <v>9576</v>
      </c>
      <c r="N31" s="14">
        <v>21203</v>
      </c>
      <c r="O31" s="14">
        <v>409576</v>
      </c>
      <c r="P31" s="14">
        <v>221203</v>
      </c>
      <c r="Q31" s="14"/>
    </row>
    <row r="32" spans="1:17" ht="22.5" x14ac:dyDescent="0.25">
      <c r="A32" s="11" t="s">
        <v>4660</v>
      </c>
      <c r="B32" s="13" t="s">
        <v>1346</v>
      </c>
      <c r="C32" s="61" t="s">
        <v>3562</v>
      </c>
      <c r="D32" s="13" t="s">
        <v>1932</v>
      </c>
      <c r="E32" s="14" t="s">
        <v>2599</v>
      </c>
      <c r="F32" s="14" t="s">
        <v>11</v>
      </c>
      <c r="G32" s="13"/>
      <c r="H32" s="14">
        <f>G32+I32</f>
        <v>1</v>
      </c>
      <c r="I32" s="14">
        <v>1</v>
      </c>
      <c r="J32" s="14">
        <v>1</v>
      </c>
      <c r="K32" s="13" t="s">
        <v>2317</v>
      </c>
      <c r="L32" s="14" t="s">
        <v>113</v>
      </c>
      <c r="M32" s="14">
        <v>318</v>
      </c>
      <c r="N32" s="14">
        <v>431</v>
      </c>
      <c r="O32" s="14">
        <v>331800</v>
      </c>
      <c r="P32" s="14">
        <v>243100</v>
      </c>
      <c r="Q32" s="14"/>
    </row>
    <row r="33" spans="1:17" ht="22.5" x14ac:dyDescent="0.25">
      <c r="A33" s="11" t="s">
        <v>4660</v>
      </c>
      <c r="B33" s="13" t="s">
        <v>1933</v>
      </c>
      <c r="C33" s="61" t="s">
        <v>2244</v>
      </c>
      <c r="D33" s="13" t="s">
        <v>540</v>
      </c>
      <c r="E33" s="13" t="s">
        <v>2245</v>
      </c>
      <c r="F33" s="14" t="s">
        <v>11</v>
      </c>
      <c r="G33" s="13"/>
      <c r="H33" s="14">
        <f t="shared" si="2"/>
        <v>2</v>
      </c>
      <c r="I33" s="14">
        <v>2</v>
      </c>
      <c r="J33" s="14">
        <v>2</v>
      </c>
      <c r="K33" s="13" t="s">
        <v>3292</v>
      </c>
      <c r="L33" s="14" t="s">
        <v>445</v>
      </c>
      <c r="M33" s="14">
        <v>469</v>
      </c>
      <c r="N33" s="14">
        <v>291</v>
      </c>
      <c r="O33" s="14">
        <v>446900</v>
      </c>
      <c r="P33" s="14">
        <v>329100</v>
      </c>
      <c r="Q33" s="14"/>
    </row>
    <row r="34" spans="1:17" x14ac:dyDescent="0.25">
      <c r="A34" s="11" t="s">
        <v>4660</v>
      </c>
      <c r="B34" s="13" t="s">
        <v>328</v>
      </c>
      <c r="C34" s="61" t="s">
        <v>418</v>
      </c>
      <c r="D34" s="13" t="s">
        <v>26</v>
      </c>
      <c r="E34" s="14" t="s">
        <v>419</v>
      </c>
      <c r="F34" s="14" t="s">
        <v>11</v>
      </c>
      <c r="G34" s="13"/>
      <c r="H34" s="14">
        <f t="shared" si="2"/>
        <v>1</v>
      </c>
      <c r="I34" s="14">
        <v>1</v>
      </c>
      <c r="J34" s="14">
        <v>1</v>
      </c>
      <c r="K34" s="13" t="s">
        <v>1704</v>
      </c>
      <c r="L34" s="14" t="s">
        <v>175</v>
      </c>
      <c r="M34" s="14">
        <v>4278</v>
      </c>
      <c r="N34" s="14">
        <v>7126</v>
      </c>
      <c r="O34" s="14">
        <v>542780</v>
      </c>
      <c r="P34" s="14">
        <v>371260</v>
      </c>
      <c r="Q34" s="14"/>
    </row>
    <row r="35" spans="1:17" x14ac:dyDescent="0.25">
      <c r="A35" s="11" t="s">
        <v>4660</v>
      </c>
      <c r="B35" s="13" t="s">
        <v>78</v>
      </c>
      <c r="C35" s="61" t="s">
        <v>565</v>
      </c>
      <c r="D35" s="13" t="s">
        <v>158</v>
      </c>
      <c r="E35" s="14" t="s">
        <v>566</v>
      </c>
      <c r="F35" s="14" t="s">
        <v>11</v>
      </c>
      <c r="G35" s="13">
        <v>1</v>
      </c>
      <c r="H35" s="14">
        <f t="shared" si="2"/>
        <v>5</v>
      </c>
      <c r="I35" s="14">
        <v>4</v>
      </c>
      <c r="J35" s="14">
        <v>4</v>
      </c>
      <c r="K35" s="13" t="s">
        <v>4752</v>
      </c>
      <c r="L35" s="14" t="s">
        <v>177</v>
      </c>
      <c r="M35" s="14">
        <v>81758</v>
      </c>
      <c r="N35" s="14">
        <v>89781</v>
      </c>
      <c r="O35" s="14">
        <v>581758</v>
      </c>
      <c r="P35" s="14">
        <v>289781</v>
      </c>
      <c r="Q35" s="14"/>
    </row>
    <row r="36" spans="1:17" x14ac:dyDescent="0.25">
      <c r="A36" s="11" t="s">
        <v>4660</v>
      </c>
      <c r="B36" s="13" t="s">
        <v>78</v>
      </c>
      <c r="C36" s="61" t="s">
        <v>4819</v>
      </c>
      <c r="D36" s="13" t="s">
        <v>1395</v>
      </c>
      <c r="E36" s="14" t="s">
        <v>566</v>
      </c>
      <c r="F36" s="14" t="s">
        <v>11</v>
      </c>
      <c r="G36" s="13"/>
      <c r="H36" s="14">
        <f>G36+I36</f>
        <v>2</v>
      </c>
      <c r="I36" s="14">
        <v>2</v>
      </c>
      <c r="J36" s="14">
        <v>1</v>
      </c>
      <c r="K36" s="13" t="s">
        <v>3286</v>
      </c>
      <c r="L36" s="14" t="s">
        <v>177</v>
      </c>
      <c r="M36" s="14">
        <v>8682</v>
      </c>
      <c r="N36" s="14">
        <v>9904</v>
      </c>
      <c r="O36" s="14">
        <v>586820</v>
      </c>
      <c r="P36" s="14">
        <v>299040</v>
      </c>
      <c r="Q36" s="14"/>
    </row>
    <row r="37" spans="1:17" ht="22.5" x14ac:dyDescent="0.25">
      <c r="A37" s="11" t="s">
        <v>4660</v>
      </c>
      <c r="B37" s="13" t="s">
        <v>78</v>
      </c>
      <c r="C37" s="61" t="s">
        <v>2085</v>
      </c>
      <c r="D37" s="13" t="s">
        <v>17</v>
      </c>
      <c r="E37" s="13" t="s">
        <v>2086</v>
      </c>
      <c r="F37" s="14" t="s">
        <v>11</v>
      </c>
      <c r="G37" s="13">
        <v>2</v>
      </c>
      <c r="H37" s="14">
        <f>G37+I37</f>
        <v>15</v>
      </c>
      <c r="I37" s="14">
        <v>13</v>
      </c>
      <c r="J37" s="14">
        <v>9</v>
      </c>
      <c r="K37" s="13" t="s">
        <v>4850</v>
      </c>
      <c r="L37" s="14" t="s">
        <v>175</v>
      </c>
      <c r="M37" s="14">
        <v>7112</v>
      </c>
      <c r="N37" s="14">
        <v>4526</v>
      </c>
      <c r="O37" s="14">
        <v>571120</v>
      </c>
      <c r="P37" s="14">
        <v>345260</v>
      </c>
      <c r="Q37" s="14"/>
    </row>
    <row r="38" spans="1:17" ht="33.75" x14ac:dyDescent="0.25">
      <c r="A38" s="11" t="s">
        <v>4660</v>
      </c>
      <c r="B38" s="13" t="s">
        <v>206</v>
      </c>
      <c r="C38" s="61" t="s">
        <v>207</v>
      </c>
      <c r="D38" s="13" t="s">
        <v>3848</v>
      </c>
      <c r="E38" s="14" t="s">
        <v>208</v>
      </c>
      <c r="F38" s="14" t="s">
        <v>11</v>
      </c>
      <c r="G38" s="13"/>
      <c r="H38" s="14">
        <f>G38+I38</f>
        <v>1</v>
      </c>
      <c r="I38" s="14">
        <v>1</v>
      </c>
      <c r="J38" s="14">
        <v>1</v>
      </c>
      <c r="K38" s="13" t="s">
        <v>2317</v>
      </c>
      <c r="L38" s="14" t="s">
        <v>111</v>
      </c>
      <c r="M38" s="14">
        <v>7362</v>
      </c>
      <c r="N38" s="14">
        <v>5923</v>
      </c>
      <c r="O38" s="14">
        <v>473620</v>
      </c>
      <c r="P38" s="14">
        <v>259230</v>
      </c>
      <c r="Q38" s="14"/>
    </row>
    <row r="39" spans="1:17" x14ac:dyDescent="0.25">
      <c r="A39" s="11" t="s">
        <v>4660</v>
      </c>
      <c r="B39" s="13" t="s">
        <v>62</v>
      </c>
      <c r="C39" s="61" t="s">
        <v>61</v>
      </c>
      <c r="D39" s="13" t="s">
        <v>26</v>
      </c>
      <c r="E39" s="13" t="s">
        <v>101</v>
      </c>
      <c r="F39" s="14" t="s">
        <v>11</v>
      </c>
      <c r="G39" s="13"/>
      <c r="H39" s="14">
        <f t="shared" ref="H39:H49" si="3">G39+I39</f>
        <v>1</v>
      </c>
      <c r="I39" s="14">
        <v>1</v>
      </c>
      <c r="J39" s="14">
        <v>1</v>
      </c>
      <c r="K39" s="13" t="s">
        <v>1673</v>
      </c>
      <c r="L39" s="14" t="s">
        <v>111</v>
      </c>
      <c r="M39" s="14">
        <v>3001</v>
      </c>
      <c r="N39" s="14">
        <v>1755</v>
      </c>
      <c r="O39" s="14">
        <v>430010</v>
      </c>
      <c r="P39" s="14">
        <v>217550</v>
      </c>
      <c r="Q39" s="14"/>
    </row>
    <row r="40" spans="1:17" ht="45" x14ac:dyDescent="0.25">
      <c r="A40" s="11" t="s">
        <v>4660</v>
      </c>
      <c r="B40" s="13" t="s">
        <v>62</v>
      </c>
      <c r="C40" s="61" t="s">
        <v>91</v>
      </c>
      <c r="D40" s="13" t="s">
        <v>4029</v>
      </c>
      <c r="E40" s="13" t="s">
        <v>102</v>
      </c>
      <c r="F40" s="14" t="s">
        <v>11</v>
      </c>
      <c r="G40" s="13">
        <v>2</v>
      </c>
      <c r="H40" s="14">
        <f t="shared" si="3"/>
        <v>6</v>
      </c>
      <c r="I40" s="14">
        <v>4</v>
      </c>
      <c r="J40" s="14">
        <v>3</v>
      </c>
      <c r="K40" s="13" t="s">
        <v>4783</v>
      </c>
      <c r="L40" s="14" t="s">
        <v>110</v>
      </c>
      <c r="M40" s="14">
        <v>5109</v>
      </c>
      <c r="N40" s="14">
        <v>9828</v>
      </c>
      <c r="O40" s="14">
        <v>451090</v>
      </c>
      <c r="P40" s="14">
        <v>198280</v>
      </c>
      <c r="Q40" s="14"/>
    </row>
    <row r="41" spans="1:17" ht="22.5" x14ac:dyDescent="0.25">
      <c r="A41" s="11" t="s">
        <v>4660</v>
      </c>
      <c r="B41" s="13" t="s">
        <v>62</v>
      </c>
      <c r="C41" s="61" t="s">
        <v>1122</v>
      </c>
      <c r="D41" s="13" t="s">
        <v>540</v>
      </c>
      <c r="E41" s="13" t="s">
        <v>102</v>
      </c>
      <c r="F41" s="14" t="s">
        <v>11</v>
      </c>
      <c r="G41" s="13">
        <v>5</v>
      </c>
      <c r="H41" s="14">
        <f>G41+I41</f>
        <v>13</v>
      </c>
      <c r="I41" s="14">
        <v>8</v>
      </c>
      <c r="J41" s="14">
        <v>7</v>
      </c>
      <c r="K41" s="13" t="s">
        <v>4818</v>
      </c>
      <c r="L41" s="14" t="s">
        <v>110</v>
      </c>
      <c r="M41" s="14">
        <v>5167</v>
      </c>
      <c r="N41" s="14">
        <v>9830</v>
      </c>
      <c r="O41" s="14">
        <v>451670</v>
      </c>
      <c r="P41" s="14">
        <v>198300</v>
      </c>
      <c r="Q41" s="14"/>
    </row>
    <row r="42" spans="1:17" ht="22.5" x14ac:dyDescent="0.25">
      <c r="A42" s="11" t="s">
        <v>4660</v>
      </c>
      <c r="B42" s="13" t="s">
        <v>62</v>
      </c>
      <c r="C42" s="61" t="s">
        <v>1122</v>
      </c>
      <c r="D42" s="13" t="s">
        <v>4766</v>
      </c>
      <c r="E42" s="13" t="s">
        <v>102</v>
      </c>
      <c r="F42" s="14" t="s">
        <v>11</v>
      </c>
      <c r="G42" s="13"/>
      <c r="H42" s="14">
        <f>G42+I42</f>
        <v>1</v>
      </c>
      <c r="I42" s="14">
        <v>1</v>
      </c>
      <c r="J42" s="14">
        <v>1</v>
      </c>
      <c r="K42" s="13" t="s">
        <v>4375</v>
      </c>
      <c r="L42" s="14" t="s">
        <v>110</v>
      </c>
      <c r="M42" s="14">
        <v>5167</v>
      </c>
      <c r="N42" s="14">
        <v>9830</v>
      </c>
      <c r="O42" s="14">
        <v>451670</v>
      </c>
      <c r="P42" s="14">
        <v>198300</v>
      </c>
      <c r="Q42" s="14"/>
    </row>
    <row r="43" spans="1:17" ht="22.5" x14ac:dyDescent="0.25">
      <c r="A43" s="11" t="s">
        <v>4660</v>
      </c>
      <c r="B43" s="13" t="s">
        <v>62</v>
      </c>
      <c r="C43" s="61" t="s">
        <v>1122</v>
      </c>
      <c r="D43" s="13" t="s">
        <v>4767</v>
      </c>
      <c r="E43" s="13" t="s">
        <v>102</v>
      </c>
      <c r="F43" s="14" t="s">
        <v>11</v>
      </c>
      <c r="G43" s="13"/>
      <c r="H43" s="14">
        <f>G43+I43</f>
        <v>4</v>
      </c>
      <c r="I43" s="14">
        <v>4</v>
      </c>
      <c r="J43" s="14">
        <v>2</v>
      </c>
      <c r="K43" s="13" t="s">
        <v>4768</v>
      </c>
      <c r="L43" s="14" t="s">
        <v>110</v>
      </c>
      <c r="M43" s="14">
        <v>5167</v>
      </c>
      <c r="N43" s="14">
        <v>9830</v>
      </c>
      <c r="O43" s="14">
        <v>451670</v>
      </c>
      <c r="P43" s="14">
        <v>198300</v>
      </c>
      <c r="Q43" s="14"/>
    </row>
    <row r="44" spans="1:17" ht="24.75" customHeight="1" x14ac:dyDescent="0.25">
      <c r="A44" s="11" t="s">
        <v>4660</v>
      </c>
      <c r="B44" s="13" t="s">
        <v>62</v>
      </c>
      <c r="C44" s="61" t="s">
        <v>1122</v>
      </c>
      <c r="D44" s="13" t="s">
        <v>1932</v>
      </c>
      <c r="E44" s="13" t="s">
        <v>102</v>
      </c>
      <c r="F44" s="14" t="s">
        <v>11</v>
      </c>
      <c r="G44" s="13"/>
      <c r="H44" s="14">
        <f>G44+I44</f>
        <v>2</v>
      </c>
      <c r="I44" s="14">
        <v>2</v>
      </c>
      <c r="J44" s="14">
        <v>1</v>
      </c>
      <c r="K44" s="13" t="s">
        <v>4375</v>
      </c>
      <c r="L44" s="14" t="s">
        <v>110</v>
      </c>
      <c r="M44" s="14">
        <v>5167</v>
      </c>
      <c r="N44" s="14">
        <v>9830</v>
      </c>
      <c r="O44" s="14">
        <v>451670</v>
      </c>
      <c r="P44" s="14">
        <v>198300</v>
      </c>
      <c r="Q44" s="14"/>
    </row>
    <row r="45" spans="1:17" ht="22.5" x14ac:dyDescent="0.25">
      <c r="A45" s="11" t="s">
        <v>4660</v>
      </c>
      <c r="B45" s="13" t="s">
        <v>62</v>
      </c>
      <c r="C45" s="61" t="s">
        <v>1122</v>
      </c>
      <c r="D45" s="13" t="s">
        <v>4764</v>
      </c>
      <c r="E45" s="13" t="s">
        <v>102</v>
      </c>
      <c r="F45" s="14" t="s">
        <v>11</v>
      </c>
      <c r="G45" s="13"/>
      <c r="H45" s="14">
        <f>G45+I45</f>
        <v>6</v>
      </c>
      <c r="I45" s="14">
        <v>6</v>
      </c>
      <c r="J45" s="14">
        <v>4</v>
      </c>
      <c r="K45" s="13" t="s">
        <v>4765</v>
      </c>
      <c r="L45" s="14" t="s">
        <v>110</v>
      </c>
      <c r="M45" s="14">
        <v>5167</v>
      </c>
      <c r="N45" s="14">
        <v>9830</v>
      </c>
      <c r="O45" s="14">
        <v>451670</v>
      </c>
      <c r="P45" s="14">
        <v>198300</v>
      </c>
      <c r="Q45" s="14"/>
    </row>
    <row r="46" spans="1:17" ht="22.5" x14ac:dyDescent="0.25">
      <c r="A46" s="11" t="s">
        <v>4660</v>
      </c>
      <c r="B46" s="13" t="s">
        <v>62</v>
      </c>
      <c r="C46" s="61" t="s">
        <v>4027</v>
      </c>
      <c r="D46" s="13" t="s">
        <v>26</v>
      </c>
      <c r="E46" s="13" t="s">
        <v>102</v>
      </c>
      <c r="F46" s="14" t="s">
        <v>11</v>
      </c>
      <c r="G46" s="13"/>
      <c r="H46" s="14">
        <f t="shared" si="3"/>
        <v>1</v>
      </c>
      <c r="I46" s="14">
        <v>1</v>
      </c>
      <c r="J46" s="14">
        <v>1</v>
      </c>
      <c r="K46" s="13" t="s">
        <v>1673</v>
      </c>
      <c r="L46" s="14" t="s">
        <v>110</v>
      </c>
      <c r="M46" s="14">
        <v>28090</v>
      </c>
      <c r="N46" s="14">
        <v>85396</v>
      </c>
      <c r="O46" s="14">
        <v>428090</v>
      </c>
      <c r="P46" s="14">
        <v>185396</v>
      </c>
      <c r="Q46" s="14"/>
    </row>
    <row r="47" spans="1:17" x14ac:dyDescent="0.25">
      <c r="A47" s="11" t="s">
        <v>4660</v>
      </c>
      <c r="B47" s="13" t="s">
        <v>22</v>
      </c>
      <c r="C47" s="61" t="s">
        <v>3327</v>
      </c>
      <c r="D47" s="13" t="s">
        <v>1278</v>
      </c>
      <c r="E47" s="14" t="s">
        <v>512</v>
      </c>
      <c r="F47" s="14" t="s">
        <v>11</v>
      </c>
      <c r="G47" s="13">
        <v>1</v>
      </c>
      <c r="H47" s="14">
        <f t="shared" si="3"/>
        <v>1</v>
      </c>
      <c r="J47" s="14">
        <v>1</v>
      </c>
      <c r="K47" s="13" t="s">
        <v>1218</v>
      </c>
      <c r="L47" s="14" t="s">
        <v>119</v>
      </c>
      <c r="M47" s="14">
        <v>501</v>
      </c>
      <c r="N47" s="14">
        <v>390</v>
      </c>
      <c r="O47" s="14">
        <v>350100</v>
      </c>
      <c r="P47" s="14">
        <v>139000</v>
      </c>
      <c r="Q47" s="14"/>
    </row>
    <row r="48" spans="1:17" x14ac:dyDescent="0.25">
      <c r="A48" s="11" t="s">
        <v>4660</v>
      </c>
      <c r="B48" s="13" t="s">
        <v>22</v>
      </c>
      <c r="C48" s="61" t="s">
        <v>149</v>
      </c>
      <c r="D48" s="13" t="s">
        <v>1278</v>
      </c>
      <c r="E48" s="14" t="s">
        <v>149</v>
      </c>
      <c r="F48" s="14" t="s">
        <v>11</v>
      </c>
      <c r="G48" s="13">
        <v>6</v>
      </c>
      <c r="H48" s="14">
        <f>G48+I48</f>
        <v>10</v>
      </c>
      <c r="I48" s="14">
        <v>4</v>
      </c>
      <c r="J48" s="14">
        <v>5</v>
      </c>
      <c r="K48" s="13" t="s">
        <v>4707</v>
      </c>
      <c r="L48" s="14" t="s">
        <v>119</v>
      </c>
      <c r="M48" s="14">
        <v>35170</v>
      </c>
      <c r="N48" s="14">
        <v>29909</v>
      </c>
      <c r="O48" s="14">
        <v>335170</v>
      </c>
      <c r="P48" s="14">
        <v>129909</v>
      </c>
      <c r="Q48" s="14"/>
    </row>
    <row r="49" spans="1:17" ht="33.75" x14ac:dyDescent="0.25">
      <c r="A49" s="11" t="s">
        <v>4660</v>
      </c>
      <c r="B49" s="13" t="s">
        <v>22</v>
      </c>
      <c r="C49" s="61" t="s">
        <v>147</v>
      </c>
      <c r="D49" s="13" t="s">
        <v>148</v>
      </c>
      <c r="E49" s="14" t="s">
        <v>149</v>
      </c>
      <c r="F49" s="14" t="s">
        <v>11</v>
      </c>
      <c r="G49" s="13">
        <v>3</v>
      </c>
      <c r="H49" s="14">
        <f t="shared" si="3"/>
        <v>13</v>
      </c>
      <c r="I49" s="14">
        <v>10</v>
      </c>
      <c r="J49" s="14">
        <v>7</v>
      </c>
      <c r="K49" s="13" t="s">
        <v>4706</v>
      </c>
      <c r="L49" s="14" t="s">
        <v>119</v>
      </c>
      <c r="M49" s="14">
        <v>423</v>
      </c>
      <c r="N49" s="14">
        <v>403</v>
      </c>
      <c r="O49" s="14">
        <v>342300</v>
      </c>
      <c r="P49" s="14">
        <v>140300</v>
      </c>
      <c r="Q49" s="14"/>
    </row>
    <row r="50" spans="1:17" x14ac:dyDescent="0.25">
      <c r="A50" s="11" t="s">
        <v>4660</v>
      </c>
      <c r="B50" s="13" t="s">
        <v>93</v>
      </c>
      <c r="C50" s="61" t="s">
        <v>157</v>
      </c>
      <c r="D50" s="13" t="s">
        <v>158</v>
      </c>
      <c r="E50" s="14" t="s">
        <v>112</v>
      </c>
      <c r="F50" s="14" t="s">
        <v>11</v>
      </c>
      <c r="G50" s="13"/>
      <c r="H50" s="14">
        <f t="shared" ref="H50:H81" si="4">G50+I50</f>
        <v>1</v>
      </c>
      <c r="I50" s="14">
        <v>1</v>
      </c>
      <c r="J50" s="14">
        <v>1</v>
      </c>
      <c r="K50" s="13" t="s">
        <v>3022</v>
      </c>
      <c r="L50" s="14" t="s">
        <v>108</v>
      </c>
      <c r="M50" s="14">
        <v>1360</v>
      </c>
      <c r="N50" s="14">
        <v>788</v>
      </c>
      <c r="O50" s="14">
        <v>513600</v>
      </c>
      <c r="P50" s="14">
        <v>107880</v>
      </c>
      <c r="Q50" s="14"/>
    </row>
    <row r="51" spans="1:17" x14ac:dyDescent="0.25">
      <c r="A51" s="11" t="s">
        <v>4660</v>
      </c>
      <c r="B51" s="13" t="s">
        <v>93</v>
      </c>
      <c r="C51" s="61" t="s">
        <v>1785</v>
      </c>
      <c r="D51" s="13" t="s">
        <v>158</v>
      </c>
      <c r="E51" s="14" t="s">
        <v>112</v>
      </c>
      <c r="F51" s="14" t="s">
        <v>11</v>
      </c>
      <c r="G51" s="13"/>
      <c r="H51" s="14">
        <f t="shared" si="4"/>
        <v>1</v>
      </c>
      <c r="I51" s="14">
        <v>1</v>
      </c>
      <c r="J51" s="14">
        <v>1</v>
      </c>
      <c r="K51" s="13" t="s">
        <v>3022</v>
      </c>
      <c r="L51" s="14" t="s">
        <v>108</v>
      </c>
      <c r="M51" s="14">
        <v>82</v>
      </c>
      <c r="N51" s="14">
        <v>100</v>
      </c>
      <c r="O51" s="14">
        <v>508200</v>
      </c>
      <c r="P51" s="14">
        <v>110000</v>
      </c>
      <c r="Q51" s="14"/>
    </row>
    <row r="52" spans="1:17" ht="22.5" x14ac:dyDescent="0.25">
      <c r="A52" s="11" t="s">
        <v>4660</v>
      </c>
      <c r="B52" s="13" t="s">
        <v>93</v>
      </c>
      <c r="C52" s="61" t="s">
        <v>199</v>
      </c>
      <c r="D52" s="13" t="s">
        <v>92</v>
      </c>
      <c r="E52" s="14" t="s">
        <v>112</v>
      </c>
      <c r="F52" s="14" t="s">
        <v>11</v>
      </c>
      <c r="G52" s="13"/>
      <c r="H52" s="14">
        <f t="shared" si="4"/>
        <v>1</v>
      </c>
      <c r="I52" s="14">
        <v>1</v>
      </c>
      <c r="J52" s="14">
        <v>1</v>
      </c>
      <c r="K52" s="13" t="s">
        <v>2301</v>
      </c>
      <c r="L52" s="14" t="s">
        <v>110</v>
      </c>
      <c r="M52" s="14">
        <v>877</v>
      </c>
      <c r="N52" s="14">
        <v>110</v>
      </c>
      <c r="O52" s="14">
        <v>487700</v>
      </c>
      <c r="P52" s="14">
        <v>111000</v>
      </c>
      <c r="Q52" s="14"/>
    </row>
    <row r="53" spans="1:17" x14ac:dyDescent="0.25">
      <c r="A53" s="11" t="s">
        <v>4660</v>
      </c>
      <c r="B53" s="13" t="s">
        <v>24</v>
      </c>
      <c r="C53" s="61" t="s">
        <v>589</v>
      </c>
      <c r="D53" s="13" t="s">
        <v>90</v>
      </c>
      <c r="E53" s="14" t="s">
        <v>1196</v>
      </c>
      <c r="F53" s="14" t="s">
        <v>11</v>
      </c>
      <c r="G53" s="13"/>
      <c r="H53" s="14">
        <f t="shared" si="4"/>
        <v>1</v>
      </c>
      <c r="I53" s="14">
        <v>1</v>
      </c>
      <c r="J53" s="14">
        <v>1</v>
      </c>
      <c r="K53" s="13" t="s">
        <v>3313</v>
      </c>
      <c r="L53" s="14" t="s">
        <v>110</v>
      </c>
      <c r="M53" s="14">
        <v>175</v>
      </c>
      <c r="N53" s="14">
        <v>423</v>
      </c>
      <c r="O53" s="14">
        <v>417500</v>
      </c>
      <c r="P53" s="14">
        <v>142300</v>
      </c>
      <c r="Q53" s="14"/>
    </row>
    <row r="54" spans="1:17" ht="22.5" x14ac:dyDescent="0.25">
      <c r="A54" s="11" t="s">
        <v>4660</v>
      </c>
      <c r="B54" s="13" t="s">
        <v>24</v>
      </c>
      <c r="C54" s="61" t="s">
        <v>23</v>
      </c>
      <c r="D54" s="13" t="s">
        <v>124</v>
      </c>
      <c r="E54" s="14" t="s">
        <v>21</v>
      </c>
      <c r="F54" s="14" t="s">
        <v>11</v>
      </c>
      <c r="G54" s="13">
        <v>20</v>
      </c>
      <c r="H54" s="14">
        <f t="shared" si="4"/>
        <v>35</v>
      </c>
      <c r="I54" s="14">
        <v>15</v>
      </c>
      <c r="J54" s="14">
        <v>19</v>
      </c>
      <c r="K54" s="13" t="s">
        <v>4827</v>
      </c>
      <c r="L54" s="14" t="s">
        <v>110</v>
      </c>
      <c r="M54" s="14">
        <v>1026</v>
      </c>
      <c r="N54" s="14">
        <v>6996</v>
      </c>
      <c r="O54" s="14">
        <v>410260</v>
      </c>
      <c r="P54" s="14">
        <v>169960</v>
      </c>
      <c r="Q54" s="14"/>
    </row>
    <row r="55" spans="1:17" x14ac:dyDescent="0.25">
      <c r="A55" s="11" t="s">
        <v>4660</v>
      </c>
      <c r="B55" s="13" t="s">
        <v>24</v>
      </c>
      <c r="C55" s="61" t="s">
        <v>1164</v>
      </c>
      <c r="D55" s="13" t="s">
        <v>121</v>
      </c>
      <c r="E55" s="14" t="s">
        <v>21</v>
      </c>
      <c r="F55" s="14" t="s">
        <v>11</v>
      </c>
      <c r="G55" s="13"/>
      <c r="H55" s="14">
        <f t="shared" si="4"/>
        <v>1</v>
      </c>
      <c r="I55" s="14">
        <v>1</v>
      </c>
      <c r="J55" s="14">
        <v>1</v>
      </c>
      <c r="K55" s="13" t="s">
        <v>3266</v>
      </c>
      <c r="L55" s="14" t="s">
        <v>110</v>
      </c>
      <c r="M55" s="14">
        <v>89</v>
      </c>
      <c r="N55" s="14">
        <v>693</v>
      </c>
      <c r="O55" s="14">
        <v>408900</v>
      </c>
      <c r="P55" s="14">
        <v>169300</v>
      </c>
      <c r="Q55" s="14"/>
    </row>
    <row r="56" spans="1:17" x14ac:dyDescent="0.25">
      <c r="A56" s="11" t="s">
        <v>4660</v>
      </c>
      <c r="B56" s="13" t="s">
        <v>24</v>
      </c>
      <c r="C56" s="61" t="s">
        <v>1340</v>
      </c>
      <c r="D56" s="13" t="s">
        <v>1198</v>
      </c>
      <c r="E56" s="14" t="s">
        <v>1839</v>
      </c>
      <c r="F56" s="14" t="s">
        <v>11</v>
      </c>
      <c r="G56" s="13"/>
      <c r="H56" s="14">
        <f t="shared" si="4"/>
        <v>5</v>
      </c>
      <c r="I56" s="14">
        <v>5</v>
      </c>
      <c r="J56" s="14">
        <v>2</v>
      </c>
      <c r="K56" s="13" t="s">
        <v>3285</v>
      </c>
      <c r="L56" s="14" t="s">
        <v>110</v>
      </c>
      <c r="M56" s="14">
        <v>7995</v>
      </c>
      <c r="N56" s="14">
        <v>8199</v>
      </c>
      <c r="O56" s="14">
        <v>379950</v>
      </c>
      <c r="P56" s="14">
        <v>81990</v>
      </c>
      <c r="Q56" s="14"/>
    </row>
    <row r="57" spans="1:17" x14ac:dyDescent="0.25">
      <c r="A57" s="11" t="s">
        <v>4660</v>
      </c>
      <c r="B57" s="13" t="s">
        <v>24</v>
      </c>
      <c r="C57" s="61" t="s">
        <v>1171</v>
      </c>
      <c r="D57" s="13" t="s">
        <v>18</v>
      </c>
      <c r="E57" s="14" t="s">
        <v>21</v>
      </c>
      <c r="F57" s="14" t="s">
        <v>11</v>
      </c>
      <c r="G57" s="13"/>
      <c r="H57" s="14">
        <f t="shared" si="4"/>
        <v>4</v>
      </c>
      <c r="I57" s="14">
        <v>4</v>
      </c>
      <c r="J57" s="14">
        <v>3</v>
      </c>
      <c r="K57" s="13" t="s">
        <v>4803</v>
      </c>
      <c r="L57" s="14" t="s">
        <v>110</v>
      </c>
      <c r="M57" s="14">
        <v>134</v>
      </c>
      <c r="N57" s="14">
        <v>416</v>
      </c>
      <c r="O57" s="14">
        <v>413400</v>
      </c>
      <c r="P57" s="14">
        <v>141600</v>
      </c>
      <c r="Q57" s="14"/>
    </row>
    <row r="58" spans="1:17" x14ac:dyDescent="0.25">
      <c r="A58" s="11" t="s">
        <v>4660</v>
      </c>
      <c r="B58" s="13" t="s">
        <v>24</v>
      </c>
      <c r="C58" s="61" t="s">
        <v>3273</v>
      </c>
      <c r="D58" s="13" t="s">
        <v>598</v>
      </c>
      <c r="E58" s="14" t="s">
        <v>21</v>
      </c>
      <c r="F58" s="14" t="s">
        <v>11</v>
      </c>
      <c r="G58" s="13">
        <v>1</v>
      </c>
      <c r="H58" s="14">
        <f t="shared" si="4"/>
        <v>8</v>
      </c>
      <c r="I58" s="14">
        <v>7</v>
      </c>
      <c r="J58" s="14">
        <v>5</v>
      </c>
      <c r="K58" s="13" t="s">
        <v>4800</v>
      </c>
      <c r="L58" s="14" t="s">
        <v>110</v>
      </c>
      <c r="M58" s="14">
        <v>134</v>
      </c>
      <c r="N58" s="14">
        <v>416</v>
      </c>
      <c r="O58" s="14">
        <v>413400</v>
      </c>
      <c r="P58" s="14">
        <v>141600</v>
      </c>
      <c r="Q58" s="14"/>
    </row>
    <row r="59" spans="1:17" ht="22.5" x14ac:dyDescent="0.25">
      <c r="A59" s="11" t="s">
        <v>4660</v>
      </c>
      <c r="B59" s="13" t="s">
        <v>24</v>
      </c>
      <c r="C59" s="61" t="s">
        <v>15</v>
      </c>
      <c r="D59" s="13" t="s">
        <v>4522</v>
      </c>
      <c r="E59" s="14" t="s">
        <v>21</v>
      </c>
      <c r="F59" s="14" t="s">
        <v>11</v>
      </c>
      <c r="G59" s="13">
        <v>2</v>
      </c>
      <c r="H59" s="14">
        <f t="shared" si="4"/>
        <v>9</v>
      </c>
      <c r="I59" s="14">
        <v>7</v>
      </c>
      <c r="J59" s="14">
        <v>9</v>
      </c>
      <c r="K59" s="13" t="s">
        <v>4846</v>
      </c>
      <c r="L59" s="14" t="s">
        <v>110</v>
      </c>
      <c r="M59" s="14">
        <v>1501</v>
      </c>
      <c r="N59" s="14">
        <v>4375</v>
      </c>
      <c r="O59" s="14">
        <v>415010</v>
      </c>
      <c r="P59" s="14">
        <v>143750</v>
      </c>
      <c r="Q59" s="14"/>
    </row>
    <row r="60" spans="1:17" ht="22.5" x14ac:dyDescent="0.25">
      <c r="A60" s="11" t="s">
        <v>4660</v>
      </c>
      <c r="B60" s="13" t="s">
        <v>24</v>
      </c>
      <c r="C60" s="61" t="s">
        <v>987</v>
      </c>
      <c r="D60" s="13" t="s">
        <v>540</v>
      </c>
      <c r="E60" s="14" t="s">
        <v>21</v>
      </c>
      <c r="F60" s="14" t="s">
        <v>11</v>
      </c>
      <c r="G60" s="13"/>
      <c r="H60" s="14">
        <f t="shared" si="4"/>
        <v>4</v>
      </c>
      <c r="I60" s="14">
        <v>4</v>
      </c>
      <c r="J60" s="14">
        <v>3</v>
      </c>
      <c r="K60" s="13" t="s">
        <v>4812</v>
      </c>
      <c r="L60" s="14" t="s">
        <v>110</v>
      </c>
      <c r="M60" s="14">
        <v>137</v>
      </c>
      <c r="N60" s="14">
        <v>423</v>
      </c>
      <c r="O60" s="14">
        <v>413700</v>
      </c>
      <c r="P60" s="14">
        <v>142300</v>
      </c>
      <c r="Q60" s="14"/>
    </row>
    <row r="61" spans="1:17" ht="22.5" x14ac:dyDescent="0.25">
      <c r="A61" s="11" t="s">
        <v>4660</v>
      </c>
      <c r="B61" s="13" t="s">
        <v>24</v>
      </c>
      <c r="C61" s="61" t="s">
        <v>1166</v>
      </c>
      <c r="D61" s="13" t="s">
        <v>1167</v>
      </c>
      <c r="E61" s="14" t="s">
        <v>21</v>
      </c>
      <c r="F61" s="14" t="s">
        <v>1125</v>
      </c>
      <c r="G61" s="13"/>
      <c r="H61" s="14">
        <f t="shared" si="4"/>
        <v>3</v>
      </c>
      <c r="I61" s="14">
        <v>3</v>
      </c>
      <c r="J61" s="14">
        <v>3</v>
      </c>
      <c r="K61" s="13" t="s">
        <v>4808</v>
      </c>
      <c r="L61" s="14" t="s">
        <v>110</v>
      </c>
      <c r="M61" s="14">
        <v>892</v>
      </c>
      <c r="N61" s="14">
        <v>6938</v>
      </c>
      <c r="O61" s="14">
        <v>408920</v>
      </c>
      <c r="P61" s="14">
        <v>169380</v>
      </c>
      <c r="Q61" s="14"/>
    </row>
    <row r="62" spans="1:17" ht="22.5" x14ac:dyDescent="0.25">
      <c r="A62" s="11" t="s">
        <v>4660</v>
      </c>
      <c r="B62" s="13" t="s">
        <v>24</v>
      </c>
      <c r="C62" s="61" t="s">
        <v>2878</v>
      </c>
      <c r="D62" s="13" t="s">
        <v>540</v>
      </c>
      <c r="E62" s="14" t="s">
        <v>21</v>
      </c>
      <c r="F62" s="14" t="s">
        <v>11</v>
      </c>
      <c r="G62" s="13"/>
      <c r="H62" s="14">
        <f t="shared" si="4"/>
        <v>3</v>
      </c>
      <c r="I62" s="14">
        <v>3</v>
      </c>
      <c r="J62" s="14">
        <v>2</v>
      </c>
      <c r="K62" s="13" t="s">
        <v>4836</v>
      </c>
      <c r="L62" s="14" t="s">
        <v>110</v>
      </c>
      <c r="M62" s="14">
        <v>137</v>
      </c>
      <c r="N62" s="14">
        <v>422</v>
      </c>
      <c r="O62" s="14">
        <v>413700</v>
      </c>
      <c r="P62" s="14">
        <v>142200</v>
      </c>
      <c r="Q62" s="14"/>
    </row>
    <row r="63" spans="1:17" ht="22.5" x14ac:dyDescent="0.25">
      <c r="A63" s="11" t="s">
        <v>4660</v>
      </c>
      <c r="B63" s="13" t="s">
        <v>24</v>
      </c>
      <c r="C63" s="61" t="s">
        <v>2267</v>
      </c>
      <c r="D63" s="13" t="s">
        <v>540</v>
      </c>
      <c r="E63" s="14" t="s">
        <v>21</v>
      </c>
      <c r="F63" s="14" t="s">
        <v>11</v>
      </c>
      <c r="G63" s="13"/>
      <c r="H63" s="14">
        <f t="shared" si="4"/>
        <v>2</v>
      </c>
      <c r="I63" s="14">
        <v>2</v>
      </c>
      <c r="J63" s="14">
        <v>2</v>
      </c>
      <c r="K63" s="13" t="s">
        <v>4805</v>
      </c>
      <c r="L63" s="14" t="s">
        <v>110</v>
      </c>
      <c r="M63" s="14">
        <v>116</v>
      </c>
      <c r="N63" s="14">
        <v>413</v>
      </c>
      <c r="O63" s="14">
        <v>411600</v>
      </c>
      <c r="P63" s="14">
        <v>141300</v>
      </c>
      <c r="Q63" s="14"/>
    </row>
    <row r="64" spans="1:17" ht="22.5" x14ac:dyDescent="0.25">
      <c r="A64" s="11" t="s">
        <v>4660</v>
      </c>
      <c r="B64" s="13" t="s">
        <v>24</v>
      </c>
      <c r="C64" s="61" t="s">
        <v>16</v>
      </c>
      <c r="D64" s="13" t="s">
        <v>19</v>
      </c>
      <c r="E64" s="14" t="s">
        <v>21</v>
      </c>
      <c r="F64" s="14" t="s">
        <v>11</v>
      </c>
      <c r="G64" s="13"/>
      <c r="H64" s="14">
        <f t="shared" si="4"/>
        <v>3</v>
      </c>
      <c r="I64" s="14">
        <v>3</v>
      </c>
      <c r="J64" s="14">
        <v>3</v>
      </c>
      <c r="K64" s="13" t="s">
        <v>4798</v>
      </c>
      <c r="L64" s="14" t="s">
        <v>110</v>
      </c>
      <c r="M64" s="14">
        <v>1022</v>
      </c>
      <c r="N64" s="14">
        <v>4594</v>
      </c>
      <c r="O64" s="14">
        <v>410220</v>
      </c>
      <c r="P64" s="14">
        <v>145940</v>
      </c>
      <c r="Q64" s="14"/>
    </row>
    <row r="65" spans="1:17" ht="33.75" x14ac:dyDescent="0.25">
      <c r="A65" s="11" t="s">
        <v>4660</v>
      </c>
      <c r="B65" s="13" t="s">
        <v>24</v>
      </c>
      <c r="C65" s="61" t="s">
        <v>122</v>
      </c>
      <c r="D65" s="13" t="s">
        <v>3886</v>
      </c>
      <c r="E65" s="14" t="s">
        <v>21</v>
      </c>
      <c r="F65" s="14" t="s">
        <v>11</v>
      </c>
      <c r="G65" s="13"/>
      <c r="H65" s="14">
        <f t="shared" si="4"/>
        <v>5</v>
      </c>
      <c r="I65" s="14">
        <v>5</v>
      </c>
      <c r="J65" s="14">
        <v>4</v>
      </c>
      <c r="K65" s="13" t="s">
        <v>4811</v>
      </c>
      <c r="L65" s="14" t="s">
        <v>110</v>
      </c>
      <c r="M65" s="14">
        <v>1184</v>
      </c>
      <c r="N65" s="14">
        <v>6802</v>
      </c>
      <c r="O65" s="14">
        <v>411840</v>
      </c>
      <c r="P65" s="14">
        <v>168020</v>
      </c>
      <c r="Q65" s="14"/>
    </row>
    <row r="66" spans="1:17" ht="22.5" x14ac:dyDescent="0.25">
      <c r="A66" s="11" t="s">
        <v>4660</v>
      </c>
      <c r="B66" s="13" t="s">
        <v>24</v>
      </c>
      <c r="C66" s="61" t="s">
        <v>27</v>
      </c>
      <c r="D66" s="13" t="s">
        <v>125</v>
      </c>
      <c r="E66" s="14" t="s">
        <v>21</v>
      </c>
      <c r="F66" s="14" t="s">
        <v>11</v>
      </c>
      <c r="G66" s="13">
        <v>1</v>
      </c>
      <c r="H66" s="14">
        <f t="shared" si="4"/>
        <v>4</v>
      </c>
      <c r="I66" s="14">
        <v>3</v>
      </c>
      <c r="J66" s="14">
        <v>4</v>
      </c>
      <c r="K66" s="13" t="s">
        <v>4810</v>
      </c>
      <c r="L66" s="14" t="s">
        <v>110</v>
      </c>
      <c r="M66" s="14">
        <v>1001</v>
      </c>
      <c r="N66" s="14">
        <v>6853</v>
      </c>
      <c r="O66" s="14">
        <v>410010</v>
      </c>
      <c r="P66" s="14">
        <v>168530</v>
      </c>
      <c r="Q66" s="14"/>
    </row>
    <row r="67" spans="1:17" x14ac:dyDescent="0.25">
      <c r="A67" s="11" t="s">
        <v>4660</v>
      </c>
      <c r="B67" s="13" t="s">
        <v>24</v>
      </c>
      <c r="C67" s="61" t="s">
        <v>60</v>
      </c>
      <c r="D67" s="13" t="s">
        <v>26</v>
      </c>
      <c r="E67" s="14" t="s">
        <v>21</v>
      </c>
      <c r="F67" s="14" t="s">
        <v>11</v>
      </c>
      <c r="G67" s="13"/>
      <c r="H67" s="14">
        <f t="shared" si="4"/>
        <v>3</v>
      </c>
      <c r="I67" s="14">
        <v>3</v>
      </c>
      <c r="J67" s="14">
        <v>2</v>
      </c>
      <c r="K67" s="13" t="s">
        <v>4755</v>
      </c>
      <c r="L67" s="14" t="s">
        <v>110</v>
      </c>
      <c r="M67" s="14">
        <v>900</v>
      </c>
      <c r="N67" s="14">
        <v>6927</v>
      </c>
      <c r="O67" s="14">
        <v>409000</v>
      </c>
      <c r="P67" s="14">
        <v>169270</v>
      </c>
      <c r="Q67" s="14"/>
    </row>
    <row r="68" spans="1:17" ht="22.5" x14ac:dyDescent="0.25">
      <c r="A68" s="11" t="s">
        <v>4660</v>
      </c>
      <c r="B68" s="13" t="s">
        <v>24</v>
      </c>
      <c r="C68" s="61" t="s">
        <v>13</v>
      </c>
      <c r="D68" s="13" t="s">
        <v>511</v>
      </c>
      <c r="E68" s="14" t="s">
        <v>21</v>
      </c>
      <c r="F68" s="14" t="s">
        <v>11</v>
      </c>
      <c r="G68" s="13">
        <v>44</v>
      </c>
      <c r="H68" s="14">
        <f t="shared" si="4"/>
        <v>91</v>
      </c>
      <c r="I68" s="14">
        <v>47</v>
      </c>
      <c r="J68" s="14">
        <v>34</v>
      </c>
      <c r="K68" s="13" t="s">
        <v>4848</v>
      </c>
      <c r="L68" s="14" t="s">
        <v>110</v>
      </c>
      <c r="M68" s="14">
        <v>1224</v>
      </c>
      <c r="N68" s="14">
        <v>4128</v>
      </c>
      <c r="O68" s="14">
        <v>412240</v>
      </c>
      <c r="P68" s="14">
        <v>141280</v>
      </c>
      <c r="Q68" s="14"/>
    </row>
    <row r="69" spans="1:17" ht="22.5" x14ac:dyDescent="0.25">
      <c r="A69" s="11" t="s">
        <v>4660</v>
      </c>
      <c r="B69" s="13" t="s">
        <v>24</v>
      </c>
      <c r="C69" s="61" t="s">
        <v>2221</v>
      </c>
      <c r="D69" s="13" t="s">
        <v>1447</v>
      </c>
      <c r="E69" s="14" t="s">
        <v>21</v>
      </c>
      <c r="F69" s="14" t="s">
        <v>11</v>
      </c>
      <c r="G69" s="13"/>
      <c r="H69" s="14">
        <f t="shared" si="4"/>
        <v>14</v>
      </c>
      <c r="I69" s="14">
        <v>14</v>
      </c>
      <c r="J69" s="14">
        <v>6</v>
      </c>
      <c r="K69" s="13" t="s">
        <v>4847</v>
      </c>
      <c r="L69" s="14" t="s">
        <v>110</v>
      </c>
      <c r="M69" s="14">
        <v>1224</v>
      </c>
      <c r="N69" s="14">
        <v>4128</v>
      </c>
      <c r="O69" s="14">
        <v>412240</v>
      </c>
      <c r="P69" s="14">
        <v>141280</v>
      </c>
      <c r="Q69" s="14"/>
    </row>
    <row r="70" spans="1:17" x14ac:dyDescent="0.25">
      <c r="A70" s="11" t="s">
        <v>4660</v>
      </c>
      <c r="B70" s="13" t="s">
        <v>24</v>
      </c>
      <c r="C70" s="61" t="s">
        <v>4802</v>
      </c>
      <c r="D70" s="13" t="s">
        <v>4801</v>
      </c>
      <c r="E70" s="14" t="s">
        <v>21</v>
      </c>
      <c r="F70" s="14" t="s">
        <v>11</v>
      </c>
      <c r="G70" s="13"/>
      <c r="H70" s="14">
        <f>G70+I70</f>
        <v>1</v>
      </c>
      <c r="I70" s="14">
        <v>1</v>
      </c>
      <c r="J70" s="14">
        <v>1</v>
      </c>
      <c r="K70" s="13" t="s">
        <v>3254</v>
      </c>
      <c r="L70" s="14" t="s">
        <v>110</v>
      </c>
      <c r="M70" s="14">
        <v>1224</v>
      </c>
      <c r="N70" s="14">
        <v>4128</v>
      </c>
      <c r="O70" s="14">
        <v>412240</v>
      </c>
      <c r="P70" s="14">
        <v>141280</v>
      </c>
      <c r="Q70" s="14"/>
    </row>
    <row r="71" spans="1:17" ht="22.5" x14ac:dyDescent="0.25">
      <c r="A71" s="11" t="s">
        <v>4660</v>
      </c>
      <c r="B71" s="13" t="s">
        <v>24</v>
      </c>
      <c r="C71" s="61" t="s">
        <v>13</v>
      </c>
      <c r="D71" s="13" t="s">
        <v>3186</v>
      </c>
      <c r="E71" s="14" t="s">
        <v>21</v>
      </c>
      <c r="F71" s="14" t="s">
        <v>11</v>
      </c>
      <c r="G71" s="13"/>
      <c r="H71" s="14">
        <f t="shared" si="4"/>
        <v>6</v>
      </c>
      <c r="I71" s="14">
        <v>6</v>
      </c>
      <c r="J71" s="14">
        <v>4</v>
      </c>
      <c r="K71" s="13" t="s">
        <v>4837</v>
      </c>
      <c r="L71" s="14" t="s">
        <v>110</v>
      </c>
      <c r="M71" s="14">
        <v>1224</v>
      </c>
      <c r="N71" s="14">
        <v>4128</v>
      </c>
      <c r="O71" s="14">
        <v>412240</v>
      </c>
      <c r="P71" s="14">
        <v>141280</v>
      </c>
      <c r="Q71" s="14"/>
    </row>
    <row r="72" spans="1:17" x14ac:dyDescent="0.25">
      <c r="A72" s="11" t="s">
        <v>4660</v>
      </c>
      <c r="B72" s="13" t="s">
        <v>24</v>
      </c>
      <c r="C72" s="61" t="s">
        <v>3776</v>
      </c>
      <c r="D72" s="13" t="s">
        <v>1173</v>
      </c>
      <c r="E72" s="14" t="s">
        <v>21</v>
      </c>
      <c r="F72" s="14" t="s">
        <v>11</v>
      </c>
      <c r="G72" s="13"/>
      <c r="H72" s="14">
        <f>G72+I72</f>
        <v>7</v>
      </c>
      <c r="I72" s="14">
        <v>7</v>
      </c>
      <c r="J72" s="14">
        <v>3</v>
      </c>
      <c r="K72" s="13" t="s">
        <v>4797</v>
      </c>
      <c r="L72" s="14" t="s">
        <v>110</v>
      </c>
      <c r="M72" s="14">
        <v>1224</v>
      </c>
      <c r="N72" s="14">
        <v>4128</v>
      </c>
      <c r="O72" s="14">
        <v>412240</v>
      </c>
      <c r="P72" s="14">
        <v>141280</v>
      </c>
      <c r="Q72" s="14"/>
    </row>
    <row r="73" spans="1:17" x14ac:dyDescent="0.25">
      <c r="A73" s="11" t="s">
        <v>4660</v>
      </c>
      <c r="B73" s="13" t="s">
        <v>24</v>
      </c>
      <c r="C73" s="61" t="s">
        <v>1183</v>
      </c>
      <c r="D73" s="13" t="s">
        <v>1173</v>
      </c>
      <c r="E73" s="14" t="s">
        <v>21</v>
      </c>
      <c r="F73" s="14" t="s">
        <v>11</v>
      </c>
      <c r="G73" s="13"/>
      <c r="H73" s="14">
        <f t="shared" si="4"/>
        <v>1</v>
      </c>
      <c r="I73" s="14">
        <v>1</v>
      </c>
      <c r="J73" s="14">
        <v>1</v>
      </c>
      <c r="K73" s="13" t="s">
        <v>4844</v>
      </c>
      <c r="L73" s="14" t="s">
        <v>110</v>
      </c>
      <c r="M73" s="14">
        <v>1224</v>
      </c>
      <c r="N73" s="14">
        <v>4128</v>
      </c>
      <c r="O73" s="14">
        <v>412240</v>
      </c>
      <c r="P73" s="14">
        <v>141280</v>
      </c>
      <c r="Q73" s="14"/>
    </row>
    <row r="74" spans="1:17" x14ac:dyDescent="0.25">
      <c r="A74" s="11" t="s">
        <v>4660</v>
      </c>
      <c r="B74" s="13" t="s">
        <v>24</v>
      </c>
      <c r="C74" s="61" t="s">
        <v>4804</v>
      </c>
      <c r="D74" s="13" t="s">
        <v>1395</v>
      </c>
      <c r="E74" s="14" t="s">
        <v>21</v>
      </c>
      <c r="F74" s="14" t="s">
        <v>11</v>
      </c>
      <c r="G74" s="13"/>
      <c r="H74" s="14">
        <f t="shared" si="4"/>
        <v>2</v>
      </c>
      <c r="I74" s="14">
        <v>2</v>
      </c>
      <c r="J74" s="14">
        <v>2</v>
      </c>
      <c r="K74" s="13" t="s">
        <v>4805</v>
      </c>
      <c r="L74" s="14" t="s">
        <v>110</v>
      </c>
      <c r="M74" s="14">
        <v>1224</v>
      </c>
      <c r="N74" s="14">
        <v>4128</v>
      </c>
      <c r="O74" s="14">
        <v>412240</v>
      </c>
      <c r="P74" s="14">
        <v>141280</v>
      </c>
      <c r="Q74" s="14"/>
    </row>
    <row r="75" spans="1:17" x14ac:dyDescent="0.25">
      <c r="A75" s="11" t="s">
        <v>4660</v>
      </c>
      <c r="B75" s="13" t="s">
        <v>24</v>
      </c>
      <c r="C75" s="61" t="s">
        <v>1188</v>
      </c>
      <c r="D75" s="13" t="s">
        <v>1189</v>
      </c>
      <c r="E75" s="14" t="s">
        <v>21</v>
      </c>
      <c r="F75" s="14" t="s">
        <v>11</v>
      </c>
      <c r="G75" s="13"/>
      <c r="H75" s="14">
        <f t="shared" si="4"/>
        <v>4</v>
      </c>
      <c r="I75" s="14">
        <v>4</v>
      </c>
      <c r="J75" s="14">
        <v>3</v>
      </c>
      <c r="K75" s="13" t="s">
        <v>4845</v>
      </c>
      <c r="L75" s="14" t="s">
        <v>110</v>
      </c>
      <c r="M75" s="14">
        <v>122</v>
      </c>
      <c r="N75" s="14">
        <v>412</v>
      </c>
      <c r="O75" s="14">
        <v>412200</v>
      </c>
      <c r="P75" s="14">
        <v>141200</v>
      </c>
      <c r="Q75" s="14"/>
    </row>
    <row r="76" spans="1:17" x14ac:dyDescent="0.25">
      <c r="A76" s="11" t="s">
        <v>4660</v>
      </c>
      <c r="B76" s="13" t="s">
        <v>24</v>
      </c>
      <c r="C76" s="61" t="s">
        <v>1190</v>
      </c>
      <c r="D76" s="13" t="s">
        <v>1189</v>
      </c>
      <c r="E76" s="14" t="s">
        <v>21</v>
      </c>
      <c r="F76" s="14" t="s">
        <v>11</v>
      </c>
      <c r="G76" s="13"/>
      <c r="H76" s="14">
        <f t="shared" si="4"/>
        <v>3</v>
      </c>
      <c r="I76" s="14">
        <v>3</v>
      </c>
      <c r="J76" s="14">
        <v>2</v>
      </c>
      <c r="K76" s="13" t="s">
        <v>4799</v>
      </c>
      <c r="L76" s="14" t="s">
        <v>110</v>
      </c>
      <c r="M76" s="14">
        <v>122</v>
      </c>
      <c r="N76" s="14">
        <v>412</v>
      </c>
      <c r="O76" s="14">
        <v>412200</v>
      </c>
      <c r="P76" s="14">
        <v>141200</v>
      </c>
      <c r="Q76" s="14"/>
    </row>
    <row r="77" spans="1:17" x14ac:dyDescent="0.25">
      <c r="A77" s="11" t="s">
        <v>4660</v>
      </c>
      <c r="B77" s="13" t="s">
        <v>24</v>
      </c>
      <c r="C77" s="61" t="s">
        <v>25</v>
      </c>
      <c r="D77" s="13" t="s">
        <v>26</v>
      </c>
      <c r="E77" s="14" t="s">
        <v>21</v>
      </c>
      <c r="F77" s="14" t="s">
        <v>11</v>
      </c>
      <c r="G77" s="13">
        <v>2</v>
      </c>
      <c r="H77" s="14">
        <f t="shared" si="4"/>
        <v>15</v>
      </c>
      <c r="I77" s="14">
        <v>13</v>
      </c>
      <c r="J77" s="14">
        <v>11</v>
      </c>
      <c r="K77" s="13" t="s">
        <v>4809</v>
      </c>
      <c r="L77" s="14" t="s">
        <v>110</v>
      </c>
      <c r="M77" s="14">
        <v>1046</v>
      </c>
      <c r="N77" s="14">
        <v>6774</v>
      </c>
      <c r="O77" s="14">
        <v>410460</v>
      </c>
      <c r="P77" s="14">
        <v>167740</v>
      </c>
      <c r="Q77" s="14"/>
    </row>
    <row r="78" spans="1:17" x14ac:dyDescent="0.25">
      <c r="A78" s="11" t="s">
        <v>4660</v>
      </c>
      <c r="B78" s="13" t="s">
        <v>24</v>
      </c>
      <c r="C78" s="61" t="s">
        <v>1154</v>
      </c>
      <c r="D78" s="13" t="s">
        <v>121</v>
      </c>
      <c r="E78" s="14" t="s">
        <v>21</v>
      </c>
      <c r="F78" s="14" t="s">
        <v>11</v>
      </c>
      <c r="G78" s="13"/>
      <c r="H78" s="14">
        <f t="shared" si="4"/>
        <v>3</v>
      </c>
      <c r="I78" s="14">
        <v>3</v>
      </c>
      <c r="J78" s="14">
        <v>2</v>
      </c>
      <c r="K78" s="13" t="s">
        <v>4806</v>
      </c>
      <c r="L78" s="14" t="s">
        <v>110</v>
      </c>
      <c r="M78" s="14">
        <v>1196</v>
      </c>
      <c r="N78" s="14">
        <v>6835</v>
      </c>
      <c r="O78" s="14">
        <v>411960</v>
      </c>
      <c r="P78" s="14">
        <v>168350</v>
      </c>
      <c r="Q78" s="14"/>
    </row>
    <row r="79" spans="1:17" ht="22.5" x14ac:dyDescent="0.25">
      <c r="A79" s="11" t="s">
        <v>4660</v>
      </c>
      <c r="B79" s="13" t="s">
        <v>24</v>
      </c>
      <c r="C79" s="61" t="s">
        <v>28</v>
      </c>
      <c r="D79" s="13" t="s">
        <v>19</v>
      </c>
      <c r="E79" s="14" t="s">
        <v>21</v>
      </c>
      <c r="F79" s="14" t="s">
        <v>11</v>
      </c>
      <c r="G79" s="13">
        <v>2</v>
      </c>
      <c r="H79" s="14">
        <f t="shared" si="4"/>
        <v>9</v>
      </c>
      <c r="I79" s="14">
        <v>7</v>
      </c>
      <c r="J79" s="14">
        <v>7</v>
      </c>
      <c r="K79" s="13" t="s">
        <v>4807</v>
      </c>
      <c r="L79" s="14" t="s">
        <v>110</v>
      </c>
      <c r="M79" s="14">
        <v>86</v>
      </c>
      <c r="N79" s="14">
        <v>714</v>
      </c>
      <c r="O79" s="14">
        <v>408600</v>
      </c>
      <c r="P79" s="14">
        <v>171400</v>
      </c>
      <c r="Q79" s="14"/>
    </row>
    <row r="80" spans="1:17" x14ac:dyDescent="0.25">
      <c r="A80" s="11" t="s">
        <v>4660</v>
      </c>
      <c r="B80" s="13" t="s">
        <v>24</v>
      </c>
      <c r="C80" s="61" t="s">
        <v>14</v>
      </c>
      <c r="D80" s="13" t="s">
        <v>17</v>
      </c>
      <c r="E80" s="14" t="s">
        <v>21</v>
      </c>
      <c r="F80" s="14" t="s">
        <v>11</v>
      </c>
      <c r="G80" s="13">
        <v>1</v>
      </c>
      <c r="H80" s="14">
        <f t="shared" si="4"/>
        <v>5</v>
      </c>
      <c r="I80" s="14">
        <v>4</v>
      </c>
      <c r="J80" s="14">
        <v>5</v>
      </c>
      <c r="K80" s="13" t="s">
        <v>4842</v>
      </c>
      <c r="L80" s="14" t="s">
        <v>110</v>
      </c>
      <c r="M80" s="14">
        <v>1506</v>
      </c>
      <c r="N80" s="14">
        <v>4337</v>
      </c>
      <c r="O80" s="14">
        <v>415060</v>
      </c>
      <c r="P80" s="14">
        <v>143370</v>
      </c>
      <c r="Q80" s="14"/>
    </row>
    <row r="81" spans="1:17" ht="22.5" x14ac:dyDescent="0.25">
      <c r="A81" s="11" t="s">
        <v>4660</v>
      </c>
      <c r="B81" s="13" t="s">
        <v>269</v>
      </c>
      <c r="C81" s="61" t="s">
        <v>1922</v>
      </c>
      <c r="D81" s="13" t="s">
        <v>1923</v>
      </c>
      <c r="E81" s="14" t="s">
        <v>1924</v>
      </c>
      <c r="F81" s="14" t="s">
        <v>11</v>
      </c>
      <c r="G81" s="13">
        <v>7</v>
      </c>
      <c r="H81" s="14">
        <f t="shared" si="4"/>
        <v>8</v>
      </c>
      <c r="I81" s="14">
        <v>1</v>
      </c>
      <c r="J81" s="14">
        <v>6</v>
      </c>
      <c r="K81" s="13" t="s">
        <v>4726</v>
      </c>
      <c r="L81" s="14" t="s">
        <v>137</v>
      </c>
      <c r="M81" s="14">
        <v>2864</v>
      </c>
      <c r="N81" s="14">
        <v>80974</v>
      </c>
      <c r="O81" s="14">
        <v>502864</v>
      </c>
      <c r="P81" s="14">
        <v>480974</v>
      </c>
      <c r="Q81" s="14"/>
    </row>
    <row r="82" spans="1:17" x14ac:dyDescent="0.25">
      <c r="A82" s="11" t="s">
        <v>4660</v>
      </c>
      <c r="B82" s="13" t="s">
        <v>226</v>
      </c>
      <c r="C82" s="61" t="s">
        <v>3461</v>
      </c>
      <c r="D82" s="13" t="s">
        <v>3459</v>
      </c>
      <c r="E82" s="13" t="s">
        <v>3460</v>
      </c>
      <c r="F82" s="14" t="s">
        <v>35</v>
      </c>
      <c r="G82" s="13">
        <v>4</v>
      </c>
      <c r="H82" s="14">
        <f t="shared" ref="H82:H97" si="5">G82+I82</f>
        <v>11</v>
      </c>
      <c r="I82" s="14">
        <v>7</v>
      </c>
      <c r="J82" s="14">
        <v>3</v>
      </c>
      <c r="K82" s="13" t="s">
        <v>4743</v>
      </c>
      <c r="L82" s="14" t="s">
        <v>229</v>
      </c>
      <c r="M82" s="14">
        <v>95960</v>
      </c>
      <c r="N82" s="14">
        <v>80380</v>
      </c>
      <c r="O82" s="14">
        <v>295960</v>
      </c>
      <c r="P82" s="14">
        <v>580380</v>
      </c>
      <c r="Q82" s="14"/>
    </row>
    <row r="83" spans="1:17" x14ac:dyDescent="0.25">
      <c r="A83" s="11" t="s">
        <v>4660</v>
      </c>
      <c r="B83" s="13" t="s">
        <v>226</v>
      </c>
      <c r="C83" s="61" t="s">
        <v>4742</v>
      </c>
      <c r="D83" s="13" t="s">
        <v>3459</v>
      </c>
      <c r="E83" s="13" t="s">
        <v>3460</v>
      </c>
      <c r="F83" s="14" t="s">
        <v>35</v>
      </c>
      <c r="G83" s="13"/>
      <c r="H83" s="14">
        <f>G83+I83</f>
        <v>3</v>
      </c>
      <c r="I83" s="14">
        <v>3</v>
      </c>
      <c r="J83" s="14">
        <v>3</v>
      </c>
      <c r="K83" s="13" t="s">
        <v>4743</v>
      </c>
      <c r="L83" s="14" t="s">
        <v>229</v>
      </c>
      <c r="M83" s="14">
        <v>95960</v>
      </c>
      <c r="N83" s="14">
        <v>80380</v>
      </c>
      <c r="O83" s="14">
        <v>295960</v>
      </c>
      <c r="P83" s="14">
        <v>580380</v>
      </c>
      <c r="Q83" s="14"/>
    </row>
    <row r="84" spans="1:17" x14ac:dyDescent="0.25">
      <c r="A84" s="11" t="s">
        <v>4660</v>
      </c>
      <c r="B84" s="13" t="s">
        <v>226</v>
      </c>
      <c r="C84" s="61" t="s">
        <v>3026</v>
      </c>
      <c r="D84" s="13" t="s">
        <v>8</v>
      </c>
      <c r="E84" s="13" t="s">
        <v>3309</v>
      </c>
      <c r="F84" s="14" t="s">
        <v>35</v>
      </c>
      <c r="G84" s="13"/>
      <c r="H84" s="14">
        <f t="shared" si="5"/>
        <v>2</v>
      </c>
      <c r="I84" s="14">
        <v>2</v>
      </c>
      <c r="J84" s="14">
        <v>2</v>
      </c>
      <c r="K84" s="13" t="s">
        <v>4744</v>
      </c>
      <c r="L84" s="14" t="s">
        <v>229</v>
      </c>
      <c r="M84" s="14">
        <v>947</v>
      </c>
      <c r="N84" s="14">
        <v>794</v>
      </c>
      <c r="O84" s="14">
        <v>294700</v>
      </c>
      <c r="P84" s="14">
        <v>556400</v>
      </c>
      <c r="Q84" s="14"/>
    </row>
    <row r="85" spans="1:17" ht="22.5" x14ac:dyDescent="0.25">
      <c r="A85" s="11" t="s">
        <v>4660</v>
      </c>
      <c r="B85" s="13" t="s">
        <v>407</v>
      </c>
      <c r="C85" s="61" t="s">
        <v>3160</v>
      </c>
      <c r="D85" s="13" t="s">
        <v>1033</v>
      </c>
      <c r="E85" s="14" t="s">
        <v>3160</v>
      </c>
      <c r="F85" s="14" t="s">
        <v>35</v>
      </c>
      <c r="G85" s="13">
        <v>1</v>
      </c>
      <c r="H85" s="14">
        <f>G85+I85</f>
        <v>1</v>
      </c>
      <c r="J85" s="14">
        <v>1</v>
      </c>
      <c r="K85" s="13" t="s">
        <v>1243</v>
      </c>
      <c r="L85" s="14" t="s">
        <v>130</v>
      </c>
      <c r="M85" s="14">
        <v>467</v>
      </c>
      <c r="N85" s="14">
        <v>257</v>
      </c>
      <c r="O85" s="14">
        <v>346700</v>
      </c>
      <c r="P85" s="14">
        <v>725700</v>
      </c>
      <c r="Q85" s="14"/>
    </row>
    <row r="86" spans="1:17" x14ac:dyDescent="0.25">
      <c r="A86" s="11" t="s">
        <v>4660</v>
      </c>
      <c r="B86" s="13" t="s">
        <v>407</v>
      </c>
      <c r="C86" s="61" t="s">
        <v>4711</v>
      </c>
      <c r="D86" s="13" t="s">
        <v>39</v>
      </c>
      <c r="E86" s="14" t="s">
        <v>3160</v>
      </c>
      <c r="F86" s="14" t="s">
        <v>35</v>
      </c>
      <c r="G86" s="13">
        <v>1</v>
      </c>
      <c r="H86" s="14">
        <f>G86+I86</f>
        <v>1</v>
      </c>
      <c r="J86" s="14">
        <v>1</v>
      </c>
      <c r="K86" s="13" t="s">
        <v>1243</v>
      </c>
      <c r="L86" s="14" t="s">
        <v>130</v>
      </c>
      <c r="M86" s="14">
        <v>467</v>
      </c>
      <c r="N86" s="14">
        <v>257</v>
      </c>
      <c r="O86" s="14">
        <v>346700</v>
      </c>
      <c r="P86" s="14">
        <v>725700</v>
      </c>
      <c r="Q86" s="14"/>
    </row>
    <row r="87" spans="1:17" x14ac:dyDescent="0.25">
      <c r="A87" s="11" t="s">
        <v>4660</v>
      </c>
      <c r="B87" s="13" t="s">
        <v>34</v>
      </c>
      <c r="C87" s="61" t="s">
        <v>1041</v>
      </c>
      <c r="D87" s="13" t="s">
        <v>39</v>
      </c>
      <c r="E87" s="14" t="s">
        <v>33</v>
      </c>
      <c r="F87" s="14" t="s">
        <v>35</v>
      </c>
      <c r="G87" s="13">
        <v>1</v>
      </c>
      <c r="H87" s="14">
        <f t="shared" si="5"/>
        <v>9</v>
      </c>
      <c r="I87" s="14">
        <v>8</v>
      </c>
      <c r="J87" s="14">
        <v>6</v>
      </c>
      <c r="K87" s="13" t="s">
        <v>4820</v>
      </c>
      <c r="L87" s="14" t="s">
        <v>114</v>
      </c>
      <c r="M87" s="14">
        <v>3076</v>
      </c>
      <c r="N87" s="14">
        <v>1270</v>
      </c>
      <c r="O87" s="14">
        <v>330760</v>
      </c>
      <c r="P87" s="14">
        <v>1012700</v>
      </c>
      <c r="Q87" s="14"/>
    </row>
    <row r="88" spans="1:17" x14ac:dyDescent="0.25">
      <c r="A88" s="11" t="s">
        <v>4660</v>
      </c>
      <c r="B88" s="13" t="s">
        <v>34</v>
      </c>
      <c r="C88" s="61" t="s">
        <v>2415</v>
      </c>
      <c r="D88" s="13" t="s">
        <v>1040</v>
      </c>
      <c r="E88" s="13" t="s">
        <v>33</v>
      </c>
      <c r="F88" s="14" t="s">
        <v>35</v>
      </c>
      <c r="G88" s="13"/>
      <c r="H88" s="14">
        <f t="shared" si="5"/>
        <v>2</v>
      </c>
      <c r="I88" s="14">
        <v>2</v>
      </c>
      <c r="J88" s="14">
        <v>2</v>
      </c>
      <c r="K88" s="13" t="s">
        <v>4822</v>
      </c>
      <c r="L88" s="14" t="s">
        <v>114</v>
      </c>
      <c r="M88" s="14">
        <v>2963</v>
      </c>
      <c r="N88" s="14">
        <v>1331</v>
      </c>
      <c r="O88" s="14">
        <v>329630</v>
      </c>
      <c r="P88" s="14">
        <v>1013310</v>
      </c>
      <c r="Q88" s="14"/>
    </row>
    <row r="89" spans="1:17" ht="22.5" x14ac:dyDescent="0.25">
      <c r="A89" s="11" t="s">
        <v>4660</v>
      </c>
      <c r="B89" s="13" t="s">
        <v>34</v>
      </c>
      <c r="C89" s="61" t="s">
        <v>155</v>
      </c>
      <c r="D89" s="13" t="s">
        <v>1212</v>
      </c>
      <c r="E89" s="13" t="s">
        <v>156</v>
      </c>
      <c r="F89" s="14" t="s">
        <v>35</v>
      </c>
      <c r="G89" s="13"/>
      <c r="H89" s="14">
        <f t="shared" si="5"/>
        <v>1</v>
      </c>
      <c r="I89" s="14">
        <v>1</v>
      </c>
      <c r="J89" s="14">
        <v>1</v>
      </c>
      <c r="K89" s="13" t="s">
        <v>3274</v>
      </c>
      <c r="L89" s="14" t="s">
        <v>114</v>
      </c>
      <c r="M89" s="14">
        <v>4830</v>
      </c>
      <c r="N89" s="14">
        <v>5180</v>
      </c>
      <c r="O89" s="14">
        <v>348300</v>
      </c>
      <c r="P89" s="14">
        <v>1051800</v>
      </c>
      <c r="Q89" s="14"/>
    </row>
    <row r="90" spans="1:17" ht="22.5" x14ac:dyDescent="0.25">
      <c r="A90" s="11" t="s">
        <v>4660</v>
      </c>
      <c r="B90" s="13" t="s">
        <v>34</v>
      </c>
      <c r="C90" s="61" t="s">
        <v>2136</v>
      </c>
      <c r="D90" s="13" t="s">
        <v>41</v>
      </c>
      <c r="E90" s="14" t="s">
        <v>33</v>
      </c>
      <c r="F90" s="14" t="s">
        <v>35</v>
      </c>
      <c r="G90" s="13">
        <v>3</v>
      </c>
      <c r="H90" s="14">
        <f t="shared" si="5"/>
        <v>8</v>
      </c>
      <c r="I90" s="14">
        <v>5</v>
      </c>
      <c r="J90" s="14">
        <v>6</v>
      </c>
      <c r="K90" s="13" t="s">
        <v>4821</v>
      </c>
      <c r="L90" s="14" t="s">
        <v>114</v>
      </c>
      <c r="M90" s="14">
        <v>3182</v>
      </c>
      <c r="N90" s="14">
        <v>1277</v>
      </c>
      <c r="O90" s="14">
        <v>331820</v>
      </c>
      <c r="P90" s="14">
        <v>1012770</v>
      </c>
      <c r="Q90" s="14"/>
    </row>
    <row r="91" spans="1:17" ht="22.5" x14ac:dyDescent="0.25">
      <c r="A91" s="11" t="s">
        <v>4660</v>
      </c>
      <c r="B91" s="13" t="s">
        <v>34</v>
      </c>
      <c r="C91" s="61" t="s">
        <v>457</v>
      </c>
      <c r="D91" s="13" t="s">
        <v>1047</v>
      </c>
      <c r="E91" s="14" t="s">
        <v>33</v>
      </c>
      <c r="F91" s="14" t="s">
        <v>35</v>
      </c>
      <c r="G91" s="13"/>
      <c r="H91" s="14">
        <f t="shared" si="5"/>
        <v>1</v>
      </c>
      <c r="I91" s="14">
        <v>1</v>
      </c>
      <c r="J91" s="14">
        <v>1</v>
      </c>
      <c r="K91" s="13" t="s">
        <v>3281</v>
      </c>
      <c r="L91" s="14" t="s">
        <v>114</v>
      </c>
      <c r="M91" s="14">
        <v>4177</v>
      </c>
      <c r="N91" s="14">
        <v>1292</v>
      </c>
      <c r="O91" s="14">
        <v>341770</v>
      </c>
      <c r="P91" s="14">
        <v>1012920</v>
      </c>
      <c r="Q91" s="14"/>
    </row>
    <row r="92" spans="1:17" x14ac:dyDescent="0.25">
      <c r="A92" s="11" t="s">
        <v>4660</v>
      </c>
      <c r="B92" s="13" t="s">
        <v>34</v>
      </c>
      <c r="C92" s="61" t="s">
        <v>37</v>
      </c>
      <c r="D92" s="13" t="s">
        <v>8</v>
      </c>
      <c r="E92" s="14" t="s">
        <v>33</v>
      </c>
      <c r="F92" s="14" t="s">
        <v>35</v>
      </c>
      <c r="G92" s="13"/>
      <c r="H92" s="14">
        <f t="shared" si="5"/>
        <v>3</v>
      </c>
      <c r="I92" s="14">
        <v>3</v>
      </c>
      <c r="J92" s="14">
        <v>2</v>
      </c>
      <c r="K92" s="13" t="s">
        <v>4822</v>
      </c>
      <c r="L92" s="14" t="s">
        <v>114</v>
      </c>
      <c r="M92" s="14">
        <v>2945</v>
      </c>
      <c r="N92" s="14">
        <v>1335</v>
      </c>
      <c r="O92" s="14">
        <v>329450</v>
      </c>
      <c r="P92" s="14">
        <v>1013350</v>
      </c>
      <c r="Q92" s="14"/>
    </row>
    <row r="93" spans="1:17" ht="33.75" x14ac:dyDescent="0.25">
      <c r="A93" s="11" t="s">
        <v>4660</v>
      </c>
      <c r="B93" s="13" t="s">
        <v>34</v>
      </c>
      <c r="C93" s="61" t="s">
        <v>468</v>
      </c>
      <c r="D93" s="13" t="s">
        <v>4475</v>
      </c>
      <c r="E93" s="14" t="s">
        <v>469</v>
      </c>
      <c r="F93" s="14" t="s">
        <v>35</v>
      </c>
      <c r="G93" s="13">
        <v>1</v>
      </c>
      <c r="H93" s="14">
        <f t="shared" si="5"/>
        <v>1</v>
      </c>
      <c r="J93" s="14">
        <v>1</v>
      </c>
      <c r="K93" s="13" t="s">
        <v>3242</v>
      </c>
      <c r="L93" s="14" t="s">
        <v>114</v>
      </c>
      <c r="M93" s="14">
        <v>4398</v>
      </c>
      <c r="N93" s="14">
        <v>3224</v>
      </c>
      <c r="O93" s="14">
        <v>343980</v>
      </c>
      <c r="P93" s="14">
        <v>1032240</v>
      </c>
      <c r="Q93" s="14"/>
    </row>
    <row r="94" spans="1:17" x14ac:dyDescent="0.25">
      <c r="A94" s="11" t="s">
        <v>4660</v>
      </c>
      <c r="B94" s="13" t="s">
        <v>34</v>
      </c>
      <c r="C94" s="61" t="s">
        <v>38</v>
      </c>
      <c r="D94" s="13" t="s">
        <v>39</v>
      </c>
      <c r="E94" s="14" t="s">
        <v>33</v>
      </c>
      <c r="F94" s="14" t="s">
        <v>35</v>
      </c>
      <c r="G94" s="13">
        <v>1</v>
      </c>
      <c r="H94" s="14">
        <f t="shared" si="5"/>
        <v>5</v>
      </c>
      <c r="I94" s="14">
        <v>4</v>
      </c>
      <c r="J94" s="14">
        <v>3</v>
      </c>
      <c r="K94" s="13" t="s">
        <v>4817</v>
      </c>
      <c r="L94" s="14" t="s">
        <v>114</v>
      </c>
      <c r="M94" s="14">
        <v>2312</v>
      </c>
      <c r="N94" s="14">
        <v>1874</v>
      </c>
      <c r="O94" s="14">
        <v>323120</v>
      </c>
      <c r="P94" s="14">
        <v>1018740</v>
      </c>
      <c r="Q94" s="14"/>
    </row>
    <row r="95" spans="1:17" x14ac:dyDescent="0.25">
      <c r="A95" s="11" t="s">
        <v>4660</v>
      </c>
      <c r="B95" s="13" t="s">
        <v>34</v>
      </c>
      <c r="C95" s="61" t="s">
        <v>36</v>
      </c>
      <c r="D95" s="13" t="s">
        <v>8</v>
      </c>
      <c r="E95" s="14" t="s">
        <v>33</v>
      </c>
      <c r="F95" s="14" t="s">
        <v>35</v>
      </c>
      <c r="G95" s="13">
        <v>1</v>
      </c>
      <c r="H95" s="14">
        <f t="shared" si="5"/>
        <v>4</v>
      </c>
      <c r="I95" s="14">
        <v>3</v>
      </c>
      <c r="J95" s="14">
        <v>3</v>
      </c>
      <c r="K95" s="13" t="s">
        <v>4823</v>
      </c>
      <c r="L95" s="14" t="s">
        <v>114</v>
      </c>
      <c r="M95" s="14">
        <v>3067</v>
      </c>
      <c r="N95" s="14">
        <v>1252</v>
      </c>
      <c r="O95" s="14">
        <v>330670</v>
      </c>
      <c r="P95" s="14">
        <v>1012520</v>
      </c>
      <c r="Q95" s="14"/>
    </row>
    <row r="96" spans="1:17" x14ac:dyDescent="0.25">
      <c r="A96" s="11" t="s">
        <v>4660</v>
      </c>
      <c r="B96" s="13" t="s">
        <v>34</v>
      </c>
      <c r="C96" s="61" t="s">
        <v>1039</v>
      </c>
      <c r="D96" s="13" t="s">
        <v>1040</v>
      </c>
      <c r="E96" s="13" t="s">
        <v>33</v>
      </c>
      <c r="F96" s="14" t="s">
        <v>35</v>
      </c>
      <c r="G96" s="13"/>
      <c r="H96" s="14">
        <f t="shared" si="5"/>
        <v>2</v>
      </c>
      <c r="I96" s="14">
        <v>2</v>
      </c>
      <c r="J96" s="14">
        <v>2</v>
      </c>
      <c r="K96" s="13" t="s">
        <v>4822</v>
      </c>
      <c r="L96" s="14" t="s">
        <v>114</v>
      </c>
      <c r="M96" s="14">
        <v>3055</v>
      </c>
      <c r="N96" s="14">
        <v>1264</v>
      </c>
      <c r="O96" s="14">
        <v>330550</v>
      </c>
      <c r="P96" s="14">
        <v>1012640</v>
      </c>
      <c r="Q96" s="14"/>
    </row>
    <row r="97" spans="1:17" ht="22.5" x14ac:dyDescent="0.25">
      <c r="A97" s="11" t="s">
        <v>4660</v>
      </c>
      <c r="B97" s="13" t="s">
        <v>170</v>
      </c>
      <c r="C97" s="61" t="s">
        <v>972</v>
      </c>
      <c r="D97" s="13" t="s">
        <v>973</v>
      </c>
      <c r="E97" s="14" t="s">
        <v>167</v>
      </c>
      <c r="F97" s="14" t="s">
        <v>35</v>
      </c>
      <c r="G97" s="13"/>
      <c r="H97" s="14">
        <f t="shared" si="5"/>
        <v>1</v>
      </c>
      <c r="I97" s="14">
        <v>1</v>
      </c>
      <c r="J97" s="14">
        <v>1</v>
      </c>
      <c r="K97" s="13" t="s">
        <v>4741</v>
      </c>
      <c r="L97" s="14" t="s">
        <v>130</v>
      </c>
      <c r="M97" s="14">
        <v>1633</v>
      </c>
      <c r="N97" s="14">
        <v>4049</v>
      </c>
      <c r="O97" s="14">
        <v>316330</v>
      </c>
      <c r="P97" s="14">
        <v>740490</v>
      </c>
      <c r="Q97" s="14"/>
    </row>
    <row r="98" spans="1:17" ht="22.5" x14ac:dyDescent="0.25">
      <c r="A98" s="11" t="s">
        <v>4660</v>
      </c>
      <c r="B98" s="13" t="s">
        <v>163</v>
      </c>
      <c r="C98" s="61" t="s">
        <v>2098</v>
      </c>
      <c r="D98" s="13" t="s">
        <v>540</v>
      </c>
      <c r="E98" s="14" t="s">
        <v>190</v>
      </c>
      <c r="F98" s="14" t="s">
        <v>56</v>
      </c>
      <c r="G98" s="13"/>
      <c r="H98" s="14">
        <f t="shared" ref="H98:H111" si="6">G98+I98</f>
        <v>5</v>
      </c>
      <c r="I98" s="14">
        <v>5</v>
      </c>
      <c r="J98" s="14">
        <v>4</v>
      </c>
      <c r="K98" s="13" t="s">
        <v>4835</v>
      </c>
      <c r="L98" s="14" t="s">
        <v>164</v>
      </c>
      <c r="M98" s="14">
        <v>9830</v>
      </c>
      <c r="N98" s="14">
        <v>5740</v>
      </c>
      <c r="O98" s="14">
        <v>298300</v>
      </c>
      <c r="P98" s="14">
        <v>357400</v>
      </c>
      <c r="Q98" s="14"/>
    </row>
    <row r="99" spans="1:17" x14ac:dyDescent="0.25">
      <c r="A99" s="11" t="s">
        <v>4660</v>
      </c>
      <c r="B99" s="13" t="s">
        <v>163</v>
      </c>
      <c r="C99" s="61" t="s">
        <v>4840</v>
      </c>
      <c r="D99" s="13" t="s">
        <v>90</v>
      </c>
      <c r="E99" s="14" t="s">
        <v>2098</v>
      </c>
      <c r="F99" s="14" t="s">
        <v>56</v>
      </c>
      <c r="G99" s="13"/>
      <c r="H99" s="14">
        <f t="shared" si="6"/>
        <v>1</v>
      </c>
      <c r="I99" s="14">
        <v>1</v>
      </c>
      <c r="J99" s="14">
        <v>1</v>
      </c>
      <c r="K99" s="13" t="s">
        <v>4834</v>
      </c>
      <c r="L99" s="14" t="s">
        <v>164</v>
      </c>
      <c r="M99" s="14">
        <v>9830</v>
      </c>
      <c r="N99" s="14">
        <v>5740</v>
      </c>
      <c r="O99" s="14">
        <v>298300</v>
      </c>
      <c r="P99" s="14">
        <v>357400</v>
      </c>
      <c r="Q99" s="14"/>
    </row>
    <row r="100" spans="1:17" x14ac:dyDescent="0.25">
      <c r="A100" s="11" t="s">
        <v>4660</v>
      </c>
      <c r="B100" s="13" t="s">
        <v>163</v>
      </c>
      <c r="C100" s="61" t="s">
        <v>4839</v>
      </c>
      <c r="D100" s="13" t="s">
        <v>90</v>
      </c>
      <c r="E100" s="14" t="s">
        <v>2098</v>
      </c>
      <c r="F100" s="14" t="s">
        <v>56</v>
      </c>
      <c r="G100" s="13"/>
      <c r="H100" s="14">
        <f t="shared" si="6"/>
        <v>2</v>
      </c>
      <c r="I100" s="14">
        <v>2</v>
      </c>
      <c r="J100" s="14">
        <v>2</v>
      </c>
      <c r="K100" s="13" t="s">
        <v>4841</v>
      </c>
      <c r="L100" s="14" t="s">
        <v>164</v>
      </c>
      <c r="M100" s="14">
        <v>9830</v>
      </c>
      <c r="N100" s="14">
        <v>5740</v>
      </c>
      <c r="O100" s="14">
        <v>298300</v>
      </c>
      <c r="P100" s="14">
        <v>357400</v>
      </c>
      <c r="Q100" s="14"/>
    </row>
    <row r="101" spans="1:17" x14ac:dyDescent="0.25">
      <c r="A101" s="11" t="s">
        <v>4660</v>
      </c>
      <c r="B101" s="13" t="s">
        <v>163</v>
      </c>
      <c r="C101" s="61" t="s">
        <v>4833</v>
      </c>
      <c r="D101" s="13" t="s">
        <v>90</v>
      </c>
      <c r="E101" s="14" t="s">
        <v>2098</v>
      </c>
      <c r="F101" s="14" t="s">
        <v>56</v>
      </c>
      <c r="G101" s="13"/>
      <c r="H101" s="14">
        <f t="shared" si="6"/>
        <v>2</v>
      </c>
      <c r="I101" s="14">
        <v>2</v>
      </c>
      <c r="J101" s="14">
        <v>1</v>
      </c>
      <c r="K101" s="13" t="s">
        <v>4834</v>
      </c>
      <c r="L101" s="14" t="s">
        <v>164</v>
      </c>
      <c r="M101" s="14">
        <v>9830</v>
      </c>
      <c r="N101" s="14">
        <v>5740</v>
      </c>
      <c r="O101" s="14">
        <v>298300</v>
      </c>
      <c r="P101" s="14">
        <v>357400</v>
      </c>
      <c r="Q101" s="14"/>
    </row>
    <row r="102" spans="1:17" x14ac:dyDescent="0.25">
      <c r="A102" s="11" t="s">
        <v>4660</v>
      </c>
      <c r="B102" s="13" t="s">
        <v>163</v>
      </c>
      <c r="C102" s="61" t="s">
        <v>4831</v>
      </c>
      <c r="D102" s="13" t="s">
        <v>100</v>
      </c>
      <c r="E102" s="14" t="s">
        <v>190</v>
      </c>
      <c r="F102" s="14" t="s">
        <v>56</v>
      </c>
      <c r="G102" s="13"/>
      <c r="H102" s="14">
        <f t="shared" si="6"/>
        <v>4</v>
      </c>
      <c r="I102" s="14">
        <v>4</v>
      </c>
      <c r="J102" s="14">
        <v>2</v>
      </c>
      <c r="K102" s="13" t="s">
        <v>4832</v>
      </c>
      <c r="L102" s="14" t="s">
        <v>164</v>
      </c>
      <c r="M102" s="14">
        <v>9830</v>
      </c>
      <c r="N102" s="14">
        <v>5740</v>
      </c>
      <c r="O102" s="14">
        <v>298300</v>
      </c>
      <c r="P102" s="14">
        <v>357400</v>
      </c>
      <c r="Q102" s="14"/>
    </row>
    <row r="103" spans="1:17" ht="22.5" x14ac:dyDescent="0.25">
      <c r="A103" s="11" t="s">
        <v>4660</v>
      </c>
      <c r="B103" s="13" t="s">
        <v>163</v>
      </c>
      <c r="C103" s="61" t="s">
        <v>4838</v>
      </c>
      <c r="D103" s="13" t="s">
        <v>1923</v>
      </c>
      <c r="E103" s="14" t="s">
        <v>2098</v>
      </c>
      <c r="F103" s="14" t="s">
        <v>56</v>
      </c>
      <c r="G103" s="13"/>
      <c r="H103" s="14">
        <f t="shared" si="6"/>
        <v>1</v>
      </c>
      <c r="I103" s="14">
        <v>1</v>
      </c>
      <c r="J103" s="14">
        <v>1</v>
      </c>
      <c r="K103" s="13" t="s">
        <v>4834</v>
      </c>
      <c r="L103" s="14" t="s">
        <v>164</v>
      </c>
      <c r="M103" s="14">
        <v>9830</v>
      </c>
      <c r="N103" s="14">
        <v>5740</v>
      </c>
      <c r="O103" s="14">
        <v>298300</v>
      </c>
      <c r="P103" s="14">
        <v>357400</v>
      </c>
      <c r="Q103" s="14"/>
    </row>
    <row r="104" spans="1:17" x14ac:dyDescent="0.25">
      <c r="A104" s="11" t="s">
        <v>4660</v>
      </c>
      <c r="B104" s="13" t="s">
        <v>163</v>
      </c>
      <c r="C104" s="61" t="s">
        <v>4829</v>
      </c>
      <c r="D104" s="13" t="s">
        <v>4830</v>
      </c>
      <c r="E104" s="14" t="s">
        <v>190</v>
      </c>
      <c r="F104" s="14" t="s">
        <v>56</v>
      </c>
      <c r="G104" s="13"/>
      <c r="H104" s="14">
        <f t="shared" si="6"/>
        <v>1</v>
      </c>
      <c r="I104" s="14">
        <v>1</v>
      </c>
      <c r="J104" s="14">
        <v>1</v>
      </c>
      <c r="K104" s="13" t="s">
        <v>4614</v>
      </c>
      <c r="L104" s="14" t="s">
        <v>164</v>
      </c>
      <c r="M104" s="14">
        <v>955</v>
      </c>
      <c r="N104" s="14">
        <v>575</v>
      </c>
      <c r="O104" s="14">
        <v>295500</v>
      </c>
      <c r="P104" s="14">
        <v>357500</v>
      </c>
      <c r="Q104" s="14"/>
    </row>
    <row r="105" spans="1:17" x14ac:dyDescent="0.25">
      <c r="A105" s="11" t="s">
        <v>4660</v>
      </c>
      <c r="B105" s="13" t="s">
        <v>55</v>
      </c>
      <c r="C105" s="61" t="s">
        <v>58</v>
      </c>
      <c r="D105" s="13" t="s">
        <v>151</v>
      </c>
      <c r="E105" s="14" t="s">
        <v>57</v>
      </c>
      <c r="F105" s="14" t="s">
        <v>56</v>
      </c>
      <c r="G105" s="13">
        <v>1</v>
      </c>
      <c r="H105" s="14">
        <f t="shared" si="6"/>
        <v>4</v>
      </c>
      <c r="I105" s="14">
        <v>3</v>
      </c>
      <c r="J105" s="14">
        <v>2</v>
      </c>
      <c r="K105" s="13" t="s">
        <v>4874</v>
      </c>
      <c r="L105" s="14" t="s">
        <v>153</v>
      </c>
      <c r="M105" s="14">
        <v>211</v>
      </c>
      <c r="N105" s="14">
        <v>326</v>
      </c>
      <c r="O105" s="14">
        <v>211100</v>
      </c>
      <c r="P105" s="14">
        <v>232600</v>
      </c>
      <c r="Q105" s="14"/>
    </row>
    <row r="106" spans="1:17" ht="22.5" x14ac:dyDescent="0.25">
      <c r="A106" s="11" t="s">
        <v>4660</v>
      </c>
      <c r="B106" s="13" t="s">
        <v>161</v>
      </c>
      <c r="C106" s="61" t="s">
        <v>162</v>
      </c>
      <c r="D106" s="13" t="s">
        <v>825</v>
      </c>
      <c r="E106" s="14" t="s">
        <v>826</v>
      </c>
      <c r="F106" s="14" t="s">
        <v>56</v>
      </c>
      <c r="G106" s="13"/>
      <c r="H106" s="14">
        <f t="shared" si="6"/>
        <v>1</v>
      </c>
      <c r="I106" s="14">
        <v>1</v>
      </c>
      <c r="J106" s="14">
        <v>1</v>
      </c>
      <c r="K106" s="13" t="s">
        <v>1513</v>
      </c>
      <c r="L106" s="14" t="s">
        <v>164</v>
      </c>
      <c r="M106" s="14">
        <v>717</v>
      </c>
      <c r="N106" s="14">
        <v>749</v>
      </c>
      <c r="O106" s="14">
        <v>271700</v>
      </c>
      <c r="P106" s="14">
        <v>374900</v>
      </c>
      <c r="Q106" s="14"/>
    </row>
    <row r="107" spans="1:17" ht="22.5" x14ac:dyDescent="0.25">
      <c r="A107" s="11" t="s">
        <v>4660</v>
      </c>
      <c r="B107" s="13" t="s">
        <v>778</v>
      </c>
      <c r="C107" s="61" t="s">
        <v>3820</v>
      </c>
      <c r="D107" s="13" t="s">
        <v>1212</v>
      </c>
      <c r="E107" s="14" t="s">
        <v>1431</v>
      </c>
      <c r="F107" s="13" t="s">
        <v>776</v>
      </c>
      <c r="G107" s="13"/>
      <c r="H107" s="14">
        <f t="shared" si="6"/>
        <v>4</v>
      </c>
      <c r="I107" s="14">
        <v>4</v>
      </c>
      <c r="J107" s="14">
        <v>4</v>
      </c>
      <c r="K107" s="13" t="s">
        <v>4723</v>
      </c>
      <c r="L107" s="14" t="s">
        <v>781</v>
      </c>
      <c r="M107" s="14">
        <v>372</v>
      </c>
      <c r="N107" s="14">
        <v>78</v>
      </c>
      <c r="Q107" s="14"/>
    </row>
    <row r="108" spans="1:17" ht="22.5" x14ac:dyDescent="0.25">
      <c r="A108" s="11" t="s">
        <v>4660</v>
      </c>
      <c r="B108" s="13" t="s">
        <v>778</v>
      </c>
      <c r="C108" s="61" t="s">
        <v>4709</v>
      </c>
      <c r="D108" s="13" t="s">
        <v>1207</v>
      </c>
      <c r="E108" s="14" t="s">
        <v>1431</v>
      </c>
      <c r="F108" s="13" t="s">
        <v>776</v>
      </c>
      <c r="G108" s="13"/>
      <c r="H108" s="14">
        <f t="shared" si="6"/>
        <v>2</v>
      </c>
      <c r="I108" s="14">
        <v>2</v>
      </c>
      <c r="J108" s="14">
        <v>2</v>
      </c>
      <c r="K108" s="13" t="s">
        <v>4710</v>
      </c>
      <c r="L108" s="14" t="s">
        <v>781</v>
      </c>
      <c r="M108" s="14">
        <v>372</v>
      </c>
      <c r="N108" s="14">
        <v>78</v>
      </c>
      <c r="Q108" s="14"/>
    </row>
    <row r="109" spans="1:17" ht="22.5" x14ac:dyDescent="0.25">
      <c r="A109" s="11" t="s">
        <v>4660</v>
      </c>
      <c r="B109" s="13" t="s">
        <v>778</v>
      </c>
      <c r="C109" s="61" t="s">
        <v>1405</v>
      </c>
      <c r="D109" s="13" t="s">
        <v>4736</v>
      </c>
      <c r="E109" s="14" t="s">
        <v>1406</v>
      </c>
      <c r="F109" s="13" t="s">
        <v>776</v>
      </c>
      <c r="G109" s="13"/>
      <c r="H109" s="14">
        <f t="shared" si="6"/>
        <v>6</v>
      </c>
      <c r="I109" s="14">
        <v>6</v>
      </c>
      <c r="J109" s="14">
        <v>3</v>
      </c>
      <c r="K109" s="13" t="s">
        <v>4737</v>
      </c>
      <c r="L109" s="14" t="s">
        <v>781</v>
      </c>
      <c r="M109" s="14">
        <v>1908</v>
      </c>
      <c r="N109" s="14">
        <v>4180</v>
      </c>
      <c r="O109" s="65"/>
      <c r="P109" s="65"/>
      <c r="Q109" s="14"/>
    </row>
    <row r="110" spans="1:17" ht="22.5" x14ac:dyDescent="0.25">
      <c r="A110" s="11" t="s">
        <v>4660</v>
      </c>
      <c r="B110" s="13" t="s">
        <v>1968</v>
      </c>
      <c r="C110" s="61" t="s">
        <v>4714</v>
      </c>
      <c r="D110" s="13" t="s">
        <v>1923</v>
      </c>
      <c r="E110" s="14" t="s">
        <v>4715</v>
      </c>
      <c r="F110" s="13" t="s">
        <v>776</v>
      </c>
      <c r="G110" s="13">
        <v>1</v>
      </c>
      <c r="H110" s="14">
        <f t="shared" si="6"/>
        <v>4</v>
      </c>
      <c r="I110" s="14">
        <v>3</v>
      </c>
      <c r="J110" s="14">
        <v>4</v>
      </c>
      <c r="K110" s="13" t="s">
        <v>4725</v>
      </c>
      <c r="L110" s="14" t="s">
        <v>1348</v>
      </c>
      <c r="M110" s="14">
        <v>853</v>
      </c>
      <c r="N110" s="14">
        <v>307</v>
      </c>
      <c r="O110" s="65"/>
      <c r="P110" s="65"/>
      <c r="Q110" s="14"/>
    </row>
    <row r="111" spans="1:17" ht="33.75" x14ac:dyDescent="0.25">
      <c r="A111" s="11" t="s">
        <v>4660</v>
      </c>
      <c r="B111" s="13" t="s">
        <v>2456</v>
      </c>
      <c r="C111" s="61" t="s">
        <v>4849</v>
      </c>
      <c r="D111" s="13" t="s">
        <v>2459</v>
      </c>
      <c r="E111" s="14" t="s">
        <v>2456</v>
      </c>
      <c r="F111" s="13" t="s">
        <v>773</v>
      </c>
      <c r="G111" s="13"/>
      <c r="H111" s="14">
        <f t="shared" si="6"/>
        <v>1</v>
      </c>
      <c r="I111" s="14">
        <v>1</v>
      </c>
      <c r="J111" s="14">
        <v>1</v>
      </c>
      <c r="K111" s="13" t="s">
        <v>3317</v>
      </c>
      <c r="L111" s="57" t="s">
        <v>667</v>
      </c>
      <c r="M111" s="57">
        <v>101</v>
      </c>
      <c r="N111" s="57">
        <v>626</v>
      </c>
      <c r="O111" s="65"/>
      <c r="P111" s="65"/>
      <c r="Q111" s="14"/>
    </row>
    <row r="112" spans="1:17" ht="33.75" x14ac:dyDescent="0.25">
      <c r="A112" s="11" t="s">
        <v>4660</v>
      </c>
      <c r="B112" s="13" t="s">
        <v>2456</v>
      </c>
      <c r="C112" s="61" t="s">
        <v>2458</v>
      </c>
      <c r="D112" s="13" t="s">
        <v>2459</v>
      </c>
      <c r="E112" s="14" t="s">
        <v>2456</v>
      </c>
      <c r="F112" s="13" t="s">
        <v>773</v>
      </c>
      <c r="G112" s="13"/>
      <c r="H112" s="14">
        <f t="shared" ref="H112:H146" si="7">G112+I112</f>
        <v>1</v>
      </c>
      <c r="I112" s="14">
        <v>1</v>
      </c>
      <c r="J112" s="14">
        <v>1</v>
      </c>
      <c r="K112" s="13" t="s">
        <v>3317</v>
      </c>
      <c r="L112" s="57" t="s">
        <v>667</v>
      </c>
      <c r="M112" s="57">
        <v>103</v>
      </c>
      <c r="N112" s="57">
        <v>625</v>
      </c>
      <c r="O112" s="65"/>
      <c r="P112" s="65"/>
      <c r="Q112" s="14"/>
    </row>
    <row r="113" spans="1:17" x14ac:dyDescent="0.25">
      <c r="A113" s="11" t="s">
        <v>4660</v>
      </c>
      <c r="B113" s="13" t="s">
        <v>785</v>
      </c>
      <c r="C113" s="61" t="s">
        <v>1984</v>
      </c>
      <c r="D113" s="13" t="s">
        <v>1985</v>
      </c>
      <c r="E113" s="14" t="s">
        <v>1986</v>
      </c>
      <c r="F113" s="13" t="s">
        <v>773</v>
      </c>
      <c r="G113" s="13"/>
      <c r="H113" s="14">
        <f t="shared" si="7"/>
        <v>1</v>
      </c>
      <c r="I113" s="14">
        <v>1</v>
      </c>
      <c r="J113" s="14">
        <v>1</v>
      </c>
      <c r="K113" s="13" t="s">
        <v>3084</v>
      </c>
      <c r="L113" s="14" t="s">
        <v>802</v>
      </c>
      <c r="M113" s="14">
        <v>52</v>
      </c>
      <c r="N113" s="14">
        <v>408</v>
      </c>
      <c r="O113" s="65"/>
      <c r="P113" s="65"/>
      <c r="Q113" s="14"/>
    </row>
    <row r="114" spans="1:17" ht="22.5" x14ac:dyDescent="0.25">
      <c r="A114" s="11" t="s">
        <v>4660</v>
      </c>
      <c r="B114" s="13" t="s">
        <v>795</v>
      </c>
      <c r="C114" s="61" t="s">
        <v>1237</v>
      </c>
      <c r="D114" s="13" t="s">
        <v>41</v>
      </c>
      <c r="E114" s="14" t="s">
        <v>797</v>
      </c>
      <c r="F114" s="13" t="s">
        <v>773</v>
      </c>
      <c r="G114" s="13">
        <v>1</v>
      </c>
      <c r="H114" s="14">
        <f t="shared" si="7"/>
        <v>5</v>
      </c>
      <c r="I114" s="14">
        <v>4</v>
      </c>
      <c r="J114" s="14">
        <v>5</v>
      </c>
      <c r="K114" s="13" t="s">
        <v>4791</v>
      </c>
      <c r="L114" s="14" t="s">
        <v>798</v>
      </c>
      <c r="M114" s="14">
        <v>24</v>
      </c>
      <c r="N114" s="14">
        <v>737</v>
      </c>
      <c r="Q114" s="14"/>
    </row>
    <row r="115" spans="1:17" ht="33.75" x14ac:dyDescent="0.25">
      <c r="A115" s="11" t="s">
        <v>4660</v>
      </c>
      <c r="B115" s="13" t="s">
        <v>795</v>
      </c>
      <c r="C115" s="61" t="s">
        <v>983</v>
      </c>
      <c r="D115" s="13" t="s">
        <v>4255</v>
      </c>
      <c r="E115" s="14" t="s">
        <v>797</v>
      </c>
      <c r="F115" s="13" t="s">
        <v>773</v>
      </c>
      <c r="G115" s="13">
        <v>7</v>
      </c>
      <c r="H115" s="14">
        <f t="shared" si="7"/>
        <v>20</v>
      </c>
      <c r="I115" s="14">
        <v>13</v>
      </c>
      <c r="J115" s="14">
        <v>11</v>
      </c>
      <c r="K115" s="13" t="s">
        <v>4825</v>
      </c>
      <c r="L115" s="14" t="s">
        <v>667</v>
      </c>
      <c r="M115" s="14">
        <v>996</v>
      </c>
      <c r="N115" s="14">
        <v>735</v>
      </c>
      <c r="Q115" s="14"/>
    </row>
    <row r="116" spans="1:17" ht="33.75" x14ac:dyDescent="0.25">
      <c r="A116" s="11" t="s">
        <v>4660</v>
      </c>
      <c r="B116" s="13" t="s">
        <v>795</v>
      </c>
      <c r="C116" s="61" t="s">
        <v>1240</v>
      </c>
      <c r="D116" s="13" t="s">
        <v>4781</v>
      </c>
      <c r="E116" s="14" t="s">
        <v>797</v>
      </c>
      <c r="F116" s="13" t="s">
        <v>773</v>
      </c>
      <c r="G116" s="13">
        <v>2</v>
      </c>
      <c r="H116" s="14">
        <f t="shared" si="7"/>
        <v>7</v>
      </c>
      <c r="I116" s="14">
        <v>5</v>
      </c>
      <c r="J116" s="14">
        <v>3</v>
      </c>
      <c r="K116" s="13" t="s">
        <v>4785</v>
      </c>
      <c r="L116" s="14" t="s">
        <v>798</v>
      </c>
      <c r="M116" s="14">
        <v>6</v>
      </c>
      <c r="N116" s="14">
        <v>755</v>
      </c>
      <c r="Q116" s="14"/>
    </row>
    <row r="117" spans="1:17" ht="22.5" x14ac:dyDescent="0.25">
      <c r="A117" s="11" t="s">
        <v>4660</v>
      </c>
      <c r="B117" s="13" t="s">
        <v>795</v>
      </c>
      <c r="C117" s="61" t="s">
        <v>796</v>
      </c>
      <c r="D117" s="13" t="s">
        <v>4787</v>
      </c>
      <c r="E117" s="14" t="s">
        <v>797</v>
      </c>
      <c r="F117" s="13" t="s">
        <v>773</v>
      </c>
      <c r="G117" s="13">
        <v>3</v>
      </c>
      <c r="H117" s="14">
        <f>G117+I117</f>
        <v>27</v>
      </c>
      <c r="I117" s="14">
        <v>24</v>
      </c>
      <c r="J117" s="14">
        <v>12</v>
      </c>
      <c r="K117" s="13" t="s">
        <v>4824</v>
      </c>
      <c r="L117" s="14" t="s">
        <v>798</v>
      </c>
      <c r="M117" s="14">
        <v>6</v>
      </c>
      <c r="N117" s="14">
        <v>727</v>
      </c>
      <c r="Q117" s="14"/>
    </row>
    <row r="118" spans="1:17" x14ac:dyDescent="0.25">
      <c r="A118" s="11" t="s">
        <v>4660</v>
      </c>
      <c r="B118" s="13" t="s">
        <v>795</v>
      </c>
      <c r="C118" s="81" t="s">
        <v>4786</v>
      </c>
      <c r="D118" s="13" t="s">
        <v>2129</v>
      </c>
      <c r="E118" s="14" t="s">
        <v>797</v>
      </c>
      <c r="F118" s="13" t="s">
        <v>773</v>
      </c>
      <c r="G118" s="13"/>
      <c r="H118" s="14">
        <f>G118+I118</f>
        <v>3</v>
      </c>
      <c r="I118" s="14">
        <v>3</v>
      </c>
      <c r="J118" s="14">
        <v>1</v>
      </c>
      <c r="K118" s="13" t="s">
        <v>3187</v>
      </c>
      <c r="L118" s="14" t="s">
        <v>798</v>
      </c>
      <c r="M118" s="14">
        <v>6</v>
      </c>
      <c r="N118" s="14">
        <v>727</v>
      </c>
      <c r="Q118" s="14"/>
    </row>
    <row r="119" spans="1:17" x14ac:dyDescent="0.25">
      <c r="A119" s="11" t="s">
        <v>4660</v>
      </c>
      <c r="B119" s="13" t="s">
        <v>795</v>
      </c>
      <c r="C119" s="81" t="s">
        <v>4788</v>
      </c>
      <c r="D119" s="13" t="s">
        <v>2129</v>
      </c>
      <c r="E119" s="14" t="s">
        <v>797</v>
      </c>
      <c r="F119" s="13" t="s">
        <v>773</v>
      </c>
      <c r="G119" s="13"/>
      <c r="H119" s="14">
        <f>G119+I119</f>
        <v>3</v>
      </c>
      <c r="I119" s="14">
        <v>3</v>
      </c>
      <c r="J119" s="14">
        <v>2</v>
      </c>
      <c r="K119" s="13" t="s">
        <v>4790</v>
      </c>
      <c r="L119" s="14" t="s">
        <v>798</v>
      </c>
      <c r="M119" s="14">
        <v>6</v>
      </c>
      <c r="N119" s="14">
        <v>727</v>
      </c>
      <c r="Q119" s="14"/>
    </row>
    <row r="120" spans="1:17" x14ac:dyDescent="0.25">
      <c r="A120" s="11" t="s">
        <v>4660</v>
      </c>
      <c r="B120" s="13" t="s">
        <v>795</v>
      </c>
      <c r="C120" s="81" t="s">
        <v>4789</v>
      </c>
      <c r="D120" s="13" t="s">
        <v>2129</v>
      </c>
      <c r="E120" s="14" t="s">
        <v>797</v>
      </c>
      <c r="F120" s="13" t="s">
        <v>773</v>
      </c>
      <c r="G120" s="13"/>
      <c r="H120" s="14">
        <f>G120+I120</f>
        <v>3</v>
      </c>
      <c r="I120" s="14">
        <v>3</v>
      </c>
      <c r="J120" s="14">
        <v>2</v>
      </c>
      <c r="K120" s="13" t="s">
        <v>4790</v>
      </c>
      <c r="L120" s="14" t="s">
        <v>798</v>
      </c>
      <c r="M120" s="14">
        <v>6</v>
      </c>
      <c r="N120" s="14">
        <v>727</v>
      </c>
      <c r="Q120" s="14"/>
    </row>
    <row r="121" spans="1:17" x14ac:dyDescent="0.25">
      <c r="A121" s="11" t="s">
        <v>4660</v>
      </c>
      <c r="B121" s="13" t="s">
        <v>795</v>
      </c>
      <c r="C121" s="61" t="s">
        <v>796</v>
      </c>
      <c r="D121" s="13" t="s">
        <v>20</v>
      </c>
      <c r="E121" s="14" t="s">
        <v>797</v>
      </c>
      <c r="F121" s="13" t="s">
        <v>773</v>
      </c>
      <c r="G121" s="13"/>
      <c r="H121" s="14">
        <f>G121+I121</f>
        <v>3</v>
      </c>
      <c r="I121" s="14">
        <v>3</v>
      </c>
      <c r="J121" s="14">
        <v>2</v>
      </c>
      <c r="K121" s="13" t="s">
        <v>4782</v>
      </c>
      <c r="L121" s="14" t="s">
        <v>798</v>
      </c>
      <c r="M121" s="14">
        <v>6</v>
      </c>
      <c r="N121" s="14">
        <v>727</v>
      </c>
      <c r="Q121" s="14"/>
    </row>
    <row r="122" spans="1:17" ht="56.25" x14ac:dyDescent="0.25">
      <c r="A122" s="11" t="s">
        <v>4660</v>
      </c>
      <c r="C122" s="61" t="s">
        <v>1892</v>
      </c>
      <c r="F122" s="14" t="s">
        <v>874</v>
      </c>
      <c r="G122" s="13">
        <v>141</v>
      </c>
      <c r="H122" s="14">
        <f t="shared" si="7"/>
        <v>141</v>
      </c>
      <c r="J122" s="14">
        <v>72</v>
      </c>
      <c r="K122" s="13" t="s">
        <v>4851</v>
      </c>
      <c r="Q122" s="14"/>
    </row>
    <row r="123" spans="1:17" x14ac:dyDescent="0.25">
      <c r="A123" s="11" t="s">
        <v>4660</v>
      </c>
      <c r="C123" s="61" t="s">
        <v>4620</v>
      </c>
      <c r="F123" s="14" t="s">
        <v>874</v>
      </c>
      <c r="G123" s="13">
        <v>2</v>
      </c>
      <c r="H123" s="14">
        <f t="shared" si="7"/>
        <v>2</v>
      </c>
      <c r="J123" s="14">
        <v>2</v>
      </c>
      <c r="K123" s="13" t="s">
        <v>4853</v>
      </c>
      <c r="Q123" s="14"/>
    </row>
    <row r="124" spans="1:17" x14ac:dyDescent="0.25">
      <c r="A124" s="11" t="s">
        <v>4660</v>
      </c>
      <c r="C124" s="61" t="s">
        <v>489</v>
      </c>
      <c r="F124" s="14" t="s">
        <v>874</v>
      </c>
      <c r="G124" s="13">
        <v>2</v>
      </c>
      <c r="H124" s="14">
        <f t="shared" si="7"/>
        <v>2</v>
      </c>
      <c r="J124" s="14">
        <v>2</v>
      </c>
      <c r="K124" s="13" t="s">
        <v>4733</v>
      </c>
      <c r="Q124" s="14"/>
    </row>
    <row r="125" spans="1:17" x14ac:dyDescent="0.25">
      <c r="A125" s="11" t="s">
        <v>4660</v>
      </c>
      <c r="C125" s="61" t="s">
        <v>679</v>
      </c>
      <c r="F125" s="14" t="s">
        <v>11</v>
      </c>
      <c r="G125" s="13">
        <v>2</v>
      </c>
      <c r="H125" s="14">
        <f t="shared" si="7"/>
        <v>2</v>
      </c>
      <c r="J125" s="14">
        <v>2</v>
      </c>
      <c r="K125" s="13" t="s">
        <v>4734</v>
      </c>
      <c r="Q125" s="14"/>
    </row>
    <row r="126" spans="1:17" x14ac:dyDescent="0.25">
      <c r="A126" s="11" t="s">
        <v>4660</v>
      </c>
      <c r="C126" s="61" t="s">
        <v>265</v>
      </c>
      <c r="F126" s="14" t="s">
        <v>874</v>
      </c>
      <c r="G126" s="13">
        <v>5</v>
      </c>
      <c r="H126" s="14">
        <f t="shared" si="7"/>
        <v>5</v>
      </c>
      <c r="J126" s="14">
        <v>3</v>
      </c>
      <c r="K126" s="13" t="s">
        <v>4665</v>
      </c>
      <c r="Q126" s="14"/>
    </row>
    <row r="127" spans="1:17" x14ac:dyDescent="0.25">
      <c r="A127" s="11" t="s">
        <v>4660</v>
      </c>
      <c r="C127" s="61" t="s">
        <v>302</v>
      </c>
      <c r="F127" s="14" t="s">
        <v>35</v>
      </c>
      <c r="G127" s="13">
        <v>1</v>
      </c>
      <c r="H127" s="14">
        <f t="shared" si="7"/>
        <v>1</v>
      </c>
      <c r="J127" s="14">
        <v>1</v>
      </c>
      <c r="K127" s="13" t="s">
        <v>849</v>
      </c>
      <c r="Q127" s="14"/>
    </row>
    <row r="128" spans="1:17" x14ac:dyDescent="0.25">
      <c r="A128" s="11" t="s">
        <v>4660</v>
      </c>
      <c r="C128" s="61" t="s">
        <v>1893</v>
      </c>
      <c r="F128" s="14" t="s">
        <v>874</v>
      </c>
      <c r="G128" s="13">
        <v>3</v>
      </c>
      <c r="H128" s="14">
        <f t="shared" si="7"/>
        <v>3</v>
      </c>
      <c r="J128" s="14">
        <v>3</v>
      </c>
      <c r="K128" s="13" t="s">
        <v>4687</v>
      </c>
      <c r="Q128" s="14"/>
    </row>
    <row r="129" spans="1:17" x14ac:dyDescent="0.25">
      <c r="A129" s="11" t="s">
        <v>4660</v>
      </c>
      <c r="C129" s="61" t="s">
        <v>1894</v>
      </c>
      <c r="E129" s="14" t="s">
        <v>2644</v>
      </c>
      <c r="F129" s="14" t="s">
        <v>874</v>
      </c>
      <c r="G129" s="13">
        <v>2</v>
      </c>
      <c r="H129" s="14">
        <f t="shared" si="7"/>
        <v>2</v>
      </c>
      <c r="J129" s="14">
        <v>2</v>
      </c>
      <c r="K129" s="13" t="s">
        <v>4852</v>
      </c>
      <c r="Q129" s="14"/>
    </row>
    <row r="130" spans="1:17" x14ac:dyDescent="0.25">
      <c r="A130" s="11" t="s">
        <v>4660</v>
      </c>
      <c r="B130" s="13" t="s">
        <v>411</v>
      </c>
      <c r="D130" s="13" t="s">
        <v>1940</v>
      </c>
      <c r="F130" s="14" t="s">
        <v>11</v>
      </c>
      <c r="G130" s="13">
        <v>1</v>
      </c>
      <c r="H130" s="14">
        <f t="shared" si="7"/>
        <v>1</v>
      </c>
      <c r="J130" s="14">
        <v>1</v>
      </c>
      <c r="K130" s="13" t="s">
        <v>1322</v>
      </c>
      <c r="Q130" s="14"/>
    </row>
    <row r="131" spans="1:17" x14ac:dyDescent="0.25">
      <c r="A131" s="11" t="s">
        <v>4660</v>
      </c>
      <c r="B131" s="13" t="s">
        <v>411</v>
      </c>
      <c r="C131" s="61" t="s">
        <v>4713</v>
      </c>
      <c r="F131" s="14" t="s">
        <v>11</v>
      </c>
      <c r="G131" s="13">
        <v>2</v>
      </c>
      <c r="H131" s="14">
        <f>G131+I131</f>
        <v>2</v>
      </c>
      <c r="J131" s="14">
        <v>2</v>
      </c>
      <c r="K131" s="13" t="s">
        <v>4167</v>
      </c>
      <c r="Q131" s="14"/>
    </row>
    <row r="132" spans="1:17" x14ac:dyDescent="0.25">
      <c r="A132" s="11" t="s">
        <v>4660</v>
      </c>
      <c r="B132" s="13" t="s">
        <v>297</v>
      </c>
      <c r="C132" s="61" t="s">
        <v>3374</v>
      </c>
      <c r="D132" s="13" t="s">
        <v>3762</v>
      </c>
      <c r="F132" s="14" t="s">
        <v>11</v>
      </c>
      <c r="G132" s="13">
        <v>2</v>
      </c>
      <c r="H132" s="14">
        <f t="shared" si="7"/>
        <v>2</v>
      </c>
      <c r="J132" s="14">
        <v>2</v>
      </c>
      <c r="K132" s="13" t="s">
        <v>4815</v>
      </c>
      <c r="Q132" s="14"/>
    </row>
    <row r="133" spans="1:17" x14ac:dyDescent="0.25">
      <c r="A133" s="11" t="s">
        <v>4660</v>
      </c>
      <c r="B133" s="13" t="s">
        <v>297</v>
      </c>
      <c r="C133" s="61" t="s">
        <v>4668</v>
      </c>
      <c r="F133" s="14" t="s">
        <v>11</v>
      </c>
      <c r="G133" s="13">
        <v>2</v>
      </c>
      <c r="H133" s="14">
        <f t="shared" ref="H133:H138" si="8">G133+I133</f>
        <v>2</v>
      </c>
      <c r="J133" s="14">
        <v>2</v>
      </c>
      <c r="K133" s="13" t="s">
        <v>4682</v>
      </c>
      <c r="Q133" s="14"/>
    </row>
    <row r="134" spans="1:17" x14ac:dyDescent="0.25">
      <c r="A134" s="11" t="s">
        <v>4660</v>
      </c>
      <c r="B134" s="13" t="s">
        <v>2365</v>
      </c>
      <c r="C134" s="61" t="s">
        <v>2365</v>
      </c>
      <c r="F134" s="14" t="s">
        <v>11</v>
      </c>
      <c r="G134" s="13">
        <v>1</v>
      </c>
      <c r="H134" s="14">
        <f t="shared" si="8"/>
        <v>1</v>
      </c>
      <c r="J134" s="14">
        <v>1</v>
      </c>
      <c r="K134" s="13" t="s">
        <v>2886</v>
      </c>
      <c r="Q134" s="14"/>
    </row>
    <row r="135" spans="1:17" x14ac:dyDescent="0.25">
      <c r="A135" s="11" t="s">
        <v>4660</v>
      </c>
      <c r="B135" s="13" t="s">
        <v>76</v>
      </c>
      <c r="C135" s="61" t="s">
        <v>4669</v>
      </c>
      <c r="F135" s="14" t="s">
        <v>11</v>
      </c>
      <c r="G135" s="13">
        <v>1</v>
      </c>
      <c r="H135" s="14">
        <f t="shared" si="8"/>
        <v>1</v>
      </c>
      <c r="J135" s="14">
        <v>1</v>
      </c>
      <c r="K135" s="13" t="s">
        <v>4670</v>
      </c>
      <c r="Q135" s="14"/>
    </row>
    <row r="136" spans="1:17" x14ac:dyDescent="0.25">
      <c r="A136" s="11" t="s">
        <v>4660</v>
      </c>
      <c r="B136" s="13" t="s">
        <v>76</v>
      </c>
      <c r="C136" s="61" t="s">
        <v>2479</v>
      </c>
      <c r="F136" s="14" t="s">
        <v>11</v>
      </c>
      <c r="G136" s="13">
        <v>3</v>
      </c>
      <c r="H136" s="14">
        <f t="shared" si="8"/>
        <v>3</v>
      </c>
      <c r="J136" s="14">
        <v>3</v>
      </c>
      <c r="K136" s="13" t="s">
        <v>4773</v>
      </c>
      <c r="Q136" s="14"/>
    </row>
    <row r="137" spans="1:17" x14ac:dyDescent="0.25">
      <c r="A137" s="11" t="s">
        <v>4660</v>
      </c>
      <c r="B137" s="13" t="s">
        <v>76</v>
      </c>
      <c r="C137" s="61" t="s">
        <v>4774</v>
      </c>
      <c r="F137" s="14" t="s">
        <v>11</v>
      </c>
      <c r="G137" s="13">
        <v>1</v>
      </c>
      <c r="H137" s="14">
        <f t="shared" si="8"/>
        <v>1</v>
      </c>
      <c r="J137" s="14">
        <v>1</v>
      </c>
      <c r="K137" s="13" t="s">
        <v>4364</v>
      </c>
      <c r="Q137" s="14"/>
    </row>
    <row r="138" spans="1:17" x14ac:dyDescent="0.25">
      <c r="A138" s="11" t="s">
        <v>4660</v>
      </c>
      <c r="B138" s="13" t="s">
        <v>76</v>
      </c>
      <c r="C138" s="61" t="s">
        <v>4701</v>
      </c>
      <c r="F138" s="14" t="s">
        <v>11</v>
      </c>
      <c r="G138" s="13">
        <v>1</v>
      </c>
      <c r="H138" s="14">
        <f t="shared" si="8"/>
        <v>1</v>
      </c>
      <c r="J138" s="14">
        <v>1</v>
      </c>
      <c r="K138" s="13" t="s">
        <v>1309</v>
      </c>
      <c r="Q138" s="14"/>
    </row>
    <row r="139" spans="1:17" x14ac:dyDescent="0.25">
      <c r="A139" s="11" t="s">
        <v>4660</v>
      </c>
      <c r="B139" s="13" t="s">
        <v>76</v>
      </c>
      <c r="D139" s="13" t="s">
        <v>1940</v>
      </c>
      <c r="F139" s="14" t="s">
        <v>11</v>
      </c>
      <c r="G139" s="13">
        <v>4</v>
      </c>
      <c r="H139" s="14">
        <f t="shared" si="7"/>
        <v>4</v>
      </c>
      <c r="J139" s="14">
        <v>4</v>
      </c>
      <c r="K139" s="13" t="s">
        <v>4775</v>
      </c>
      <c r="Q139" s="14"/>
    </row>
    <row r="140" spans="1:17" x14ac:dyDescent="0.25">
      <c r="A140" s="11" t="s">
        <v>4660</v>
      </c>
      <c r="B140" s="13" t="s">
        <v>76</v>
      </c>
      <c r="C140" s="61" t="s">
        <v>2350</v>
      </c>
      <c r="D140" s="13" t="s">
        <v>3762</v>
      </c>
      <c r="F140" s="14" t="s">
        <v>11</v>
      </c>
      <c r="G140" s="13">
        <v>3</v>
      </c>
      <c r="H140" s="14">
        <f t="shared" si="7"/>
        <v>3</v>
      </c>
      <c r="J140" s="14">
        <v>3</v>
      </c>
      <c r="K140" s="13" t="s">
        <v>4690</v>
      </c>
      <c r="Q140" s="14"/>
    </row>
    <row r="141" spans="1:17" x14ac:dyDescent="0.25">
      <c r="A141" s="11" t="s">
        <v>4660</v>
      </c>
      <c r="B141" s="13" t="s">
        <v>76</v>
      </c>
      <c r="C141" s="61" t="s">
        <v>4699</v>
      </c>
      <c r="F141" s="14" t="s">
        <v>11</v>
      </c>
      <c r="G141" s="13">
        <v>1</v>
      </c>
      <c r="H141" s="14">
        <f>G141+I141</f>
        <v>1</v>
      </c>
      <c r="J141" s="14">
        <v>1</v>
      </c>
      <c r="K141" s="13" t="s">
        <v>1309</v>
      </c>
      <c r="Q141" s="14"/>
    </row>
    <row r="142" spans="1:17" x14ac:dyDescent="0.25">
      <c r="A142" s="11" t="s">
        <v>4660</v>
      </c>
      <c r="B142" s="13" t="s">
        <v>213</v>
      </c>
      <c r="D142" s="13" t="s">
        <v>1940</v>
      </c>
      <c r="F142" s="14" t="s">
        <v>11</v>
      </c>
      <c r="G142" s="13">
        <v>1</v>
      </c>
      <c r="H142" s="14">
        <f>G142+I142</f>
        <v>1</v>
      </c>
      <c r="J142" s="14">
        <v>1</v>
      </c>
      <c r="K142" s="13" t="s">
        <v>4756</v>
      </c>
      <c r="Q142" s="14"/>
    </row>
    <row r="143" spans="1:17" x14ac:dyDescent="0.25">
      <c r="A143" s="11" t="s">
        <v>4660</v>
      </c>
      <c r="B143" s="13" t="s">
        <v>213</v>
      </c>
      <c r="C143" s="61" t="s">
        <v>4772</v>
      </c>
      <c r="F143" s="14" t="s">
        <v>11</v>
      </c>
      <c r="G143" s="13">
        <v>1</v>
      </c>
      <c r="H143" s="14">
        <f>G143+I143</f>
        <v>1</v>
      </c>
      <c r="J143" s="14">
        <v>1</v>
      </c>
      <c r="K143" s="13" t="s">
        <v>4341</v>
      </c>
      <c r="Q143" s="14"/>
    </row>
    <row r="144" spans="1:17" x14ac:dyDescent="0.25">
      <c r="A144" s="11" t="s">
        <v>4660</v>
      </c>
      <c r="B144" s="13" t="s">
        <v>213</v>
      </c>
      <c r="C144" s="61" t="s">
        <v>4037</v>
      </c>
      <c r="F144" s="14" t="s">
        <v>11</v>
      </c>
      <c r="G144" s="13">
        <v>2</v>
      </c>
      <c r="H144" s="14">
        <f t="shared" si="7"/>
        <v>2</v>
      </c>
      <c r="J144" s="14">
        <v>2</v>
      </c>
      <c r="K144" s="13" t="s">
        <v>4757</v>
      </c>
      <c r="Q144" s="14"/>
    </row>
    <row r="145" spans="1:17" x14ac:dyDescent="0.25">
      <c r="A145" s="11" t="s">
        <v>4660</v>
      </c>
      <c r="B145" s="13" t="s">
        <v>42</v>
      </c>
      <c r="C145" s="61" t="s">
        <v>42</v>
      </c>
      <c r="D145" s="13" t="s">
        <v>1940</v>
      </c>
      <c r="F145" s="14" t="s">
        <v>11</v>
      </c>
      <c r="G145" s="13">
        <v>1</v>
      </c>
      <c r="H145" s="14">
        <f t="shared" si="7"/>
        <v>1</v>
      </c>
      <c r="J145" s="14">
        <v>1</v>
      </c>
      <c r="K145" s="13" t="s">
        <v>1513</v>
      </c>
      <c r="Q145" s="14"/>
    </row>
    <row r="146" spans="1:17" ht="12.75" customHeight="1" x14ac:dyDescent="0.25">
      <c r="A146" s="11" t="s">
        <v>4660</v>
      </c>
      <c r="B146" s="13" t="s">
        <v>10</v>
      </c>
      <c r="D146" s="13" t="s">
        <v>1940</v>
      </c>
      <c r="E146" s="14" t="s">
        <v>326</v>
      </c>
      <c r="F146" s="14" t="s">
        <v>11</v>
      </c>
      <c r="G146" s="13">
        <v>3</v>
      </c>
      <c r="H146" s="14">
        <f t="shared" si="7"/>
        <v>3</v>
      </c>
      <c r="J146" s="14">
        <v>3</v>
      </c>
      <c r="K146" s="13" t="s">
        <v>4689</v>
      </c>
      <c r="Q146" s="14"/>
    </row>
    <row r="147" spans="1:17" x14ac:dyDescent="0.25">
      <c r="A147" s="11" t="s">
        <v>4660</v>
      </c>
      <c r="B147" s="13" t="s">
        <v>10</v>
      </c>
      <c r="C147" s="61" t="s">
        <v>4688</v>
      </c>
      <c r="E147" s="14" t="s">
        <v>326</v>
      </c>
      <c r="F147" s="14" t="s">
        <v>11</v>
      </c>
      <c r="G147" s="13">
        <v>1</v>
      </c>
      <c r="H147" s="14">
        <f>G147+I147</f>
        <v>1</v>
      </c>
      <c r="J147" s="14">
        <v>1</v>
      </c>
      <c r="K147" s="13" t="s">
        <v>1322</v>
      </c>
      <c r="Q147" s="14"/>
    </row>
    <row r="148" spans="1:17" x14ac:dyDescent="0.25">
      <c r="A148" s="11" t="s">
        <v>4660</v>
      </c>
      <c r="B148" s="13" t="s">
        <v>126</v>
      </c>
      <c r="D148" s="13" t="s">
        <v>1940</v>
      </c>
      <c r="F148" s="14" t="s">
        <v>11</v>
      </c>
      <c r="G148" s="13">
        <v>3</v>
      </c>
      <c r="H148" s="14">
        <f t="shared" ref="H148:H154" si="9">G148+I148</f>
        <v>3</v>
      </c>
      <c r="J148" s="14">
        <v>2</v>
      </c>
      <c r="K148" s="13" t="s">
        <v>2904</v>
      </c>
      <c r="Q148" s="14"/>
    </row>
    <row r="149" spans="1:17" x14ac:dyDescent="0.25">
      <c r="A149" s="11" t="s">
        <v>4660</v>
      </c>
      <c r="B149" s="13" t="s">
        <v>126</v>
      </c>
      <c r="C149" s="61" t="s">
        <v>4858</v>
      </c>
      <c r="F149" s="14" t="s">
        <v>11</v>
      </c>
      <c r="G149" s="13">
        <v>2</v>
      </c>
      <c r="H149" s="14">
        <f>G149+I149</f>
        <v>2</v>
      </c>
      <c r="J149" s="14">
        <v>1</v>
      </c>
      <c r="K149" s="13" t="s">
        <v>3286</v>
      </c>
      <c r="Q149" s="14"/>
    </row>
    <row r="150" spans="1:17" x14ac:dyDescent="0.25">
      <c r="A150" s="11" t="s">
        <v>4660</v>
      </c>
      <c r="B150" s="13" t="s">
        <v>126</v>
      </c>
      <c r="C150" s="61" t="s">
        <v>1584</v>
      </c>
      <c r="E150" s="14" t="s">
        <v>1137</v>
      </c>
      <c r="F150" s="14" t="s">
        <v>11</v>
      </c>
      <c r="G150" s="13">
        <v>2</v>
      </c>
      <c r="H150" s="14">
        <f t="shared" si="9"/>
        <v>2</v>
      </c>
      <c r="J150" s="14">
        <v>2</v>
      </c>
      <c r="K150" s="13" t="s">
        <v>4857</v>
      </c>
      <c r="Q150" s="14"/>
    </row>
    <row r="151" spans="1:17" ht="9" customHeight="1" x14ac:dyDescent="0.25">
      <c r="A151" s="11" t="s">
        <v>4660</v>
      </c>
      <c r="B151" s="13" t="s">
        <v>191</v>
      </c>
      <c r="D151" s="13" t="s">
        <v>1940</v>
      </c>
      <c r="F151" s="14" t="s">
        <v>11</v>
      </c>
      <c r="G151" s="13">
        <v>2</v>
      </c>
      <c r="H151" s="14">
        <f t="shared" si="9"/>
        <v>2</v>
      </c>
      <c r="J151" s="14">
        <v>2</v>
      </c>
      <c r="K151" s="13" t="s">
        <v>4691</v>
      </c>
      <c r="Q151" s="14"/>
    </row>
    <row r="152" spans="1:17" x14ac:dyDescent="0.25">
      <c r="A152" s="11" t="s">
        <v>4660</v>
      </c>
      <c r="B152" s="13" t="s">
        <v>191</v>
      </c>
      <c r="C152" s="61" t="s">
        <v>3915</v>
      </c>
      <c r="D152" s="13" t="s">
        <v>3762</v>
      </c>
      <c r="F152" s="14" t="s">
        <v>11</v>
      </c>
      <c r="G152" s="13">
        <v>1</v>
      </c>
      <c r="H152" s="14">
        <f>G152+I152</f>
        <v>1</v>
      </c>
      <c r="J152" s="14">
        <v>1</v>
      </c>
      <c r="K152" s="13" t="s">
        <v>902</v>
      </c>
      <c r="Q152" s="14"/>
    </row>
    <row r="153" spans="1:17" x14ac:dyDescent="0.25">
      <c r="A153" s="11" t="s">
        <v>4660</v>
      </c>
      <c r="B153" s="13" t="s">
        <v>191</v>
      </c>
      <c r="C153" s="61" t="s">
        <v>2423</v>
      </c>
      <c r="F153" s="14" t="s">
        <v>11</v>
      </c>
      <c r="G153" s="13">
        <v>1</v>
      </c>
      <c r="H153" s="14">
        <f>G153+I153</f>
        <v>1</v>
      </c>
      <c r="J153" s="14">
        <v>1</v>
      </c>
      <c r="K153" s="13" t="s">
        <v>3236</v>
      </c>
      <c r="Q153" s="14"/>
    </row>
    <row r="154" spans="1:17" x14ac:dyDescent="0.25">
      <c r="A154" s="11" t="s">
        <v>4660</v>
      </c>
      <c r="B154" s="13" t="s">
        <v>68</v>
      </c>
      <c r="C154" s="61" t="s">
        <v>68</v>
      </c>
      <c r="D154" s="13" t="s">
        <v>1940</v>
      </c>
      <c r="F154" s="14" t="s">
        <v>11</v>
      </c>
      <c r="G154" s="13">
        <v>6</v>
      </c>
      <c r="H154" s="14">
        <f t="shared" si="9"/>
        <v>6</v>
      </c>
      <c r="J154" s="14">
        <v>5</v>
      </c>
      <c r="K154" s="13" t="s">
        <v>4856</v>
      </c>
      <c r="Q154" s="14"/>
    </row>
    <row r="155" spans="1:17" x14ac:dyDescent="0.25">
      <c r="A155" s="11" t="s">
        <v>4660</v>
      </c>
      <c r="B155" s="13" t="s">
        <v>68</v>
      </c>
      <c r="C155" s="61" t="s">
        <v>2112</v>
      </c>
      <c r="F155" s="14" t="s">
        <v>11</v>
      </c>
      <c r="G155" s="13">
        <v>1</v>
      </c>
      <c r="H155" s="14">
        <f t="shared" ref="H155:H186" si="10">G155+I155</f>
        <v>1</v>
      </c>
      <c r="J155" s="14">
        <v>1</v>
      </c>
      <c r="K155" s="13" t="s">
        <v>4476</v>
      </c>
      <c r="Q155" s="14"/>
    </row>
    <row r="156" spans="1:17" x14ac:dyDescent="0.25">
      <c r="A156" s="11" t="s">
        <v>4660</v>
      </c>
      <c r="B156" s="13" t="s">
        <v>68</v>
      </c>
      <c r="C156" s="61" t="s">
        <v>4747</v>
      </c>
      <c r="F156" s="14" t="s">
        <v>11</v>
      </c>
      <c r="G156" s="13">
        <v>1</v>
      </c>
      <c r="H156" s="14">
        <f t="shared" si="10"/>
        <v>1</v>
      </c>
      <c r="J156" s="14">
        <v>1</v>
      </c>
      <c r="K156" s="13" t="s">
        <v>657</v>
      </c>
      <c r="Q156" s="14"/>
    </row>
    <row r="157" spans="1:17" x14ac:dyDescent="0.25">
      <c r="A157" s="11" t="s">
        <v>4660</v>
      </c>
      <c r="B157" s="13" t="s">
        <v>68</v>
      </c>
      <c r="C157" s="61" t="s">
        <v>4749</v>
      </c>
      <c r="F157" s="14" t="s">
        <v>11</v>
      </c>
      <c r="G157" s="13">
        <v>1</v>
      </c>
      <c r="H157" s="14">
        <f t="shared" si="10"/>
        <v>1</v>
      </c>
      <c r="J157" s="14">
        <v>1</v>
      </c>
      <c r="K157" s="13" t="s">
        <v>657</v>
      </c>
      <c r="Q157" s="14"/>
    </row>
    <row r="158" spans="1:17" x14ac:dyDescent="0.25">
      <c r="A158" s="11" t="s">
        <v>4660</v>
      </c>
      <c r="B158" s="13" t="s">
        <v>68</v>
      </c>
      <c r="C158" s="61" t="s">
        <v>4748</v>
      </c>
      <c r="F158" s="14" t="s">
        <v>11</v>
      </c>
      <c r="G158" s="13">
        <v>1</v>
      </c>
      <c r="H158" s="14">
        <f t="shared" si="10"/>
        <v>1</v>
      </c>
      <c r="J158" s="14">
        <v>1</v>
      </c>
      <c r="K158" s="13" t="s">
        <v>657</v>
      </c>
      <c r="Q158" s="14"/>
    </row>
    <row r="159" spans="1:17" x14ac:dyDescent="0.25">
      <c r="A159" s="11" t="s">
        <v>4660</v>
      </c>
      <c r="B159" s="13" t="s">
        <v>674</v>
      </c>
      <c r="C159" s="61" t="s">
        <v>4667</v>
      </c>
      <c r="F159" s="14" t="s">
        <v>11</v>
      </c>
      <c r="G159" s="13">
        <v>1</v>
      </c>
      <c r="H159" s="14">
        <f t="shared" si="10"/>
        <v>1</v>
      </c>
      <c r="J159" s="14">
        <v>1</v>
      </c>
      <c r="K159" s="13" t="s">
        <v>842</v>
      </c>
      <c r="Q159" s="14"/>
    </row>
    <row r="160" spans="1:17" x14ac:dyDescent="0.25">
      <c r="A160" s="11" t="s">
        <v>4660</v>
      </c>
      <c r="B160" s="13" t="s">
        <v>327</v>
      </c>
      <c r="C160" s="61" t="s">
        <v>282</v>
      </c>
      <c r="D160" s="13" t="s">
        <v>1940</v>
      </c>
      <c r="F160" s="14" t="s">
        <v>11</v>
      </c>
      <c r="G160" s="13">
        <v>2</v>
      </c>
      <c r="H160" s="14">
        <f t="shared" si="10"/>
        <v>2</v>
      </c>
      <c r="J160" s="14">
        <v>2</v>
      </c>
      <c r="K160" s="13" t="s">
        <v>4729</v>
      </c>
      <c r="Q160" s="14"/>
    </row>
    <row r="161" spans="1:17" x14ac:dyDescent="0.25">
      <c r="A161" s="11" t="s">
        <v>4660</v>
      </c>
      <c r="B161" s="13" t="s">
        <v>2006</v>
      </c>
      <c r="D161" s="13" t="s">
        <v>1940</v>
      </c>
      <c r="F161" s="14" t="s">
        <v>11</v>
      </c>
      <c r="G161" s="13">
        <v>3</v>
      </c>
      <c r="H161" s="14">
        <f t="shared" si="10"/>
        <v>3</v>
      </c>
      <c r="J161" s="14">
        <v>3</v>
      </c>
      <c r="K161" s="13" t="s">
        <v>4855</v>
      </c>
      <c r="Q161" s="14"/>
    </row>
    <row r="162" spans="1:17" x14ac:dyDescent="0.25">
      <c r="A162" s="11" t="s">
        <v>4660</v>
      </c>
      <c r="B162" s="13" t="s">
        <v>209</v>
      </c>
      <c r="D162" s="13" t="s">
        <v>1940</v>
      </c>
      <c r="F162" s="14" t="s">
        <v>11</v>
      </c>
      <c r="G162" s="13">
        <v>2</v>
      </c>
      <c r="H162" s="14">
        <f t="shared" si="10"/>
        <v>2</v>
      </c>
      <c r="J162" s="14">
        <v>2</v>
      </c>
      <c r="K162" s="13" t="s">
        <v>4854</v>
      </c>
      <c r="Q162" s="14"/>
    </row>
    <row r="163" spans="1:17" x14ac:dyDescent="0.25">
      <c r="A163" s="11" t="s">
        <v>4660</v>
      </c>
      <c r="B163" s="13" t="s">
        <v>209</v>
      </c>
      <c r="C163" s="61" t="s">
        <v>4750</v>
      </c>
      <c r="F163" s="14" t="s">
        <v>11</v>
      </c>
      <c r="G163" s="13">
        <v>1</v>
      </c>
      <c r="H163" s="14">
        <f t="shared" si="10"/>
        <v>1</v>
      </c>
      <c r="J163" s="14">
        <v>1</v>
      </c>
      <c r="K163" s="13" t="s">
        <v>649</v>
      </c>
      <c r="Q163" s="14"/>
    </row>
    <row r="164" spans="1:17" x14ac:dyDescent="0.25">
      <c r="A164" s="11" t="s">
        <v>4660</v>
      </c>
      <c r="B164" s="13" t="s">
        <v>64</v>
      </c>
      <c r="D164" s="13" t="s">
        <v>1940</v>
      </c>
      <c r="F164" s="14" t="s">
        <v>11</v>
      </c>
      <c r="G164" s="13">
        <v>2</v>
      </c>
      <c r="H164" s="14">
        <f t="shared" si="10"/>
        <v>2</v>
      </c>
      <c r="J164" s="14">
        <v>2</v>
      </c>
      <c r="K164" s="13" t="s">
        <v>4770</v>
      </c>
      <c r="Q164" s="14"/>
    </row>
    <row r="165" spans="1:17" x14ac:dyDescent="0.25">
      <c r="A165" s="11" t="s">
        <v>4660</v>
      </c>
      <c r="B165" s="13" t="s">
        <v>64</v>
      </c>
      <c r="C165" s="61" t="s">
        <v>3176</v>
      </c>
      <c r="F165" s="14" t="s">
        <v>11</v>
      </c>
      <c r="G165" s="13">
        <v>1</v>
      </c>
      <c r="H165" s="14">
        <f t="shared" si="10"/>
        <v>1</v>
      </c>
      <c r="J165" s="14">
        <v>1</v>
      </c>
      <c r="K165" s="13" t="s">
        <v>4299</v>
      </c>
      <c r="Q165" s="14"/>
    </row>
    <row r="166" spans="1:17" x14ac:dyDescent="0.25">
      <c r="A166" s="11" t="s">
        <v>4660</v>
      </c>
      <c r="B166" s="13" t="s">
        <v>261</v>
      </c>
      <c r="D166" s="13" t="s">
        <v>4372</v>
      </c>
      <c r="F166" s="14" t="s">
        <v>11</v>
      </c>
      <c r="G166" s="13">
        <v>1</v>
      </c>
      <c r="H166" s="14">
        <f t="shared" si="10"/>
        <v>1</v>
      </c>
      <c r="J166" s="14">
        <v>1</v>
      </c>
      <c r="K166" s="13" t="s">
        <v>1329</v>
      </c>
      <c r="Q166" s="14"/>
    </row>
    <row r="167" spans="1:17" x14ac:dyDescent="0.25">
      <c r="A167" s="11" t="s">
        <v>4660</v>
      </c>
      <c r="B167" s="13" t="s">
        <v>4728</v>
      </c>
      <c r="D167" s="13" t="s">
        <v>1940</v>
      </c>
      <c r="F167" s="14" t="s">
        <v>11</v>
      </c>
      <c r="G167" s="13">
        <v>1</v>
      </c>
      <c r="H167" s="14">
        <f t="shared" si="10"/>
        <v>1</v>
      </c>
      <c r="J167" s="14">
        <v>1</v>
      </c>
      <c r="K167" s="13" t="s">
        <v>2317</v>
      </c>
      <c r="Q167" s="14"/>
    </row>
    <row r="168" spans="1:17" x14ac:dyDescent="0.25">
      <c r="A168" s="11" t="s">
        <v>4660</v>
      </c>
      <c r="B168" s="13" t="s">
        <v>283</v>
      </c>
      <c r="D168" s="13" t="s">
        <v>1940</v>
      </c>
      <c r="F168" s="14" t="s">
        <v>11</v>
      </c>
      <c r="G168" s="13">
        <v>1</v>
      </c>
      <c r="H168" s="14">
        <f t="shared" si="10"/>
        <v>1</v>
      </c>
      <c r="J168" s="14">
        <v>1</v>
      </c>
      <c r="K168" s="13" t="s">
        <v>4727</v>
      </c>
      <c r="Q168" s="14"/>
    </row>
    <row r="169" spans="1:17" x14ac:dyDescent="0.25">
      <c r="A169" s="11" t="s">
        <v>4660</v>
      </c>
      <c r="B169" s="13" t="s">
        <v>1933</v>
      </c>
      <c r="D169" s="13" t="s">
        <v>1940</v>
      </c>
      <c r="F169" s="14" t="s">
        <v>11</v>
      </c>
      <c r="G169" s="13">
        <v>1</v>
      </c>
      <c r="H169" s="14">
        <f t="shared" si="10"/>
        <v>1</v>
      </c>
      <c r="J169" s="14">
        <v>1</v>
      </c>
      <c r="K169" s="13" t="s">
        <v>2292</v>
      </c>
      <c r="Q169" s="14"/>
    </row>
    <row r="170" spans="1:17" x14ac:dyDescent="0.25">
      <c r="A170" s="11" t="s">
        <v>4660</v>
      </c>
      <c r="B170" s="13" t="s">
        <v>1933</v>
      </c>
      <c r="C170" s="61" t="s">
        <v>4859</v>
      </c>
      <c r="F170" s="14" t="s">
        <v>11</v>
      </c>
      <c r="G170" s="13">
        <v>1</v>
      </c>
      <c r="H170" s="14">
        <f t="shared" si="10"/>
        <v>1</v>
      </c>
      <c r="J170" s="14">
        <v>1</v>
      </c>
      <c r="K170" s="13" t="s">
        <v>3286</v>
      </c>
      <c r="Q170" s="14"/>
    </row>
    <row r="171" spans="1:17" x14ac:dyDescent="0.25">
      <c r="A171" s="11" t="s">
        <v>4660</v>
      </c>
      <c r="B171" s="13" t="s">
        <v>328</v>
      </c>
      <c r="D171" s="13" t="s">
        <v>1940</v>
      </c>
      <c r="F171" s="14" t="s">
        <v>11</v>
      </c>
      <c r="G171" s="13">
        <v>5</v>
      </c>
      <c r="H171" s="14">
        <f t="shared" si="10"/>
        <v>5</v>
      </c>
      <c r="J171" s="14">
        <v>4</v>
      </c>
      <c r="K171" s="13" t="s">
        <v>4771</v>
      </c>
      <c r="Q171" s="14"/>
    </row>
    <row r="172" spans="1:17" x14ac:dyDescent="0.25">
      <c r="A172" s="11" t="s">
        <v>4660</v>
      </c>
      <c r="B172" s="13" t="s">
        <v>328</v>
      </c>
      <c r="E172" s="14" t="s">
        <v>683</v>
      </c>
      <c r="F172" s="14" t="s">
        <v>11</v>
      </c>
      <c r="G172" s="13">
        <v>1</v>
      </c>
      <c r="H172" s="14">
        <f t="shared" si="10"/>
        <v>1</v>
      </c>
      <c r="J172" s="14">
        <v>1</v>
      </c>
      <c r="K172" s="13" t="s">
        <v>1322</v>
      </c>
      <c r="Q172" s="14"/>
    </row>
    <row r="173" spans="1:17" x14ac:dyDescent="0.25">
      <c r="A173" s="11" t="s">
        <v>4660</v>
      </c>
      <c r="B173" s="13" t="s">
        <v>328</v>
      </c>
      <c r="C173" s="61" t="s">
        <v>4673</v>
      </c>
      <c r="F173" s="14" t="s">
        <v>11</v>
      </c>
      <c r="G173" s="13">
        <v>3</v>
      </c>
      <c r="H173" s="14">
        <f t="shared" si="10"/>
        <v>3</v>
      </c>
      <c r="J173" s="14">
        <v>3</v>
      </c>
      <c r="K173" s="13" t="s">
        <v>4683</v>
      </c>
      <c r="Q173" s="14"/>
    </row>
    <row r="174" spans="1:17" x14ac:dyDescent="0.25">
      <c r="A174" s="11" t="s">
        <v>4660</v>
      </c>
      <c r="B174" s="13" t="s">
        <v>328</v>
      </c>
      <c r="C174" s="61" t="s">
        <v>4674</v>
      </c>
      <c r="F174" s="14" t="s">
        <v>11</v>
      </c>
      <c r="G174" s="13">
        <v>1</v>
      </c>
      <c r="H174" s="14">
        <f t="shared" si="10"/>
        <v>1</v>
      </c>
      <c r="J174" s="14">
        <v>1</v>
      </c>
      <c r="K174" s="13" t="s">
        <v>2752</v>
      </c>
      <c r="Q174" s="14"/>
    </row>
    <row r="175" spans="1:17" x14ac:dyDescent="0.25">
      <c r="A175" s="11" t="s">
        <v>4660</v>
      </c>
      <c r="B175" s="13" t="s">
        <v>328</v>
      </c>
      <c r="C175" s="61" t="s">
        <v>4700</v>
      </c>
      <c r="F175" s="14" t="s">
        <v>11</v>
      </c>
      <c r="G175" s="13">
        <v>1</v>
      </c>
      <c r="H175" s="14">
        <f t="shared" si="10"/>
        <v>1</v>
      </c>
      <c r="J175" s="14">
        <v>1</v>
      </c>
      <c r="K175" s="13" t="s">
        <v>1309</v>
      </c>
      <c r="Q175" s="14"/>
    </row>
    <row r="176" spans="1:17" x14ac:dyDescent="0.25">
      <c r="A176" s="11" t="s">
        <v>4660</v>
      </c>
      <c r="B176" s="13" t="s">
        <v>2391</v>
      </c>
      <c r="D176" s="13" t="s">
        <v>1940</v>
      </c>
      <c r="F176" s="14" t="s">
        <v>11</v>
      </c>
      <c r="G176" s="13">
        <v>2</v>
      </c>
      <c r="H176" s="14">
        <f t="shared" si="10"/>
        <v>2</v>
      </c>
      <c r="J176" s="14">
        <v>2</v>
      </c>
      <c r="K176" s="13" t="s">
        <v>4679</v>
      </c>
      <c r="Q176" s="14"/>
    </row>
    <row r="177" spans="1:17" x14ac:dyDescent="0.25">
      <c r="A177" s="11" t="s">
        <v>4660</v>
      </c>
      <c r="B177" s="13" t="s">
        <v>2391</v>
      </c>
      <c r="C177" s="61" t="s">
        <v>4696</v>
      </c>
      <c r="F177" s="14" t="s">
        <v>11</v>
      </c>
      <c r="G177" s="13">
        <v>2</v>
      </c>
      <c r="H177" s="14">
        <f t="shared" si="10"/>
        <v>2</v>
      </c>
      <c r="J177" s="14">
        <v>2</v>
      </c>
      <c r="K177" s="13" t="s">
        <v>2968</v>
      </c>
      <c r="Q177" s="14"/>
    </row>
    <row r="178" spans="1:17" x14ac:dyDescent="0.25">
      <c r="A178" s="11" t="s">
        <v>4660</v>
      </c>
      <c r="B178" s="13" t="s">
        <v>2391</v>
      </c>
      <c r="C178" s="61" t="s">
        <v>4671</v>
      </c>
      <c r="F178" s="14" t="s">
        <v>11</v>
      </c>
      <c r="G178" s="13">
        <v>1</v>
      </c>
      <c r="H178" s="14">
        <f t="shared" si="10"/>
        <v>1</v>
      </c>
      <c r="J178" s="14">
        <v>1</v>
      </c>
      <c r="K178" s="13" t="s">
        <v>4672</v>
      </c>
      <c r="Q178" s="14"/>
    </row>
    <row r="179" spans="1:17" x14ac:dyDescent="0.25">
      <c r="A179" s="11" t="s">
        <v>4660</v>
      </c>
      <c r="B179" s="13" t="s">
        <v>2391</v>
      </c>
      <c r="C179" s="61" t="s">
        <v>4692</v>
      </c>
      <c r="F179" s="14" t="s">
        <v>11</v>
      </c>
      <c r="G179" s="13">
        <v>1</v>
      </c>
      <c r="H179" s="14">
        <f t="shared" si="10"/>
        <v>1</v>
      </c>
      <c r="J179" s="14">
        <v>1</v>
      </c>
      <c r="K179" s="13" t="s">
        <v>1286</v>
      </c>
      <c r="Q179" s="14"/>
    </row>
    <row r="180" spans="1:17" x14ac:dyDescent="0.25">
      <c r="A180" s="11" t="s">
        <v>4660</v>
      </c>
      <c r="B180" s="13" t="s">
        <v>2391</v>
      </c>
      <c r="C180" s="61" t="s">
        <v>4693</v>
      </c>
      <c r="F180" s="14" t="s">
        <v>11</v>
      </c>
      <c r="G180" s="13">
        <v>1</v>
      </c>
      <c r="H180" s="14">
        <f t="shared" si="10"/>
        <v>1</v>
      </c>
      <c r="J180" s="14">
        <v>1</v>
      </c>
      <c r="K180" s="13" t="s">
        <v>1309</v>
      </c>
      <c r="Q180" s="14"/>
    </row>
    <row r="181" spans="1:17" x14ac:dyDescent="0.25">
      <c r="A181" s="11" t="s">
        <v>4660</v>
      </c>
      <c r="B181" s="13" t="s">
        <v>2391</v>
      </c>
      <c r="C181" s="61" t="s">
        <v>4695</v>
      </c>
      <c r="F181" s="14" t="s">
        <v>11</v>
      </c>
      <c r="G181" s="13">
        <v>2</v>
      </c>
      <c r="H181" s="14">
        <f t="shared" si="10"/>
        <v>2</v>
      </c>
      <c r="J181" s="14">
        <v>2</v>
      </c>
      <c r="K181" s="13" t="s">
        <v>2968</v>
      </c>
      <c r="Q181" s="14"/>
    </row>
    <row r="182" spans="1:17" x14ac:dyDescent="0.25">
      <c r="A182" s="11" t="s">
        <v>4660</v>
      </c>
      <c r="B182" s="13" t="s">
        <v>2391</v>
      </c>
      <c r="C182" s="61" t="s">
        <v>4777</v>
      </c>
      <c r="F182" s="14" t="s">
        <v>11</v>
      </c>
      <c r="G182" s="13">
        <v>1</v>
      </c>
      <c r="H182" s="14">
        <f t="shared" si="10"/>
        <v>1</v>
      </c>
      <c r="J182" s="14">
        <v>1</v>
      </c>
      <c r="K182" s="13" t="s">
        <v>4385</v>
      </c>
      <c r="Q182" s="14"/>
    </row>
    <row r="183" spans="1:17" x14ac:dyDescent="0.25">
      <c r="A183" s="11" t="s">
        <v>4660</v>
      </c>
      <c r="B183" s="13" t="s">
        <v>2391</v>
      </c>
      <c r="C183" s="61" t="s">
        <v>4694</v>
      </c>
      <c r="F183" s="14" t="s">
        <v>11</v>
      </c>
      <c r="G183" s="13">
        <v>1</v>
      </c>
      <c r="H183" s="14">
        <f t="shared" si="10"/>
        <v>1</v>
      </c>
      <c r="J183" s="14">
        <v>1</v>
      </c>
      <c r="K183" s="13" t="s">
        <v>1309</v>
      </c>
      <c r="Q183" s="14"/>
    </row>
    <row r="184" spans="1:17" x14ac:dyDescent="0.25">
      <c r="A184" s="11" t="s">
        <v>4660</v>
      </c>
      <c r="B184" s="13" t="s">
        <v>78</v>
      </c>
      <c r="D184" s="13" t="s">
        <v>1940</v>
      </c>
      <c r="F184" s="14" t="s">
        <v>11</v>
      </c>
      <c r="G184" s="13">
        <v>5</v>
      </c>
      <c r="H184" s="14">
        <f t="shared" si="10"/>
        <v>5</v>
      </c>
      <c r="J184" s="14">
        <v>4</v>
      </c>
      <c r="K184" s="13" t="s">
        <v>4865</v>
      </c>
      <c r="Q184" s="14"/>
    </row>
    <row r="185" spans="1:17" x14ac:dyDescent="0.25">
      <c r="A185" s="11" t="s">
        <v>4660</v>
      </c>
      <c r="B185" s="13" t="s">
        <v>78</v>
      </c>
      <c r="E185" s="14" t="s">
        <v>683</v>
      </c>
      <c r="F185" s="14" t="s">
        <v>11</v>
      </c>
      <c r="G185" s="13">
        <v>2</v>
      </c>
      <c r="H185" s="14">
        <f t="shared" si="10"/>
        <v>2</v>
      </c>
      <c r="J185" s="14">
        <v>2</v>
      </c>
      <c r="K185" s="13" t="s">
        <v>4677</v>
      </c>
      <c r="Q185" s="14"/>
    </row>
    <row r="186" spans="1:17" x14ac:dyDescent="0.25">
      <c r="A186" s="11" t="s">
        <v>4660</v>
      </c>
      <c r="B186" s="13" t="s">
        <v>78</v>
      </c>
      <c r="C186" s="61" t="s">
        <v>2029</v>
      </c>
      <c r="E186" s="14" t="s">
        <v>683</v>
      </c>
      <c r="F186" s="14" t="s">
        <v>11</v>
      </c>
      <c r="G186" s="13">
        <v>1</v>
      </c>
      <c r="H186" s="14">
        <f t="shared" si="10"/>
        <v>1</v>
      </c>
      <c r="J186" s="14">
        <v>1</v>
      </c>
      <c r="K186" s="13" t="s">
        <v>4476</v>
      </c>
      <c r="Q186" s="14"/>
    </row>
    <row r="187" spans="1:17" x14ac:dyDescent="0.25">
      <c r="A187" s="11" t="s">
        <v>4660</v>
      </c>
      <c r="B187" s="13" t="s">
        <v>206</v>
      </c>
      <c r="C187" s="61" t="s">
        <v>208</v>
      </c>
      <c r="F187" s="14" t="s">
        <v>11</v>
      </c>
      <c r="G187" s="13">
        <v>1</v>
      </c>
      <c r="H187" s="14">
        <f t="shared" ref="H187:H218" si="11">G187+I187</f>
        <v>1</v>
      </c>
      <c r="J187" s="14">
        <v>1</v>
      </c>
      <c r="K187" s="13" t="s">
        <v>2317</v>
      </c>
      <c r="Q187" s="14"/>
    </row>
    <row r="188" spans="1:17" x14ac:dyDescent="0.25">
      <c r="A188" s="11" t="s">
        <v>4660</v>
      </c>
      <c r="B188" s="13" t="s">
        <v>2617</v>
      </c>
      <c r="C188" s="61" t="s">
        <v>4860</v>
      </c>
      <c r="F188" s="14" t="s">
        <v>11</v>
      </c>
      <c r="G188" s="13">
        <v>1</v>
      </c>
      <c r="H188" s="14">
        <f t="shared" si="11"/>
        <v>1</v>
      </c>
      <c r="J188" s="14">
        <v>1</v>
      </c>
      <c r="K188" s="13" t="s">
        <v>3286</v>
      </c>
      <c r="Q188" s="14"/>
    </row>
    <row r="189" spans="1:17" x14ac:dyDescent="0.25">
      <c r="A189" s="11" t="s">
        <v>4660</v>
      </c>
      <c r="B189" s="13" t="s">
        <v>62</v>
      </c>
      <c r="D189" s="13" t="s">
        <v>1940</v>
      </c>
      <c r="F189" s="14" t="s">
        <v>11</v>
      </c>
      <c r="G189" s="13">
        <v>2</v>
      </c>
      <c r="H189" s="14">
        <f t="shared" si="11"/>
        <v>2</v>
      </c>
      <c r="J189" s="14">
        <v>2</v>
      </c>
      <c r="K189" s="13" t="s">
        <v>4776</v>
      </c>
      <c r="Q189" s="14"/>
    </row>
    <row r="190" spans="1:17" x14ac:dyDescent="0.25">
      <c r="A190" s="11" t="s">
        <v>4660</v>
      </c>
      <c r="B190" s="13" t="s">
        <v>62</v>
      </c>
      <c r="C190" s="61" t="s">
        <v>3155</v>
      </c>
      <c r="D190" s="13" t="s">
        <v>3762</v>
      </c>
      <c r="F190" s="14" t="s">
        <v>11</v>
      </c>
      <c r="G190" s="13">
        <v>1</v>
      </c>
      <c r="H190" s="14">
        <f t="shared" si="11"/>
        <v>1</v>
      </c>
      <c r="J190" s="14">
        <v>1</v>
      </c>
      <c r="K190" s="13" t="s">
        <v>2833</v>
      </c>
      <c r="Q190" s="14"/>
    </row>
    <row r="191" spans="1:17" x14ac:dyDescent="0.25">
      <c r="A191" s="11" t="s">
        <v>4660</v>
      </c>
      <c r="B191" s="13" t="s">
        <v>22</v>
      </c>
      <c r="D191" s="13" t="s">
        <v>1940</v>
      </c>
      <c r="E191" s="14" t="s">
        <v>22</v>
      </c>
      <c r="F191" s="14" t="s">
        <v>11</v>
      </c>
      <c r="G191" s="13">
        <v>6</v>
      </c>
      <c r="H191" s="14">
        <f t="shared" si="11"/>
        <v>6</v>
      </c>
      <c r="J191" s="14">
        <v>5</v>
      </c>
      <c r="K191" s="13" t="s">
        <v>4861</v>
      </c>
      <c r="Q191" s="14"/>
    </row>
    <row r="192" spans="1:17" x14ac:dyDescent="0.25">
      <c r="A192" s="11" t="s">
        <v>4660</v>
      </c>
      <c r="B192" s="13" t="s">
        <v>22</v>
      </c>
      <c r="C192" s="61" t="s">
        <v>3997</v>
      </c>
      <c r="E192" s="14" t="s">
        <v>22</v>
      </c>
      <c r="F192" s="14" t="s">
        <v>11</v>
      </c>
      <c r="G192" s="13">
        <v>1</v>
      </c>
      <c r="H192" s="14">
        <f t="shared" si="11"/>
        <v>1</v>
      </c>
      <c r="J192" s="14">
        <v>1</v>
      </c>
      <c r="K192" s="13" t="s">
        <v>1656</v>
      </c>
      <c r="Q192" s="14"/>
    </row>
    <row r="193" spans="1:17" x14ac:dyDescent="0.25">
      <c r="A193" s="11" t="s">
        <v>4660</v>
      </c>
      <c r="B193" s="13" t="s">
        <v>22</v>
      </c>
      <c r="C193" s="61" t="s">
        <v>4793</v>
      </c>
      <c r="E193" s="14" t="s">
        <v>149</v>
      </c>
      <c r="F193" s="14" t="s">
        <v>11</v>
      </c>
      <c r="G193" s="13">
        <v>1</v>
      </c>
      <c r="H193" s="14">
        <f t="shared" si="11"/>
        <v>1</v>
      </c>
      <c r="J193" s="14">
        <v>1</v>
      </c>
      <c r="K193" s="13" t="s">
        <v>3236</v>
      </c>
      <c r="Q193" s="14"/>
    </row>
    <row r="194" spans="1:17" x14ac:dyDescent="0.25">
      <c r="A194" s="11" t="s">
        <v>4660</v>
      </c>
      <c r="B194" s="13" t="s">
        <v>22</v>
      </c>
      <c r="C194" s="62" t="s">
        <v>4680</v>
      </c>
      <c r="E194" s="13" t="s">
        <v>3997</v>
      </c>
      <c r="F194" s="14" t="s">
        <v>11</v>
      </c>
      <c r="G194" s="13">
        <v>9</v>
      </c>
      <c r="H194" s="14">
        <f t="shared" si="11"/>
        <v>9</v>
      </c>
      <c r="J194" s="14">
        <v>6</v>
      </c>
      <c r="K194" s="13" t="s">
        <v>4794</v>
      </c>
      <c r="Q194" s="14"/>
    </row>
    <row r="195" spans="1:17" x14ac:dyDescent="0.25">
      <c r="A195" s="11" t="s">
        <v>4660</v>
      </c>
      <c r="B195" s="13" t="s">
        <v>22</v>
      </c>
      <c r="C195" s="61" t="s">
        <v>3905</v>
      </c>
      <c r="E195" s="14" t="s">
        <v>149</v>
      </c>
      <c r="F195" s="14" t="s">
        <v>11</v>
      </c>
      <c r="G195" s="13">
        <v>1</v>
      </c>
      <c r="H195" s="14">
        <f t="shared" si="11"/>
        <v>1</v>
      </c>
      <c r="J195" s="14">
        <v>1</v>
      </c>
      <c r="K195" s="13" t="s">
        <v>2193</v>
      </c>
      <c r="Q195" s="14"/>
    </row>
    <row r="196" spans="1:17" x14ac:dyDescent="0.25">
      <c r="A196" s="11" t="s">
        <v>4660</v>
      </c>
      <c r="B196" s="13" t="s">
        <v>22</v>
      </c>
      <c r="C196" s="61" t="s">
        <v>4702</v>
      </c>
      <c r="E196" s="14" t="s">
        <v>149</v>
      </c>
      <c r="F196" s="14" t="s">
        <v>11</v>
      </c>
      <c r="G196" s="13">
        <v>1</v>
      </c>
      <c r="H196" s="14">
        <f t="shared" si="11"/>
        <v>1</v>
      </c>
      <c r="J196" s="14">
        <v>1</v>
      </c>
      <c r="K196" s="13" t="s">
        <v>1218</v>
      </c>
      <c r="Q196" s="14"/>
    </row>
    <row r="197" spans="1:17" x14ac:dyDescent="0.25">
      <c r="A197" s="11" t="s">
        <v>4660</v>
      </c>
      <c r="B197" s="13" t="s">
        <v>22</v>
      </c>
      <c r="C197" s="61" t="s">
        <v>3300</v>
      </c>
      <c r="E197" s="14" t="s">
        <v>149</v>
      </c>
      <c r="F197" s="14" t="s">
        <v>11</v>
      </c>
      <c r="G197" s="13">
        <v>1</v>
      </c>
      <c r="H197" s="14">
        <f t="shared" si="11"/>
        <v>1</v>
      </c>
      <c r="J197" s="14">
        <v>1</v>
      </c>
      <c r="K197" s="13" t="s">
        <v>902</v>
      </c>
      <c r="Q197" s="14"/>
    </row>
    <row r="198" spans="1:17" x14ac:dyDescent="0.25">
      <c r="A198" s="11" t="s">
        <v>4660</v>
      </c>
      <c r="B198" s="13" t="s">
        <v>22</v>
      </c>
      <c r="C198" s="61" t="s">
        <v>149</v>
      </c>
      <c r="E198" s="14" t="s">
        <v>22</v>
      </c>
      <c r="F198" s="14" t="s">
        <v>11</v>
      </c>
      <c r="G198" s="13">
        <v>1</v>
      </c>
      <c r="H198" s="14">
        <f t="shared" si="11"/>
        <v>1</v>
      </c>
      <c r="J198" s="14">
        <v>1</v>
      </c>
      <c r="K198" s="13" t="s">
        <v>3236</v>
      </c>
      <c r="Q198" s="14"/>
    </row>
    <row r="199" spans="1:17" x14ac:dyDescent="0.25">
      <c r="A199" s="11" t="s">
        <v>4660</v>
      </c>
      <c r="B199" s="13" t="s">
        <v>22</v>
      </c>
      <c r="C199" s="61" t="s">
        <v>3899</v>
      </c>
      <c r="E199" s="14" t="s">
        <v>149</v>
      </c>
      <c r="F199" s="14" t="s">
        <v>11</v>
      </c>
      <c r="G199" s="13">
        <v>1</v>
      </c>
      <c r="H199" s="14">
        <f t="shared" si="11"/>
        <v>1</v>
      </c>
      <c r="J199" s="14">
        <v>1</v>
      </c>
      <c r="K199" s="13" t="s">
        <v>2193</v>
      </c>
      <c r="Q199" s="14"/>
    </row>
    <row r="200" spans="1:17" x14ac:dyDescent="0.25">
      <c r="A200" s="11" t="s">
        <v>4660</v>
      </c>
      <c r="B200" s="13" t="s">
        <v>22</v>
      </c>
      <c r="C200" s="61" t="s">
        <v>3903</v>
      </c>
      <c r="E200" s="14" t="s">
        <v>149</v>
      </c>
      <c r="F200" s="14" t="s">
        <v>11</v>
      </c>
      <c r="G200" s="13">
        <v>1</v>
      </c>
      <c r="H200" s="14">
        <f t="shared" si="11"/>
        <v>1</v>
      </c>
      <c r="J200" s="14">
        <v>1</v>
      </c>
      <c r="K200" s="13" t="s">
        <v>2193</v>
      </c>
      <c r="Q200" s="14"/>
    </row>
    <row r="201" spans="1:17" x14ac:dyDescent="0.25">
      <c r="A201" s="11" t="s">
        <v>4660</v>
      </c>
      <c r="B201" s="13" t="s">
        <v>22</v>
      </c>
      <c r="C201" s="61" t="s">
        <v>4703</v>
      </c>
      <c r="E201" s="14" t="s">
        <v>22</v>
      </c>
      <c r="F201" s="14" t="s">
        <v>11</v>
      </c>
      <c r="G201" s="13">
        <v>1</v>
      </c>
      <c r="H201" s="14">
        <f t="shared" si="11"/>
        <v>1</v>
      </c>
      <c r="J201" s="14">
        <v>1</v>
      </c>
      <c r="K201" s="13" t="s">
        <v>2193</v>
      </c>
      <c r="Q201" s="14"/>
    </row>
    <row r="202" spans="1:17" x14ac:dyDescent="0.25">
      <c r="A202" s="11" t="s">
        <v>4660</v>
      </c>
      <c r="B202" s="13" t="s">
        <v>93</v>
      </c>
      <c r="C202" s="61" t="s">
        <v>112</v>
      </c>
      <c r="E202" s="14" t="s">
        <v>112</v>
      </c>
      <c r="F202" s="14" t="s">
        <v>11</v>
      </c>
      <c r="G202" s="13">
        <v>2</v>
      </c>
      <c r="H202" s="14">
        <f t="shared" si="11"/>
        <v>2</v>
      </c>
      <c r="J202" s="14">
        <v>2</v>
      </c>
      <c r="K202" s="13" t="s">
        <v>4730</v>
      </c>
      <c r="Q202" s="14"/>
    </row>
    <row r="203" spans="1:17" x14ac:dyDescent="0.25">
      <c r="A203" s="11" t="s">
        <v>4660</v>
      </c>
      <c r="B203" s="13" t="s">
        <v>93</v>
      </c>
      <c r="C203" s="61" t="s">
        <v>4681</v>
      </c>
      <c r="E203" s="14" t="s">
        <v>112</v>
      </c>
      <c r="F203" s="14" t="s">
        <v>11</v>
      </c>
      <c r="G203" s="13">
        <v>1</v>
      </c>
      <c r="H203" s="14">
        <f t="shared" si="11"/>
        <v>1</v>
      </c>
      <c r="J203" s="14">
        <v>1</v>
      </c>
      <c r="K203" s="13" t="s">
        <v>1195</v>
      </c>
      <c r="Q203" s="14"/>
    </row>
    <row r="204" spans="1:17" x14ac:dyDescent="0.25">
      <c r="A204" s="11" t="s">
        <v>4660</v>
      </c>
      <c r="B204" s="13" t="s">
        <v>93</v>
      </c>
      <c r="C204" s="61" t="s">
        <v>4712</v>
      </c>
      <c r="E204" s="14" t="s">
        <v>112</v>
      </c>
      <c r="F204" s="14" t="s">
        <v>11</v>
      </c>
      <c r="G204" s="13">
        <v>1</v>
      </c>
      <c r="H204" s="14">
        <f t="shared" si="11"/>
        <v>1</v>
      </c>
      <c r="J204" s="14">
        <v>1</v>
      </c>
      <c r="K204" s="13" t="s">
        <v>3022</v>
      </c>
      <c r="Q204" s="14"/>
    </row>
    <row r="205" spans="1:17" x14ac:dyDescent="0.25">
      <c r="A205" s="11" t="s">
        <v>4660</v>
      </c>
      <c r="B205" s="13" t="s">
        <v>93</v>
      </c>
      <c r="C205" s="61" t="s">
        <v>1784</v>
      </c>
      <c r="E205" s="14" t="s">
        <v>112</v>
      </c>
      <c r="F205" s="14" t="s">
        <v>11</v>
      </c>
      <c r="G205" s="13">
        <v>1</v>
      </c>
      <c r="H205" s="14">
        <f t="shared" si="11"/>
        <v>1</v>
      </c>
      <c r="J205" s="14">
        <v>1</v>
      </c>
      <c r="K205" s="13" t="s">
        <v>3022</v>
      </c>
      <c r="Q205" s="14"/>
    </row>
    <row r="206" spans="1:17" x14ac:dyDescent="0.25">
      <c r="A206" s="11" t="s">
        <v>4660</v>
      </c>
      <c r="B206" s="13" t="s">
        <v>93</v>
      </c>
      <c r="D206" s="13" t="s">
        <v>1940</v>
      </c>
      <c r="F206" s="14" t="s">
        <v>11</v>
      </c>
      <c r="G206" s="13">
        <v>1</v>
      </c>
      <c r="H206" s="14">
        <f t="shared" si="11"/>
        <v>1</v>
      </c>
      <c r="J206" s="14">
        <v>1</v>
      </c>
      <c r="K206" s="13" t="s">
        <v>1222</v>
      </c>
      <c r="Q206" s="14"/>
    </row>
    <row r="207" spans="1:17" x14ac:dyDescent="0.25">
      <c r="A207" s="11" t="s">
        <v>4660</v>
      </c>
      <c r="B207" s="13" t="s">
        <v>93</v>
      </c>
      <c r="D207" s="13" t="s">
        <v>4372</v>
      </c>
      <c r="F207" s="14" t="s">
        <v>11</v>
      </c>
      <c r="G207" s="13">
        <v>2</v>
      </c>
      <c r="H207" s="14">
        <f t="shared" si="11"/>
        <v>2</v>
      </c>
      <c r="J207" s="14">
        <v>2</v>
      </c>
      <c r="K207" s="13" t="s">
        <v>3033</v>
      </c>
      <c r="Q207" s="14"/>
    </row>
    <row r="208" spans="1:17" x14ac:dyDescent="0.25">
      <c r="A208" s="11" t="s">
        <v>4660</v>
      </c>
      <c r="B208" s="13" t="s">
        <v>24</v>
      </c>
      <c r="C208" s="61" t="s">
        <v>24</v>
      </c>
      <c r="D208" s="13" t="s">
        <v>1940</v>
      </c>
      <c r="F208" s="14" t="s">
        <v>11</v>
      </c>
      <c r="G208" s="13">
        <v>11</v>
      </c>
      <c r="H208" s="14">
        <f t="shared" si="11"/>
        <v>12</v>
      </c>
      <c r="I208" s="14">
        <v>1</v>
      </c>
      <c r="J208" s="14">
        <v>12</v>
      </c>
      <c r="K208" s="13" t="s">
        <v>4863</v>
      </c>
      <c r="Q208" s="14"/>
    </row>
    <row r="209" spans="1:17" x14ac:dyDescent="0.25">
      <c r="A209" s="11" t="s">
        <v>4660</v>
      </c>
      <c r="B209" s="13" t="s">
        <v>24</v>
      </c>
      <c r="C209" s="61" t="s">
        <v>3763</v>
      </c>
      <c r="D209" s="13" t="s">
        <v>1276</v>
      </c>
      <c r="F209" s="14" t="s">
        <v>11</v>
      </c>
      <c r="G209" s="13">
        <v>1</v>
      </c>
      <c r="H209" s="14">
        <f t="shared" si="11"/>
        <v>1</v>
      </c>
      <c r="J209" s="14">
        <v>1</v>
      </c>
      <c r="K209" s="13" t="s">
        <v>3281</v>
      </c>
      <c r="Q209" s="14"/>
    </row>
    <row r="210" spans="1:17" x14ac:dyDescent="0.25">
      <c r="A210" s="11" t="s">
        <v>4660</v>
      </c>
      <c r="B210" s="13" t="s">
        <v>24</v>
      </c>
      <c r="C210" s="61" t="s">
        <v>848</v>
      </c>
      <c r="E210" s="14" t="s">
        <v>21</v>
      </c>
      <c r="F210" s="14" t="s">
        <v>11</v>
      </c>
      <c r="G210" s="13">
        <v>1</v>
      </c>
      <c r="H210" s="14">
        <f t="shared" si="11"/>
        <v>1</v>
      </c>
      <c r="J210" s="14">
        <v>1</v>
      </c>
      <c r="K210" s="13" t="s">
        <v>1635</v>
      </c>
      <c r="Q210" s="14"/>
    </row>
    <row r="211" spans="1:17" x14ac:dyDescent="0.25">
      <c r="A211" s="11" t="s">
        <v>4660</v>
      </c>
      <c r="B211" s="13" t="s">
        <v>24</v>
      </c>
      <c r="C211" s="61" t="s">
        <v>24</v>
      </c>
      <c r="D211" s="13" t="s">
        <v>4372</v>
      </c>
      <c r="F211" s="14" t="s">
        <v>11</v>
      </c>
      <c r="G211" s="13">
        <v>1</v>
      </c>
      <c r="H211" s="14">
        <f t="shared" si="11"/>
        <v>1</v>
      </c>
      <c r="J211" s="14">
        <v>1</v>
      </c>
      <c r="K211" s="13" t="s">
        <v>1329</v>
      </c>
      <c r="Q211" s="14"/>
    </row>
    <row r="212" spans="1:17" x14ac:dyDescent="0.25">
      <c r="A212" s="11" t="s">
        <v>4660</v>
      </c>
      <c r="C212" s="61" t="s">
        <v>1182</v>
      </c>
      <c r="E212" s="14" t="s">
        <v>21</v>
      </c>
      <c r="F212" s="14" t="s">
        <v>11</v>
      </c>
      <c r="G212" s="13">
        <v>3</v>
      </c>
      <c r="H212" s="14">
        <f t="shared" si="11"/>
        <v>3</v>
      </c>
      <c r="J212" s="14">
        <v>2</v>
      </c>
      <c r="K212" s="13" t="s">
        <v>4806</v>
      </c>
      <c r="Q212" s="14"/>
    </row>
    <row r="213" spans="1:17" x14ac:dyDescent="0.25">
      <c r="A213" s="11" t="s">
        <v>4660</v>
      </c>
      <c r="B213" s="13" t="s">
        <v>3208</v>
      </c>
      <c r="C213" s="61" t="s">
        <v>3259</v>
      </c>
      <c r="E213" s="62" t="s">
        <v>48</v>
      </c>
      <c r="F213" s="14" t="s">
        <v>11</v>
      </c>
      <c r="G213" s="13">
        <v>1</v>
      </c>
      <c r="H213" s="14">
        <f t="shared" si="11"/>
        <v>1</v>
      </c>
      <c r="J213" s="14">
        <v>1</v>
      </c>
      <c r="K213" s="13" t="s">
        <v>1513</v>
      </c>
      <c r="Q213" s="14"/>
    </row>
    <row r="214" spans="1:17" x14ac:dyDescent="0.25">
      <c r="A214" s="11" t="s">
        <v>4660</v>
      </c>
      <c r="B214" s="13" t="s">
        <v>416</v>
      </c>
      <c r="C214" s="61" t="s">
        <v>416</v>
      </c>
      <c r="D214" s="13" t="s">
        <v>1940</v>
      </c>
      <c r="F214" s="14" t="s">
        <v>11</v>
      </c>
      <c r="G214" s="13">
        <v>1</v>
      </c>
      <c r="H214" s="14">
        <f t="shared" si="11"/>
        <v>1</v>
      </c>
      <c r="J214" s="14">
        <v>1</v>
      </c>
      <c r="K214" s="13" t="s">
        <v>4727</v>
      </c>
      <c r="Q214" s="14"/>
    </row>
    <row r="215" spans="1:17" x14ac:dyDescent="0.25">
      <c r="A215" s="11" t="s">
        <v>4660</v>
      </c>
      <c r="B215" s="13" t="s">
        <v>269</v>
      </c>
      <c r="C215" s="61" t="s">
        <v>2454</v>
      </c>
      <c r="D215" s="62"/>
      <c r="E215" s="62" t="s">
        <v>630</v>
      </c>
      <c r="F215" s="14" t="s">
        <v>11</v>
      </c>
      <c r="G215" s="13">
        <v>1</v>
      </c>
      <c r="H215" s="14">
        <f t="shared" si="11"/>
        <v>1</v>
      </c>
      <c r="J215" s="14">
        <v>1</v>
      </c>
      <c r="K215" s="13" t="s">
        <v>4341</v>
      </c>
      <c r="Q215" s="14"/>
    </row>
    <row r="216" spans="1:17" x14ac:dyDescent="0.25">
      <c r="A216" s="11" t="s">
        <v>4660</v>
      </c>
      <c r="B216" s="13" t="s">
        <v>2384</v>
      </c>
      <c r="C216" s="61" t="s">
        <v>2386</v>
      </c>
      <c r="D216" s="13" t="s">
        <v>3762</v>
      </c>
      <c r="F216" s="14" t="s">
        <v>11</v>
      </c>
      <c r="G216" s="13">
        <v>2</v>
      </c>
      <c r="H216" s="14">
        <f t="shared" si="11"/>
        <v>2</v>
      </c>
      <c r="J216" s="14">
        <v>2</v>
      </c>
      <c r="K216" s="13" t="s">
        <v>4792</v>
      </c>
      <c r="Q216" s="14"/>
    </row>
    <row r="217" spans="1:17" x14ac:dyDescent="0.25">
      <c r="A217" s="11" t="s">
        <v>4660</v>
      </c>
      <c r="B217" s="13" t="s">
        <v>24</v>
      </c>
      <c r="C217" s="61" t="s">
        <v>1181</v>
      </c>
      <c r="F217" s="14" t="s">
        <v>11</v>
      </c>
      <c r="G217" s="13">
        <v>9</v>
      </c>
      <c r="H217" s="14">
        <f t="shared" si="11"/>
        <v>9</v>
      </c>
      <c r="J217" s="14">
        <v>6</v>
      </c>
      <c r="K217" s="13" t="s">
        <v>4862</v>
      </c>
      <c r="Q217" s="14"/>
    </row>
    <row r="218" spans="1:17" x14ac:dyDescent="0.25">
      <c r="A218" s="11" t="s">
        <v>4660</v>
      </c>
      <c r="C218" s="61" t="s">
        <v>1181</v>
      </c>
      <c r="D218" s="13" t="s">
        <v>1940</v>
      </c>
      <c r="F218" s="14" t="s">
        <v>11</v>
      </c>
      <c r="G218" s="13">
        <v>2</v>
      </c>
      <c r="H218" s="14">
        <f t="shared" si="11"/>
        <v>2</v>
      </c>
      <c r="J218" s="14">
        <v>2</v>
      </c>
      <c r="K218" s="13" t="s">
        <v>4864</v>
      </c>
      <c r="Q218" s="14"/>
    </row>
    <row r="219" spans="1:17" x14ac:dyDescent="0.25">
      <c r="A219" s="11" t="s">
        <v>4660</v>
      </c>
      <c r="B219" s="13" t="s">
        <v>327</v>
      </c>
      <c r="C219" s="61" t="s">
        <v>2040</v>
      </c>
      <c r="F219" s="14" t="s">
        <v>11</v>
      </c>
      <c r="G219" s="13">
        <v>1</v>
      </c>
      <c r="H219" s="14">
        <f t="shared" ref="H219:H239" si="12">G219+I219</f>
        <v>1</v>
      </c>
      <c r="J219" s="14">
        <v>1</v>
      </c>
      <c r="K219" s="13" t="s">
        <v>1309</v>
      </c>
      <c r="Q219" s="14"/>
    </row>
    <row r="220" spans="1:17" x14ac:dyDescent="0.25">
      <c r="A220" s="11" t="s">
        <v>4660</v>
      </c>
      <c r="B220" s="13" t="s">
        <v>24</v>
      </c>
      <c r="C220" s="61" t="s">
        <v>2040</v>
      </c>
      <c r="F220" s="14" t="s">
        <v>11</v>
      </c>
      <c r="G220" s="13">
        <v>1</v>
      </c>
      <c r="H220" s="14">
        <f t="shared" si="12"/>
        <v>1</v>
      </c>
      <c r="J220" s="14">
        <v>1</v>
      </c>
      <c r="K220" s="13" t="s">
        <v>1635</v>
      </c>
      <c r="Q220" s="14"/>
    </row>
    <row r="221" spans="1:17" x14ac:dyDescent="0.25">
      <c r="A221" s="11" t="s">
        <v>4660</v>
      </c>
      <c r="B221" s="13" t="s">
        <v>327</v>
      </c>
      <c r="C221" s="61" t="s">
        <v>4719</v>
      </c>
      <c r="D221" s="13" t="s">
        <v>4722</v>
      </c>
      <c r="E221" s="14" t="s">
        <v>4720</v>
      </c>
      <c r="F221" s="14" t="s">
        <v>11</v>
      </c>
      <c r="G221" s="13">
        <v>3</v>
      </c>
      <c r="H221" s="14">
        <f t="shared" si="12"/>
        <v>3</v>
      </c>
      <c r="J221" s="14">
        <v>3</v>
      </c>
      <c r="K221" s="13" t="s">
        <v>4721</v>
      </c>
      <c r="Q221" s="14"/>
    </row>
    <row r="222" spans="1:17" x14ac:dyDescent="0.25">
      <c r="A222" s="11" t="s">
        <v>4660</v>
      </c>
      <c r="C222" s="61" t="s">
        <v>1624</v>
      </c>
      <c r="F222" s="14" t="s">
        <v>11</v>
      </c>
      <c r="G222" s="13">
        <v>2</v>
      </c>
      <c r="H222" s="14">
        <f t="shared" si="12"/>
        <v>2</v>
      </c>
      <c r="J222" s="14">
        <v>2</v>
      </c>
      <c r="K222" s="13" t="s">
        <v>4675</v>
      </c>
      <c r="Q222" s="14"/>
    </row>
    <row r="223" spans="1:17" x14ac:dyDescent="0.25">
      <c r="A223" s="11" t="s">
        <v>4660</v>
      </c>
      <c r="C223" s="61" t="s">
        <v>677</v>
      </c>
      <c r="D223" s="13" t="s">
        <v>1940</v>
      </c>
      <c r="F223" s="14" t="s">
        <v>11</v>
      </c>
      <c r="G223" s="13">
        <v>1</v>
      </c>
      <c r="H223" s="14">
        <f t="shared" si="12"/>
        <v>1</v>
      </c>
      <c r="J223" s="14">
        <v>1</v>
      </c>
      <c r="K223" s="13" t="s">
        <v>1396</v>
      </c>
    </row>
    <row r="224" spans="1:17" x14ac:dyDescent="0.25">
      <c r="A224" s="11" t="s">
        <v>4660</v>
      </c>
      <c r="C224" s="61" t="s">
        <v>281</v>
      </c>
      <c r="D224" s="13" t="s">
        <v>1940</v>
      </c>
      <c r="E224" s="14" t="s">
        <v>327</v>
      </c>
      <c r="F224" s="14" t="s">
        <v>11</v>
      </c>
      <c r="G224" s="13">
        <v>3</v>
      </c>
      <c r="H224" s="14">
        <f t="shared" si="12"/>
        <v>3</v>
      </c>
      <c r="J224" s="14">
        <v>3</v>
      </c>
      <c r="K224" s="13" t="s">
        <v>4686</v>
      </c>
    </row>
    <row r="225" spans="1:17" x14ac:dyDescent="0.25">
      <c r="A225" s="11" t="s">
        <v>4660</v>
      </c>
      <c r="C225" s="61" t="s">
        <v>1422</v>
      </c>
      <c r="E225" s="14" t="s">
        <v>1422</v>
      </c>
      <c r="F225" s="14" t="s">
        <v>11</v>
      </c>
      <c r="G225" s="13">
        <v>2</v>
      </c>
      <c r="H225" s="14">
        <f t="shared" si="12"/>
        <v>2</v>
      </c>
      <c r="J225" s="14">
        <v>2</v>
      </c>
      <c r="K225" s="13" t="s">
        <v>4731</v>
      </c>
    </row>
    <row r="226" spans="1:17" x14ac:dyDescent="0.25">
      <c r="A226" s="11" t="s">
        <v>4660</v>
      </c>
      <c r="C226" s="61" t="s">
        <v>48</v>
      </c>
      <c r="D226" s="62"/>
      <c r="E226" s="62" t="s">
        <v>48</v>
      </c>
      <c r="F226" s="14" t="s">
        <v>11</v>
      </c>
      <c r="G226" s="13">
        <v>5</v>
      </c>
      <c r="H226" s="14">
        <f t="shared" si="12"/>
        <v>5</v>
      </c>
      <c r="J226" s="14">
        <v>4</v>
      </c>
      <c r="K226" s="13" t="s">
        <v>4868</v>
      </c>
    </row>
    <row r="227" spans="1:17" x14ac:dyDescent="0.25">
      <c r="A227" s="11" t="s">
        <v>4660</v>
      </c>
      <c r="B227" s="13" t="s">
        <v>62</v>
      </c>
      <c r="C227" s="61" t="s">
        <v>48</v>
      </c>
      <c r="D227" s="62"/>
      <c r="E227" s="62" t="s">
        <v>48</v>
      </c>
      <c r="F227" s="14" t="s">
        <v>11</v>
      </c>
      <c r="G227" s="13">
        <v>1</v>
      </c>
      <c r="H227" s="14">
        <f t="shared" si="12"/>
        <v>1</v>
      </c>
      <c r="J227" s="14">
        <v>1</v>
      </c>
      <c r="K227" s="13" t="s">
        <v>4763</v>
      </c>
    </row>
    <row r="228" spans="1:17" x14ac:dyDescent="0.25">
      <c r="A228" s="11" t="s">
        <v>4660</v>
      </c>
      <c r="C228" s="61" t="s">
        <v>2567</v>
      </c>
      <c r="E228" s="62" t="s">
        <v>48</v>
      </c>
      <c r="F228" s="14" t="s">
        <v>11</v>
      </c>
      <c r="G228" s="13">
        <v>1</v>
      </c>
      <c r="H228" s="14">
        <f t="shared" si="12"/>
        <v>1</v>
      </c>
      <c r="J228" s="14">
        <v>1</v>
      </c>
      <c r="K228" s="13" t="s">
        <v>1513</v>
      </c>
    </row>
    <row r="229" spans="1:17" s="25" customFormat="1" ht="30" customHeight="1" x14ac:dyDescent="0.25">
      <c r="A229" s="37" t="s">
        <v>4660</v>
      </c>
      <c r="B229" s="26"/>
      <c r="C229" s="80" t="s">
        <v>11</v>
      </c>
      <c r="D229" s="26"/>
      <c r="F229" s="25" t="s">
        <v>11</v>
      </c>
      <c r="G229" s="26">
        <v>23</v>
      </c>
      <c r="H229" s="25">
        <f t="shared" si="12"/>
        <v>23</v>
      </c>
      <c r="J229" s="25">
        <v>16</v>
      </c>
      <c r="K229" s="26" t="s">
        <v>4866</v>
      </c>
      <c r="Q229" s="26"/>
    </row>
    <row r="230" spans="1:17" x14ac:dyDescent="0.25">
      <c r="A230" s="11" t="s">
        <v>4660</v>
      </c>
      <c r="C230" s="61" t="s">
        <v>255</v>
      </c>
      <c r="F230" s="14" t="s">
        <v>11</v>
      </c>
      <c r="G230" s="13">
        <v>1</v>
      </c>
      <c r="H230" s="14">
        <f t="shared" si="12"/>
        <v>1</v>
      </c>
      <c r="J230" s="14">
        <v>1</v>
      </c>
      <c r="K230" s="13" t="s">
        <v>4666</v>
      </c>
    </row>
    <row r="231" spans="1:17" x14ac:dyDescent="0.25">
      <c r="A231" s="11" t="s">
        <v>4660</v>
      </c>
      <c r="C231" s="61" t="s">
        <v>296</v>
      </c>
      <c r="F231" s="14" t="s">
        <v>11</v>
      </c>
      <c r="G231" s="13">
        <v>1</v>
      </c>
      <c r="H231" s="14">
        <f t="shared" si="12"/>
        <v>1</v>
      </c>
      <c r="J231" s="14">
        <v>1</v>
      </c>
      <c r="K231" s="13" t="s">
        <v>1593</v>
      </c>
    </row>
    <row r="232" spans="1:17" x14ac:dyDescent="0.25">
      <c r="A232" s="11" t="s">
        <v>4660</v>
      </c>
      <c r="C232" s="61" t="s">
        <v>259</v>
      </c>
      <c r="F232" s="14" t="s">
        <v>11</v>
      </c>
      <c r="G232" s="13">
        <v>6</v>
      </c>
      <c r="H232" s="14">
        <f t="shared" si="12"/>
        <v>6</v>
      </c>
      <c r="J232" s="14">
        <v>5</v>
      </c>
      <c r="K232" s="13" t="s">
        <v>4867</v>
      </c>
    </row>
    <row r="233" spans="1:17" x14ac:dyDescent="0.25">
      <c r="A233" s="11" t="s">
        <v>4660</v>
      </c>
      <c r="C233" s="61" t="s">
        <v>4678</v>
      </c>
      <c r="F233" s="14" t="s">
        <v>11</v>
      </c>
      <c r="G233" s="13">
        <v>1</v>
      </c>
      <c r="H233" s="14">
        <f t="shared" si="12"/>
        <v>1</v>
      </c>
      <c r="J233" s="14">
        <v>1</v>
      </c>
      <c r="K233" s="13" t="s">
        <v>849</v>
      </c>
    </row>
    <row r="234" spans="1:17" x14ac:dyDescent="0.25">
      <c r="A234" s="11" t="s">
        <v>4660</v>
      </c>
      <c r="C234" s="61" t="s">
        <v>266</v>
      </c>
      <c r="F234" s="14" t="s">
        <v>11</v>
      </c>
      <c r="G234" s="13">
        <v>5</v>
      </c>
      <c r="H234" s="14">
        <f t="shared" si="12"/>
        <v>5</v>
      </c>
      <c r="J234" s="14">
        <v>5</v>
      </c>
      <c r="K234" s="13" t="s">
        <v>4732</v>
      </c>
    </row>
    <row r="235" spans="1:17" x14ac:dyDescent="0.25">
      <c r="A235" s="11" t="s">
        <v>4660</v>
      </c>
      <c r="B235" s="13" t="s">
        <v>266</v>
      </c>
      <c r="C235" s="61" t="s">
        <v>682</v>
      </c>
      <c r="D235" s="13" t="s">
        <v>1940</v>
      </c>
      <c r="E235" s="14" t="s">
        <v>683</v>
      </c>
      <c r="F235" s="14" t="s">
        <v>11</v>
      </c>
      <c r="G235" s="13">
        <v>4</v>
      </c>
      <c r="H235" s="14">
        <f t="shared" si="12"/>
        <v>4</v>
      </c>
      <c r="J235" s="14">
        <v>4</v>
      </c>
      <c r="K235" s="13" t="s">
        <v>4869</v>
      </c>
      <c r="Q235" s="14"/>
    </row>
    <row r="236" spans="1:17" ht="22.5" x14ac:dyDescent="0.25">
      <c r="A236" s="11" t="s">
        <v>4660</v>
      </c>
      <c r="C236" s="61" t="s">
        <v>770</v>
      </c>
      <c r="E236" s="14" t="s">
        <v>683</v>
      </c>
      <c r="F236" s="14" t="s">
        <v>874</v>
      </c>
      <c r="G236" s="13">
        <v>16</v>
      </c>
      <c r="H236" s="14">
        <f t="shared" si="12"/>
        <v>16</v>
      </c>
      <c r="J236" s="14">
        <v>11</v>
      </c>
      <c r="K236" s="13" t="s">
        <v>4870</v>
      </c>
      <c r="Q236" s="14"/>
    </row>
    <row r="237" spans="1:17" x14ac:dyDescent="0.25">
      <c r="A237" s="11" t="s">
        <v>4660</v>
      </c>
      <c r="C237" s="61" t="s">
        <v>3341</v>
      </c>
      <c r="E237" s="14" t="s">
        <v>683</v>
      </c>
      <c r="F237" s="14" t="s">
        <v>11</v>
      </c>
      <c r="G237" s="13">
        <v>2</v>
      </c>
      <c r="H237" s="14">
        <f t="shared" si="12"/>
        <v>2</v>
      </c>
      <c r="J237" s="14">
        <v>2</v>
      </c>
      <c r="K237" s="13" t="s">
        <v>4676</v>
      </c>
      <c r="Q237" s="14"/>
    </row>
    <row r="238" spans="1:17" x14ac:dyDescent="0.25">
      <c r="A238" s="11" t="s">
        <v>4660</v>
      </c>
      <c r="C238" s="61" t="s">
        <v>1798</v>
      </c>
      <c r="F238" s="14" t="s">
        <v>874</v>
      </c>
      <c r="G238" s="13">
        <v>3</v>
      </c>
      <c r="H238" s="14">
        <f t="shared" si="12"/>
        <v>3</v>
      </c>
      <c r="J238" s="14">
        <v>3</v>
      </c>
      <c r="K238" s="13" t="s">
        <v>4685</v>
      </c>
      <c r="Q238" s="14"/>
    </row>
    <row r="239" spans="1:17" x14ac:dyDescent="0.25">
      <c r="A239" s="11" t="s">
        <v>4660</v>
      </c>
      <c r="C239" s="61" t="s">
        <v>282</v>
      </c>
      <c r="F239" s="14" t="s">
        <v>11</v>
      </c>
      <c r="G239" s="13">
        <v>1</v>
      </c>
      <c r="H239" s="14">
        <f t="shared" si="12"/>
        <v>1</v>
      </c>
      <c r="J239" s="14">
        <v>1</v>
      </c>
      <c r="K239" s="13" t="s">
        <v>4666</v>
      </c>
      <c r="Q239" s="14"/>
    </row>
    <row r="240" spans="1:17" x14ac:dyDescent="0.25">
      <c r="A240" s="11" t="s">
        <v>4660</v>
      </c>
      <c r="C240" s="61" t="s">
        <v>21</v>
      </c>
      <c r="E240" s="14" t="s">
        <v>21</v>
      </c>
      <c r="F240" s="14" t="s">
        <v>11</v>
      </c>
      <c r="G240" s="13">
        <v>15</v>
      </c>
      <c r="H240" s="14">
        <f t="shared" ref="H240:H255" si="13">G240+I240</f>
        <v>15</v>
      </c>
      <c r="J240" s="14">
        <v>6</v>
      </c>
      <c r="K240" s="13" t="s">
        <v>4873</v>
      </c>
      <c r="Q240" s="14"/>
    </row>
    <row r="241" spans="1:17" x14ac:dyDescent="0.25">
      <c r="A241" s="11" t="s">
        <v>4660</v>
      </c>
      <c r="C241" s="61" t="s">
        <v>21</v>
      </c>
      <c r="D241" s="13" t="s">
        <v>4871</v>
      </c>
      <c r="E241" s="14" t="s">
        <v>21</v>
      </c>
      <c r="F241" s="14" t="s">
        <v>11</v>
      </c>
      <c r="G241" s="13">
        <v>1</v>
      </c>
      <c r="H241" s="14">
        <f>G241+I241</f>
        <v>1</v>
      </c>
      <c r="J241" s="14">
        <v>1</v>
      </c>
      <c r="K241" s="13" t="s">
        <v>4872</v>
      </c>
      <c r="Q241" s="14"/>
    </row>
    <row r="242" spans="1:17" x14ac:dyDescent="0.25">
      <c r="A242" s="11" t="s">
        <v>4660</v>
      </c>
      <c r="C242" s="61" t="s">
        <v>69</v>
      </c>
      <c r="D242" s="13" t="s">
        <v>1940</v>
      </c>
      <c r="F242" s="13" t="s">
        <v>11</v>
      </c>
      <c r="G242" s="13">
        <v>1</v>
      </c>
      <c r="H242" s="14">
        <f t="shared" si="13"/>
        <v>1</v>
      </c>
      <c r="J242" s="14">
        <v>1</v>
      </c>
      <c r="K242" s="13" t="s">
        <v>1673</v>
      </c>
    </row>
    <row r="243" spans="1:17" ht="22.5" x14ac:dyDescent="0.25">
      <c r="A243" s="11" t="s">
        <v>4660</v>
      </c>
      <c r="C243" s="61" t="s">
        <v>4060</v>
      </c>
      <c r="D243" s="13" t="s">
        <v>3143</v>
      </c>
      <c r="F243" s="13" t="s">
        <v>1104</v>
      </c>
      <c r="G243" s="13">
        <v>9</v>
      </c>
      <c r="H243" s="14">
        <f t="shared" si="13"/>
        <v>9</v>
      </c>
      <c r="J243" s="14">
        <v>6</v>
      </c>
      <c r="K243" s="13" t="s">
        <v>4769</v>
      </c>
    </row>
    <row r="244" spans="1:17" s="25" customFormat="1" ht="37.5" customHeight="1" x14ac:dyDescent="0.25">
      <c r="A244" s="37" t="s">
        <v>4660</v>
      </c>
      <c r="B244" s="26"/>
      <c r="C244" s="80" t="s">
        <v>56</v>
      </c>
      <c r="D244" s="26"/>
      <c r="F244" s="25" t="s">
        <v>56</v>
      </c>
      <c r="G244" s="26">
        <v>4</v>
      </c>
      <c r="H244" s="25">
        <f t="shared" si="13"/>
        <v>4</v>
      </c>
      <c r="J244" s="25">
        <v>4</v>
      </c>
      <c r="K244" s="26" t="s">
        <v>4875</v>
      </c>
      <c r="Q244" s="26"/>
    </row>
    <row r="245" spans="1:17" x14ac:dyDescent="0.25">
      <c r="A245" s="11" t="s">
        <v>4660</v>
      </c>
      <c r="C245" s="61" t="s">
        <v>4876</v>
      </c>
      <c r="F245" s="14" t="s">
        <v>56</v>
      </c>
      <c r="G245" s="13">
        <v>1</v>
      </c>
      <c r="H245" s="14">
        <f>G245+I245</f>
        <v>1</v>
      </c>
      <c r="J245" s="14">
        <v>1</v>
      </c>
      <c r="K245" s="13" t="s">
        <v>4872</v>
      </c>
    </row>
    <row r="246" spans="1:17" x14ac:dyDescent="0.25">
      <c r="A246" s="11" t="s">
        <v>4660</v>
      </c>
      <c r="C246" s="61" t="s">
        <v>253</v>
      </c>
      <c r="F246" s="14" t="s">
        <v>56</v>
      </c>
      <c r="G246" s="13">
        <v>1</v>
      </c>
      <c r="H246" s="14">
        <f t="shared" si="13"/>
        <v>1</v>
      </c>
      <c r="J246" s="14">
        <v>1</v>
      </c>
      <c r="K246" s="13" t="s">
        <v>1673</v>
      </c>
    </row>
    <row r="247" spans="1:17" x14ac:dyDescent="0.25">
      <c r="A247" s="11" t="s">
        <v>4660</v>
      </c>
      <c r="C247" s="61" t="s">
        <v>254</v>
      </c>
      <c r="F247" s="14" t="s">
        <v>56</v>
      </c>
      <c r="G247" s="13">
        <v>4</v>
      </c>
      <c r="H247" s="14">
        <f t="shared" si="13"/>
        <v>4</v>
      </c>
      <c r="J247" s="14">
        <v>4</v>
      </c>
      <c r="K247" s="13" t="s">
        <v>4877</v>
      </c>
      <c r="Q247" s="14"/>
    </row>
    <row r="248" spans="1:17" x14ac:dyDescent="0.25">
      <c r="A248" s="11" t="s">
        <v>4660</v>
      </c>
      <c r="B248" s="13" t="s">
        <v>57</v>
      </c>
      <c r="C248" s="61" t="s">
        <v>950</v>
      </c>
      <c r="D248" s="13" t="s">
        <v>1940</v>
      </c>
      <c r="E248" s="13" t="s">
        <v>57</v>
      </c>
      <c r="F248" s="14" t="s">
        <v>56</v>
      </c>
      <c r="G248" s="13">
        <v>2</v>
      </c>
      <c r="H248" s="14">
        <f t="shared" si="13"/>
        <v>2</v>
      </c>
      <c r="J248" s="14">
        <v>2</v>
      </c>
      <c r="K248" s="13" t="s">
        <v>4874</v>
      </c>
      <c r="Q248" s="14"/>
    </row>
    <row r="249" spans="1:17" x14ac:dyDescent="0.25">
      <c r="A249" s="11" t="s">
        <v>4660</v>
      </c>
      <c r="B249" s="13" t="s">
        <v>163</v>
      </c>
      <c r="C249" s="61" t="s">
        <v>4878</v>
      </c>
      <c r="F249" s="14" t="s">
        <v>56</v>
      </c>
      <c r="G249" s="13">
        <v>1</v>
      </c>
      <c r="H249" s="14">
        <f>G249+I249</f>
        <v>1</v>
      </c>
      <c r="J249" s="14">
        <v>1</v>
      </c>
      <c r="K249" s="13" t="s">
        <v>4614</v>
      </c>
      <c r="Q249" s="14"/>
    </row>
    <row r="250" spans="1:17" x14ac:dyDescent="0.25">
      <c r="A250" s="11" t="s">
        <v>4660</v>
      </c>
      <c r="B250" s="13" t="s">
        <v>163</v>
      </c>
      <c r="C250" s="61" t="s">
        <v>4879</v>
      </c>
      <c r="F250" s="14" t="s">
        <v>56</v>
      </c>
      <c r="G250" s="13">
        <v>1</v>
      </c>
      <c r="H250" s="14">
        <f>G250+I250</f>
        <v>1</v>
      </c>
      <c r="J250" s="14">
        <v>1</v>
      </c>
      <c r="K250" s="13" t="s">
        <v>4614</v>
      </c>
      <c r="Q250" s="14"/>
    </row>
    <row r="251" spans="1:17" x14ac:dyDescent="0.25">
      <c r="A251" s="11" t="s">
        <v>4660</v>
      </c>
      <c r="B251" s="13" t="s">
        <v>163</v>
      </c>
      <c r="C251" s="61" t="s">
        <v>4880</v>
      </c>
      <c r="F251" s="14" t="s">
        <v>56</v>
      </c>
      <c r="G251" s="13">
        <v>1</v>
      </c>
      <c r="H251" s="14">
        <f>G251+I251</f>
        <v>1</v>
      </c>
      <c r="J251" s="14">
        <v>1</v>
      </c>
      <c r="K251" s="13" t="s">
        <v>4614</v>
      </c>
      <c r="Q251" s="14"/>
    </row>
    <row r="252" spans="1:17" s="25" customFormat="1" ht="29.25" customHeight="1" x14ac:dyDescent="0.25">
      <c r="A252" s="37" t="s">
        <v>4660</v>
      </c>
      <c r="B252" s="26"/>
      <c r="C252" s="80" t="s">
        <v>35</v>
      </c>
      <c r="D252" s="26"/>
      <c r="F252" s="25" t="s">
        <v>35</v>
      </c>
      <c r="G252" s="26">
        <v>8</v>
      </c>
      <c r="H252" s="25">
        <f t="shared" si="13"/>
        <v>8</v>
      </c>
      <c r="J252" s="25">
        <v>7</v>
      </c>
      <c r="K252" s="26" t="s">
        <v>4881</v>
      </c>
    </row>
    <row r="253" spans="1:17" ht="22.5" x14ac:dyDescent="0.25">
      <c r="A253" s="11" t="s">
        <v>4660</v>
      </c>
      <c r="C253" s="61" t="s">
        <v>4796</v>
      </c>
      <c r="D253" s="13" t="s">
        <v>2642</v>
      </c>
      <c r="F253" s="13" t="s">
        <v>1905</v>
      </c>
      <c r="G253" s="13">
        <v>1</v>
      </c>
      <c r="H253" s="14">
        <f t="shared" si="13"/>
        <v>1</v>
      </c>
      <c r="J253" s="14">
        <v>1</v>
      </c>
      <c r="K253" s="13" t="s">
        <v>3242</v>
      </c>
    </row>
    <row r="254" spans="1:17" x14ac:dyDescent="0.25">
      <c r="A254" s="11" t="s">
        <v>4660</v>
      </c>
      <c r="C254" s="61" t="s">
        <v>4882</v>
      </c>
      <c r="F254" s="14" t="s">
        <v>35</v>
      </c>
      <c r="G254" s="13">
        <v>1</v>
      </c>
      <c r="H254" s="14">
        <f>G254+I254</f>
        <v>1</v>
      </c>
      <c r="J254" s="14">
        <v>1</v>
      </c>
      <c r="K254" s="13" t="s">
        <v>4813</v>
      </c>
      <c r="Q254" s="14"/>
    </row>
    <row r="255" spans="1:17" x14ac:dyDescent="0.25">
      <c r="A255" s="11" t="s">
        <v>4660</v>
      </c>
      <c r="C255" s="61" t="s">
        <v>758</v>
      </c>
      <c r="E255" s="14" t="s">
        <v>759</v>
      </c>
      <c r="F255" s="14" t="s">
        <v>35</v>
      </c>
      <c r="G255" s="13">
        <v>1</v>
      </c>
      <c r="H255" s="14">
        <f t="shared" si="13"/>
        <v>1</v>
      </c>
      <c r="J255" s="14">
        <v>1</v>
      </c>
      <c r="K255" s="13" t="s">
        <v>4813</v>
      </c>
      <c r="Q255" s="14"/>
    </row>
    <row r="256" spans="1:17" x14ac:dyDescent="0.25">
      <c r="A256" s="11" t="s">
        <v>4660</v>
      </c>
      <c r="C256" s="61" t="s">
        <v>260</v>
      </c>
      <c r="F256" s="14" t="s">
        <v>35</v>
      </c>
      <c r="G256" s="13">
        <v>1</v>
      </c>
      <c r="H256" s="14">
        <f t="shared" ref="H256:H269" si="14">G256+I256</f>
        <v>1</v>
      </c>
      <c r="J256" s="14">
        <v>1</v>
      </c>
      <c r="K256" s="13" t="s">
        <v>4666</v>
      </c>
      <c r="Q256" s="14"/>
    </row>
    <row r="257" spans="1:17" x14ac:dyDescent="0.25">
      <c r="A257" s="11" t="s">
        <v>4660</v>
      </c>
      <c r="B257" s="13" t="s">
        <v>226</v>
      </c>
      <c r="C257" s="61" t="s">
        <v>3309</v>
      </c>
      <c r="E257" s="13" t="s">
        <v>2784</v>
      </c>
      <c r="F257" s="14" t="s">
        <v>35</v>
      </c>
      <c r="G257" s="13">
        <v>3</v>
      </c>
      <c r="H257" s="14">
        <f t="shared" si="14"/>
        <v>3</v>
      </c>
      <c r="J257" s="14">
        <v>3</v>
      </c>
      <c r="K257" s="13" t="s">
        <v>4743</v>
      </c>
      <c r="Q257" s="14"/>
    </row>
    <row r="258" spans="1:17" x14ac:dyDescent="0.25">
      <c r="A258" s="11" t="s">
        <v>4660</v>
      </c>
      <c r="B258" s="13" t="s">
        <v>676</v>
      </c>
      <c r="E258" s="14" t="s">
        <v>428</v>
      </c>
      <c r="F258" s="14" t="s">
        <v>35</v>
      </c>
      <c r="G258" s="13">
        <v>1</v>
      </c>
      <c r="H258" s="14">
        <f t="shared" si="14"/>
        <v>1</v>
      </c>
      <c r="J258" s="14">
        <v>1</v>
      </c>
      <c r="K258" s="13" t="s">
        <v>3153</v>
      </c>
      <c r="Q258" s="14"/>
    </row>
    <row r="259" spans="1:17" x14ac:dyDescent="0.25">
      <c r="A259" s="11" t="s">
        <v>4660</v>
      </c>
      <c r="B259" s="13" t="s">
        <v>34</v>
      </c>
      <c r="D259" s="13" t="s">
        <v>1940</v>
      </c>
      <c r="F259" s="14" t="s">
        <v>35</v>
      </c>
      <c r="G259" s="13">
        <v>16</v>
      </c>
      <c r="H259" s="14">
        <f t="shared" si="14"/>
        <v>17</v>
      </c>
      <c r="I259" s="14">
        <v>1</v>
      </c>
      <c r="J259" s="14">
        <v>13</v>
      </c>
      <c r="K259" s="13" t="s">
        <v>4883</v>
      </c>
    </row>
    <row r="260" spans="1:17" ht="22.5" x14ac:dyDescent="0.25">
      <c r="A260" s="11" t="s">
        <v>4660</v>
      </c>
      <c r="B260" s="13" t="s">
        <v>34</v>
      </c>
      <c r="D260" s="13" t="s">
        <v>1034</v>
      </c>
      <c r="F260" s="14" t="s">
        <v>35</v>
      </c>
      <c r="G260" s="13">
        <v>1</v>
      </c>
      <c r="H260" s="14">
        <f>G260+I260</f>
        <v>1</v>
      </c>
      <c r="J260" s="14">
        <v>1</v>
      </c>
      <c r="K260" s="13" t="s">
        <v>4813</v>
      </c>
    </row>
    <row r="261" spans="1:17" x14ac:dyDescent="0.25">
      <c r="A261" s="11" t="s">
        <v>4660</v>
      </c>
      <c r="B261" s="13" t="s">
        <v>34</v>
      </c>
      <c r="E261" s="13" t="s">
        <v>4814</v>
      </c>
      <c r="F261" s="14" t="s">
        <v>35</v>
      </c>
      <c r="G261" s="13">
        <v>1</v>
      </c>
      <c r="H261" s="14">
        <f>G261+I261</f>
        <v>1</v>
      </c>
      <c r="J261" s="14">
        <v>1</v>
      </c>
      <c r="K261" s="13" t="s">
        <v>4813</v>
      </c>
      <c r="Q261" s="14"/>
    </row>
    <row r="262" spans="1:17" x14ac:dyDescent="0.25">
      <c r="A262" s="11" t="s">
        <v>4660</v>
      </c>
      <c r="B262" s="13" t="s">
        <v>34</v>
      </c>
      <c r="C262" s="61" t="s">
        <v>2780</v>
      </c>
      <c r="E262" s="13" t="s">
        <v>2780</v>
      </c>
      <c r="F262" s="14" t="s">
        <v>35</v>
      </c>
      <c r="G262" s="13">
        <v>3</v>
      </c>
      <c r="H262" s="14">
        <f>G262+I262</f>
        <v>3</v>
      </c>
      <c r="J262" s="14">
        <v>2</v>
      </c>
      <c r="K262" s="13" t="s">
        <v>4822</v>
      </c>
      <c r="Q262" s="14"/>
    </row>
    <row r="263" spans="1:17" x14ac:dyDescent="0.25">
      <c r="A263" s="11" t="s">
        <v>4660</v>
      </c>
      <c r="B263" s="13" t="s">
        <v>34</v>
      </c>
      <c r="C263" s="61" t="s">
        <v>2779</v>
      </c>
      <c r="E263" s="13" t="s">
        <v>2780</v>
      </c>
      <c r="F263" s="14" t="s">
        <v>35</v>
      </c>
      <c r="G263" s="13">
        <v>2</v>
      </c>
      <c r="H263" s="14">
        <f t="shared" si="14"/>
        <v>2</v>
      </c>
      <c r="J263" s="14">
        <v>2</v>
      </c>
      <c r="K263" s="13" t="s">
        <v>4822</v>
      </c>
      <c r="Q263" s="14"/>
    </row>
    <row r="264" spans="1:17" x14ac:dyDescent="0.25">
      <c r="A264" s="11" t="s">
        <v>4660</v>
      </c>
      <c r="B264" s="13" t="s">
        <v>34</v>
      </c>
      <c r="C264" s="61" t="s">
        <v>2781</v>
      </c>
      <c r="E264" s="13" t="s">
        <v>2780</v>
      </c>
      <c r="F264" s="14" t="s">
        <v>35</v>
      </c>
      <c r="G264" s="13">
        <v>2</v>
      </c>
      <c r="H264" s="14">
        <f t="shared" si="14"/>
        <v>2</v>
      </c>
      <c r="J264" s="14">
        <v>2</v>
      </c>
      <c r="K264" s="13" t="s">
        <v>4822</v>
      </c>
      <c r="Q264" s="14"/>
    </row>
    <row r="265" spans="1:17" x14ac:dyDescent="0.25">
      <c r="A265" s="11" t="s">
        <v>4660</v>
      </c>
      <c r="B265" s="13" t="s">
        <v>170</v>
      </c>
      <c r="D265" s="13" t="s">
        <v>1940</v>
      </c>
      <c r="F265" s="14" t="s">
        <v>35</v>
      </c>
      <c r="G265" s="13">
        <v>1</v>
      </c>
      <c r="H265" s="14">
        <f t="shared" si="14"/>
        <v>1</v>
      </c>
      <c r="J265" s="14">
        <v>1</v>
      </c>
      <c r="K265" s="13" t="s">
        <v>4741</v>
      </c>
      <c r="Q265" s="14"/>
    </row>
    <row r="266" spans="1:17" s="25" customFormat="1" ht="38.25" customHeight="1" x14ac:dyDescent="0.25">
      <c r="A266" s="37" t="s">
        <v>4660</v>
      </c>
      <c r="B266" s="26"/>
      <c r="C266" s="80" t="s">
        <v>771</v>
      </c>
      <c r="D266" s="26"/>
      <c r="F266" s="25" t="s">
        <v>771</v>
      </c>
      <c r="G266" s="26">
        <v>54</v>
      </c>
      <c r="H266" s="25">
        <f t="shared" si="14"/>
        <v>54</v>
      </c>
      <c r="J266" s="25">
        <v>35</v>
      </c>
      <c r="K266" s="26" t="s">
        <v>4884</v>
      </c>
      <c r="Q266" s="26"/>
    </row>
    <row r="267" spans="1:17" ht="22.5" x14ac:dyDescent="0.25">
      <c r="A267" s="11" t="s">
        <v>4660</v>
      </c>
      <c r="C267" s="61" t="s">
        <v>1900</v>
      </c>
      <c r="F267" s="13" t="s">
        <v>776</v>
      </c>
      <c r="G267" s="13">
        <v>2</v>
      </c>
      <c r="H267" s="14">
        <f t="shared" si="14"/>
        <v>2</v>
      </c>
      <c r="J267" s="14">
        <v>2</v>
      </c>
      <c r="K267" s="13" t="s">
        <v>4735</v>
      </c>
    </row>
    <row r="268" spans="1:17" ht="22.5" x14ac:dyDescent="0.25">
      <c r="A268" s="11" t="s">
        <v>4660</v>
      </c>
      <c r="B268" s="13" t="s">
        <v>778</v>
      </c>
      <c r="D268" s="14" t="s">
        <v>1940</v>
      </c>
      <c r="F268" s="13" t="s">
        <v>776</v>
      </c>
      <c r="G268" s="13">
        <v>4</v>
      </c>
      <c r="H268" s="14">
        <f t="shared" si="14"/>
        <v>4</v>
      </c>
      <c r="J268" s="14">
        <v>4</v>
      </c>
      <c r="K268" s="14" t="s">
        <v>4751</v>
      </c>
    </row>
    <row r="269" spans="1:17" x14ac:dyDescent="0.25">
      <c r="A269" s="11" t="s">
        <v>4660</v>
      </c>
      <c r="B269" s="13" t="s">
        <v>2456</v>
      </c>
      <c r="D269" s="13" t="s">
        <v>1940</v>
      </c>
      <c r="F269" s="13" t="s">
        <v>773</v>
      </c>
      <c r="G269" s="13">
        <v>1</v>
      </c>
      <c r="H269" s="14">
        <f t="shared" si="14"/>
        <v>1</v>
      </c>
      <c r="J269" s="14">
        <v>1</v>
      </c>
      <c r="K269" s="13" t="s">
        <v>3317</v>
      </c>
      <c r="Q269" s="14"/>
    </row>
    <row r="270" spans="1:17" x14ac:dyDescent="0.25">
      <c r="A270" s="11" t="s">
        <v>4660</v>
      </c>
      <c r="B270" s="13" t="s">
        <v>785</v>
      </c>
      <c r="D270" s="13" t="s">
        <v>1940</v>
      </c>
      <c r="F270" s="13" t="s">
        <v>773</v>
      </c>
      <c r="G270" s="13">
        <v>3</v>
      </c>
      <c r="H270" s="14">
        <f t="shared" ref="H270:H276" si="15">G270+I270</f>
        <v>3</v>
      </c>
      <c r="J270" s="14">
        <v>3</v>
      </c>
      <c r="K270" s="13" t="s">
        <v>4717</v>
      </c>
      <c r="Q270" s="14"/>
    </row>
    <row r="271" spans="1:17" x14ac:dyDescent="0.25">
      <c r="A271" s="11" t="s">
        <v>4660</v>
      </c>
      <c r="B271" s="13" t="s">
        <v>785</v>
      </c>
      <c r="C271" s="61" t="s">
        <v>3794</v>
      </c>
      <c r="F271" s="13" t="s">
        <v>773</v>
      </c>
      <c r="G271" s="13">
        <v>1</v>
      </c>
      <c r="H271" s="14">
        <f>G271+I271</f>
        <v>1</v>
      </c>
      <c r="J271" s="14">
        <v>1</v>
      </c>
      <c r="K271" s="13" t="s">
        <v>2216</v>
      </c>
      <c r="Q271" s="14"/>
    </row>
    <row r="272" spans="1:17" ht="22.5" x14ac:dyDescent="0.25">
      <c r="A272" s="11" t="s">
        <v>4660</v>
      </c>
      <c r="B272" s="13" t="s">
        <v>785</v>
      </c>
      <c r="D272" s="13" t="s">
        <v>4716</v>
      </c>
      <c r="E272" s="14" t="s">
        <v>786</v>
      </c>
      <c r="F272" s="13" t="s">
        <v>773</v>
      </c>
      <c r="G272" s="13">
        <v>1</v>
      </c>
      <c r="H272" s="14">
        <f t="shared" si="15"/>
        <v>4</v>
      </c>
      <c r="I272" s="14">
        <v>3</v>
      </c>
      <c r="J272" s="14">
        <v>3</v>
      </c>
      <c r="K272" s="13" t="s">
        <v>4684</v>
      </c>
      <c r="Q272" s="14"/>
    </row>
    <row r="273" spans="1:17" x14ac:dyDescent="0.25">
      <c r="A273" s="11" t="s">
        <v>4660</v>
      </c>
      <c r="B273" s="13" t="s">
        <v>795</v>
      </c>
      <c r="D273" s="13" t="s">
        <v>1940</v>
      </c>
      <c r="F273" s="13" t="s">
        <v>773</v>
      </c>
      <c r="G273" s="13">
        <v>4</v>
      </c>
      <c r="H273" s="14">
        <f t="shared" si="15"/>
        <v>4</v>
      </c>
      <c r="J273" s="14">
        <v>4</v>
      </c>
      <c r="K273" s="13" t="s">
        <v>4885</v>
      </c>
      <c r="Q273" s="14"/>
    </row>
    <row r="274" spans="1:17" ht="22.5" x14ac:dyDescent="0.25">
      <c r="A274" s="11" t="s">
        <v>4660</v>
      </c>
      <c r="B274" s="13" t="s">
        <v>795</v>
      </c>
      <c r="C274" s="61" t="s">
        <v>944</v>
      </c>
      <c r="D274" s="13" t="s">
        <v>4780</v>
      </c>
      <c r="E274" s="14" t="s">
        <v>797</v>
      </c>
      <c r="F274" s="13" t="s">
        <v>773</v>
      </c>
      <c r="G274" s="13">
        <v>4</v>
      </c>
      <c r="H274" s="14">
        <f t="shared" si="15"/>
        <v>6</v>
      </c>
      <c r="I274" s="14">
        <v>2</v>
      </c>
      <c r="J274" s="14">
        <v>5</v>
      </c>
      <c r="K274" s="13" t="s">
        <v>4843</v>
      </c>
      <c r="Q274" s="14"/>
    </row>
    <row r="275" spans="1:17" x14ac:dyDescent="0.25">
      <c r="A275" s="11" t="s">
        <v>4660</v>
      </c>
      <c r="B275" s="13" t="s">
        <v>795</v>
      </c>
      <c r="C275" s="61" t="s">
        <v>4778</v>
      </c>
      <c r="D275" s="13" t="s">
        <v>1223</v>
      </c>
      <c r="E275" s="14" t="s">
        <v>797</v>
      </c>
      <c r="F275" s="13" t="s">
        <v>773</v>
      </c>
      <c r="G275" s="13">
        <v>8</v>
      </c>
      <c r="H275" s="14">
        <f>G275+I275</f>
        <v>9</v>
      </c>
      <c r="I275" s="14">
        <v>1</v>
      </c>
      <c r="J275" s="14">
        <v>5</v>
      </c>
      <c r="K275" s="13" t="s">
        <v>4828</v>
      </c>
      <c r="Q275" s="14"/>
    </row>
    <row r="276" spans="1:17" x14ac:dyDescent="0.25">
      <c r="A276" s="11" t="s">
        <v>4660</v>
      </c>
      <c r="C276" s="61" t="s">
        <v>774</v>
      </c>
      <c r="D276" s="13" t="s">
        <v>1940</v>
      </c>
      <c r="F276" s="14" t="s">
        <v>771</v>
      </c>
      <c r="G276" s="13">
        <v>3</v>
      </c>
      <c r="H276" s="14">
        <f t="shared" si="15"/>
        <v>3</v>
      </c>
      <c r="J276" s="14">
        <v>3</v>
      </c>
      <c r="K276" s="13" t="s">
        <v>4784</v>
      </c>
      <c r="Q276" s="14"/>
    </row>
    <row r="277" spans="1:17" x14ac:dyDescent="0.25">
      <c r="Q277" s="14"/>
    </row>
    <row r="278" spans="1:17" ht="22.5" x14ac:dyDescent="0.25">
      <c r="B278" s="13" t="s">
        <v>532</v>
      </c>
      <c r="C278" s="61">
        <f>H2</f>
        <v>1</v>
      </c>
      <c r="Q278" s="14"/>
    </row>
    <row r="279" spans="1:17" x14ac:dyDescent="0.25">
      <c r="B279" s="13" t="s">
        <v>411</v>
      </c>
      <c r="C279" s="61">
        <f>SUM(H130:H131)</f>
        <v>3</v>
      </c>
      <c r="Q279" s="14"/>
    </row>
    <row r="280" spans="1:17" x14ac:dyDescent="0.25">
      <c r="B280" s="13" t="s">
        <v>297</v>
      </c>
      <c r="C280" s="61">
        <f>SUM(H132:H133)</f>
        <v>4</v>
      </c>
      <c r="Q280" s="14"/>
    </row>
    <row r="281" spans="1:17" x14ac:dyDescent="0.25">
      <c r="B281" s="13" t="s">
        <v>2249</v>
      </c>
      <c r="C281" s="61">
        <v>0</v>
      </c>
      <c r="Q281" s="14"/>
    </row>
    <row r="282" spans="1:17" x14ac:dyDescent="0.25">
      <c r="B282" s="13" t="s">
        <v>2365</v>
      </c>
      <c r="C282" s="61">
        <f>H134</f>
        <v>1</v>
      </c>
      <c r="Q282" s="14"/>
    </row>
    <row r="283" spans="1:17" x14ac:dyDescent="0.25">
      <c r="B283" s="13" t="s">
        <v>3211</v>
      </c>
      <c r="C283" s="61">
        <v>0</v>
      </c>
      <c r="Q283" s="14"/>
    </row>
    <row r="284" spans="1:17" x14ac:dyDescent="0.25">
      <c r="B284" s="13" t="s">
        <v>76</v>
      </c>
      <c r="C284" s="61">
        <f>SUM(H3:H10)+SUM(H135:H141)</f>
        <v>89</v>
      </c>
      <c r="Q284" s="14"/>
    </row>
    <row r="285" spans="1:17" x14ac:dyDescent="0.25">
      <c r="B285" s="13" t="s">
        <v>1424</v>
      </c>
      <c r="C285" s="61">
        <v>0</v>
      </c>
      <c r="D285" s="14"/>
      <c r="Q285" s="14"/>
    </row>
    <row r="286" spans="1:17" x14ac:dyDescent="0.25">
      <c r="B286" s="13" t="s">
        <v>213</v>
      </c>
      <c r="C286" s="61">
        <f>SUM(H11:H12)+SUM(H142:H144)</f>
        <v>11</v>
      </c>
      <c r="D286" s="14"/>
      <c r="Q286" s="14"/>
    </row>
    <row r="287" spans="1:17" x14ac:dyDescent="0.25">
      <c r="B287" s="13" t="s">
        <v>42</v>
      </c>
      <c r="C287" s="61">
        <f>H145</f>
        <v>1</v>
      </c>
      <c r="D287" s="14"/>
      <c r="Q287" s="14"/>
    </row>
    <row r="288" spans="1:17" x14ac:dyDescent="0.25">
      <c r="B288" s="13" t="s">
        <v>10</v>
      </c>
      <c r="C288" s="61">
        <f>SUM(H13:H14)+SUM(H146:H147)</f>
        <v>21</v>
      </c>
      <c r="D288" s="14"/>
      <c r="Q288" s="14"/>
    </row>
    <row r="289" spans="1:17" x14ac:dyDescent="0.25">
      <c r="B289" s="13" t="s">
        <v>126</v>
      </c>
      <c r="C289" s="61">
        <f>SUM(H15:H17)+SUM(H148:H150)</f>
        <v>15</v>
      </c>
      <c r="Q289" s="14"/>
    </row>
    <row r="290" spans="1:17" x14ac:dyDescent="0.25">
      <c r="B290" s="13" t="s">
        <v>191</v>
      </c>
      <c r="C290" s="61">
        <f>H18+SUM(H151:H153)</f>
        <v>10</v>
      </c>
      <c r="Q290" s="14"/>
    </row>
    <row r="291" spans="1:17" x14ac:dyDescent="0.25">
      <c r="B291" s="13" t="s">
        <v>68</v>
      </c>
      <c r="C291" s="61">
        <f>SUM(H19:H26)+SUM(H154:H158)</f>
        <v>25</v>
      </c>
      <c r="Q291" s="14"/>
    </row>
    <row r="292" spans="1:17" x14ac:dyDescent="0.25">
      <c r="B292" s="13" t="s">
        <v>674</v>
      </c>
      <c r="C292" s="61">
        <f>H159</f>
        <v>1</v>
      </c>
      <c r="Q292" s="14"/>
    </row>
    <row r="293" spans="1:17" s="79" customFormat="1" x14ac:dyDescent="0.2">
      <c r="A293" s="78"/>
      <c r="B293" s="13" t="s">
        <v>327</v>
      </c>
      <c r="C293" s="61">
        <f>H160+H219+H221</f>
        <v>6</v>
      </c>
      <c r="D293" s="13"/>
      <c r="E293" s="14"/>
      <c r="F293" s="14"/>
      <c r="G293" s="14"/>
      <c r="H293" s="14"/>
      <c r="I293" s="14"/>
      <c r="J293" s="14"/>
      <c r="K293" s="13"/>
      <c r="L293" s="14"/>
      <c r="M293" s="14"/>
      <c r="N293" s="14"/>
      <c r="O293" s="14"/>
      <c r="P293" s="14"/>
    </row>
    <row r="294" spans="1:17" x14ac:dyDescent="0.2">
      <c r="B294" s="13" t="s">
        <v>209</v>
      </c>
      <c r="C294" s="61">
        <f>SUM(H27:H28)+SUM(H162:H163)</f>
        <v>5</v>
      </c>
      <c r="L294" s="79"/>
      <c r="M294" s="79"/>
      <c r="N294" s="79"/>
      <c r="O294" s="79"/>
      <c r="P294" s="79"/>
      <c r="Q294" s="14"/>
    </row>
    <row r="295" spans="1:17" x14ac:dyDescent="0.2">
      <c r="B295" s="13" t="s">
        <v>2006</v>
      </c>
      <c r="C295" s="83">
        <f>H161</f>
        <v>3</v>
      </c>
      <c r="D295" s="79"/>
      <c r="E295" s="79"/>
      <c r="F295" s="79"/>
      <c r="G295" s="79"/>
      <c r="I295" s="79"/>
      <c r="J295" s="79"/>
      <c r="K295" s="79"/>
      <c r="Q295" s="14"/>
    </row>
    <row r="296" spans="1:17" x14ac:dyDescent="0.2">
      <c r="B296" s="13" t="s">
        <v>3231</v>
      </c>
      <c r="C296" s="83">
        <v>0</v>
      </c>
      <c r="D296" s="79"/>
      <c r="E296" s="79"/>
      <c r="F296" s="79"/>
      <c r="G296" s="79"/>
      <c r="I296" s="79"/>
      <c r="J296" s="79"/>
      <c r="K296" s="79"/>
      <c r="Q296" s="14"/>
    </row>
    <row r="297" spans="1:17" x14ac:dyDescent="0.25">
      <c r="B297" s="13" t="s">
        <v>64</v>
      </c>
      <c r="C297" s="61">
        <f>SUM(H29:H31)+SUM(H164:H165)</f>
        <v>27</v>
      </c>
      <c r="D297" s="14"/>
      <c r="K297" s="14"/>
      <c r="Q297" s="14"/>
    </row>
    <row r="298" spans="1:17" x14ac:dyDescent="0.25">
      <c r="B298" s="13" t="s">
        <v>261</v>
      </c>
      <c r="C298" s="61">
        <f>H166</f>
        <v>1</v>
      </c>
      <c r="D298" s="14"/>
      <c r="K298" s="14"/>
      <c r="Q298" s="14"/>
    </row>
    <row r="299" spans="1:17" x14ac:dyDescent="0.25">
      <c r="B299" s="13" t="s">
        <v>1346</v>
      </c>
      <c r="C299" s="61">
        <f>H32</f>
        <v>1</v>
      </c>
      <c r="D299" s="14"/>
      <c r="K299" s="14"/>
      <c r="Q299" s="14"/>
    </row>
    <row r="300" spans="1:17" x14ac:dyDescent="0.25">
      <c r="B300" s="13" t="s">
        <v>4728</v>
      </c>
      <c r="C300" s="61">
        <f>H167</f>
        <v>1</v>
      </c>
      <c r="D300" s="14"/>
      <c r="K300" s="14"/>
      <c r="Q300" s="14"/>
    </row>
    <row r="301" spans="1:17" x14ac:dyDescent="0.25">
      <c r="A301" s="14"/>
      <c r="B301" s="13" t="s">
        <v>705</v>
      </c>
      <c r="C301" s="61">
        <v>0</v>
      </c>
      <c r="D301" s="14"/>
      <c r="K301" s="14"/>
      <c r="Q301" s="14"/>
    </row>
    <row r="302" spans="1:17" x14ac:dyDescent="0.25">
      <c r="A302" s="14"/>
      <c r="B302" s="13" t="s">
        <v>134</v>
      </c>
      <c r="C302" s="61">
        <v>0</v>
      </c>
      <c r="D302" s="14"/>
      <c r="K302" s="14"/>
      <c r="Q302" s="14"/>
    </row>
    <row r="303" spans="1:17" x14ac:dyDescent="0.25">
      <c r="A303" s="14"/>
      <c r="B303" s="13" t="s">
        <v>283</v>
      </c>
      <c r="C303" s="61">
        <f>H168</f>
        <v>1</v>
      </c>
      <c r="D303" s="14"/>
      <c r="K303" s="14"/>
      <c r="Q303" s="14"/>
    </row>
    <row r="304" spans="1:17" x14ac:dyDescent="0.25">
      <c r="A304" s="14"/>
      <c r="B304" s="13" t="s">
        <v>430</v>
      </c>
      <c r="C304" s="61">
        <v>0</v>
      </c>
      <c r="D304" s="14"/>
      <c r="K304" s="14"/>
      <c r="Q304" s="14"/>
    </row>
    <row r="305" spans="1:17" x14ac:dyDescent="0.25">
      <c r="A305" s="14"/>
      <c r="B305" s="13" t="s">
        <v>1933</v>
      </c>
      <c r="C305" s="61">
        <f>H33+SUM(H169:H170)</f>
        <v>4</v>
      </c>
      <c r="D305" s="14"/>
      <c r="K305" s="14"/>
      <c r="Q305" s="14"/>
    </row>
    <row r="306" spans="1:17" x14ac:dyDescent="0.25">
      <c r="A306" s="14"/>
      <c r="B306" s="13" t="s">
        <v>328</v>
      </c>
      <c r="C306" s="61">
        <f>H34+SUM(H171:H175)</f>
        <v>12</v>
      </c>
      <c r="D306" s="14"/>
      <c r="K306" s="14"/>
      <c r="Q306" s="14"/>
    </row>
    <row r="307" spans="1:17" x14ac:dyDescent="0.25">
      <c r="A307" s="14"/>
      <c r="B307" s="13" t="s">
        <v>3201</v>
      </c>
      <c r="C307" s="61">
        <v>0</v>
      </c>
      <c r="D307" s="14"/>
      <c r="K307" s="14"/>
      <c r="Q307" s="14"/>
    </row>
    <row r="308" spans="1:17" x14ac:dyDescent="0.25">
      <c r="A308" s="14"/>
      <c r="B308" s="13" t="s">
        <v>2391</v>
      </c>
      <c r="C308" s="61">
        <f>SUM(H176:H183)</f>
        <v>11</v>
      </c>
      <c r="D308" s="14"/>
      <c r="K308" s="14"/>
      <c r="Q308" s="14"/>
    </row>
    <row r="309" spans="1:17" x14ac:dyDescent="0.25">
      <c r="A309" s="14"/>
      <c r="B309" s="13" t="s">
        <v>483</v>
      </c>
      <c r="C309" s="61">
        <v>0</v>
      </c>
      <c r="D309" s="14"/>
      <c r="K309" s="14"/>
      <c r="Q309" s="14"/>
    </row>
    <row r="310" spans="1:17" x14ac:dyDescent="0.25">
      <c r="A310" s="14"/>
      <c r="B310" s="13" t="s">
        <v>2674</v>
      </c>
      <c r="C310" s="61">
        <v>0</v>
      </c>
      <c r="D310" s="14"/>
      <c r="K310" s="14"/>
      <c r="Q310" s="14"/>
    </row>
    <row r="311" spans="1:17" x14ac:dyDescent="0.25">
      <c r="A311" s="14"/>
      <c r="B311" s="13" t="s">
        <v>2091</v>
      </c>
      <c r="C311" s="61">
        <v>0</v>
      </c>
      <c r="D311" s="14"/>
      <c r="K311" s="14"/>
      <c r="Q311" s="14"/>
    </row>
    <row r="312" spans="1:17" x14ac:dyDescent="0.25">
      <c r="A312" s="14"/>
      <c r="B312" s="13" t="s">
        <v>78</v>
      </c>
      <c r="C312" s="61">
        <f>SUM(H35:H37)+SUM(H184:H186)</f>
        <v>30</v>
      </c>
      <c r="D312" s="14"/>
      <c r="K312" s="14"/>
      <c r="Q312" s="14"/>
    </row>
    <row r="313" spans="1:17" x14ac:dyDescent="0.25">
      <c r="A313" s="14"/>
      <c r="B313" s="13" t="s">
        <v>206</v>
      </c>
      <c r="C313" s="61">
        <f>H38+H187</f>
        <v>2</v>
      </c>
      <c r="D313" s="14"/>
      <c r="K313" s="14"/>
      <c r="Q313" s="14"/>
    </row>
    <row r="314" spans="1:17" x14ac:dyDescent="0.25">
      <c r="A314" s="14"/>
      <c r="B314" s="13" t="s">
        <v>46</v>
      </c>
      <c r="C314" s="61">
        <v>0</v>
      </c>
      <c r="D314" s="14"/>
      <c r="K314" s="14"/>
      <c r="Q314" s="14"/>
    </row>
    <row r="315" spans="1:17" x14ac:dyDescent="0.25">
      <c r="A315" s="14"/>
      <c r="B315" s="13" t="s">
        <v>2617</v>
      </c>
      <c r="C315" s="61">
        <f>H188</f>
        <v>1</v>
      </c>
      <c r="D315" s="14"/>
      <c r="K315" s="14"/>
      <c r="Q315" s="14"/>
    </row>
    <row r="316" spans="1:17" x14ac:dyDescent="0.25">
      <c r="A316" s="14"/>
      <c r="B316" s="13" t="s">
        <v>62</v>
      </c>
      <c r="C316" s="61">
        <f>SUM(H39:H46)+SUM(H189:H190)+H227</f>
        <v>38</v>
      </c>
      <c r="D316" s="14"/>
      <c r="K316" s="14"/>
      <c r="Q316" s="14"/>
    </row>
    <row r="317" spans="1:17" x14ac:dyDescent="0.25">
      <c r="A317" s="14"/>
      <c r="B317" s="13" t="s">
        <v>3137</v>
      </c>
      <c r="C317" s="61">
        <v>0</v>
      </c>
      <c r="D317" s="14"/>
      <c r="K317" s="14"/>
      <c r="Q317" s="14"/>
    </row>
    <row r="318" spans="1:17" x14ac:dyDescent="0.25">
      <c r="A318" s="14"/>
      <c r="B318" s="13" t="s">
        <v>82</v>
      </c>
      <c r="C318" s="61">
        <v>0</v>
      </c>
      <c r="D318" s="14"/>
      <c r="K318" s="14"/>
      <c r="Q318" s="14"/>
    </row>
    <row r="319" spans="1:17" x14ac:dyDescent="0.25">
      <c r="A319" s="14"/>
      <c r="B319" s="13" t="s">
        <v>22</v>
      </c>
      <c r="C319" s="61">
        <f>SUM(H47:H49)+SUM(H191:H201)</f>
        <v>48</v>
      </c>
      <c r="D319" s="14"/>
      <c r="K319" s="14"/>
      <c r="Q319" s="14"/>
    </row>
    <row r="320" spans="1:17" x14ac:dyDescent="0.25">
      <c r="A320" s="14"/>
      <c r="B320" s="13" t="s">
        <v>446</v>
      </c>
      <c r="C320" s="61">
        <v>0</v>
      </c>
      <c r="D320" s="14"/>
      <c r="K320" s="14"/>
      <c r="Q320" s="14"/>
    </row>
    <row r="321" spans="1:17" x14ac:dyDescent="0.25">
      <c r="A321" s="14"/>
      <c r="B321" s="13" t="s">
        <v>609</v>
      </c>
      <c r="C321" s="61">
        <v>0</v>
      </c>
      <c r="D321" s="14"/>
      <c r="K321" s="14"/>
      <c r="Q321" s="14"/>
    </row>
    <row r="322" spans="1:17" x14ac:dyDescent="0.25">
      <c r="A322" s="14"/>
      <c r="B322" s="13" t="s">
        <v>699</v>
      </c>
      <c r="C322" s="61">
        <v>0</v>
      </c>
      <c r="D322" s="14"/>
      <c r="K322" s="14"/>
      <c r="Q322" s="14"/>
    </row>
    <row r="323" spans="1:17" x14ac:dyDescent="0.25">
      <c r="A323" s="14"/>
      <c r="B323" s="13" t="s">
        <v>93</v>
      </c>
      <c r="C323" s="61">
        <f>SUM(H50:H52)+SUM(H202:H207)</f>
        <v>11</v>
      </c>
      <c r="D323" s="14"/>
      <c r="K323" s="14"/>
      <c r="Q323" s="14"/>
    </row>
    <row r="324" spans="1:17" x14ac:dyDescent="0.25">
      <c r="A324" s="14"/>
      <c r="B324" s="13" t="s">
        <v>1731</v>
      </c>
      <c r="C324" s="61">
        <v>0</v>
      </c>
      <c r="D324" s="14"/>
      <c r="K324" s="14"/>
      <c r="Q324" s="14"/>
    </row>
    <row r="325" spans="1:17" x14ac:dyDescent="0.25">
      <c r="A325" s="14"/>
      <c r="B325" s="13" t="s">
        <v>50</v>
      </c>
      <c r="C325" s="61">
        <v>0</v>
      </c>
      <c r="D325" s="14"/>
      <c r="K325" s="14"/>
      <c r="Q325" s="14"/>
    </row>
    <row r="326" spans="1:17" x14ac:dyDescent="0.25">
      <c r="A326" s="14"/>
      <c r="B326" s="13" t="s">
        <v>24</v>
      </c>
      <c r="C326" s="61">
        <f>SUM(H53:H80)+SUM(H208:H211)+H217+H220</f>
        <v>276</v>
      </c>
      <c r="D326" s="14"/>
      <c r="K326" s="14"/>
      <c r="Q326" s="14"/>
    </row>
    <row r="327" spans="1:17" ht="10.5" customHeight="1" x14ac:dyDescent="0.25">
      <c r="A327" s="14"/>
      <c r="B327" s="13" t="s">
        <v>3208</v>
      </c>
      <c r="C327" s="61">
        <f>H213</f>
        <v>1</v>
      </c>
      <c r="D327" s="14"/>
      <c r="K327" s="14"/>
      <c r="Q327" s="14"/>
    </row>
    <row r="328" spans="1:17" x14ac:dyDescent="0.25">
      <c r="A328" s="14"/>
      <c r="B328" s="13" t="s">
        <v>139</v>
      </c>
      <c r="C328" s="61">
        <v>0</v>
      </c>
      <c r="D328" s="14"/>
      <c r="K328" s="14"/>
      <c r="Q328" s="14"/>
    </row>
    <row r="329" spans="1:17" x14ac:dyDescent="0.25">
      <c r="A329" s="14"/>
      <c r="B329" s="13" t="s">
        <v>269</v>
      </c>
      <c r="C329" s="61">
        <f>H81+H215</f>
        <v>9</v>
      </c>
      <c r="D329" s="14"/>
      <c r="K329" s="14"/>
      <c r="Q329" s="14"/>
    </row>
    <row r="330" spans="1:17" x14ac:dyDescent="0.25">
      <c r="A330" s="14"/>
      <c r="B330" s="13" t="s">
        <v>2384</v>
      </c>
      <c r="C330" s="61">
        <f>H216</f>
        <v>2</v>
      </c>
      <c r="D330" s="14"/>
      <c r="K330" s="14"/>
      <c r="Q330" s="14"/>
    </row>
    <row r="331" spans="1:17" x14ac:dyDescent="0.25">
      <c r="A331" s="14"/>
      <c r="B331" s="13" t="s">
        <v>2079</v>
      </c>
      <c r="C331" s="61">
        <v>0</v>
      </c>
      <c r="D331" s="14"/>
      <c r="K331" s="14"/>
      <c r="Q331" s="14"/>
    </row>
    <row r="332" spans="1:17" x14ac:dyDescent="0.25">
      <c r="A332" s="14"/>
      <c r="B332" s="13" t="s">
        <v>4886</v>
      </c>
      <c r="C332" s="61">
        <f>H214</f>
        <v>1</v>
      </c>
      <c r="D332" s="14"/>
      <c r="K332" s="14"/>
      <c r="Q332" s="14"/>
    </row>
    <row r="333" spans="1:17" x14ac:dyDescent="0.25">
      <c r="A333" s="14"/>
      <c r="B333" s="13" t="s">
        <v>718</v>
      </c>
      <c r="C333" s="61">
        <v>0</v>
      </c>
      <c r="D333" s="14"/>
      <c r="K333" s="14"/>
      <c r="Q333" s="14"/>
    </row>
    <row r="334" spans="1:17" x14ac:dyDescent="0.25">
      <c r="A334" s="14"/>
      <c r="B334" s="13" t="s">
        <v>1682</v>
      </c>
      <c r="C334" s="61">
        <v>0</v>
      </c>
      <c r="D334" s="14"/>
      <c r="K334" s="14"/>
      <c r="Q334" s="14"/>
    </row>
    <row r="335" spans="1:17" x14ac:dyDescent="0.25">
      <c r="A335" s="14"/>
      <c r="B335" s="13" t="s">
        <v>3596</v>
      </c>
      <c r="C335" s="61">
        <v>0</v>
      </c>
      <c r="D335" s="14"/>
      <c r="K335" s="14"/>
      <c r="Q335" s="14"/>
    </row>
    <row r="336" spans="1:17" x14ac:dyDescent="0.25">
      <c r="A336" s="14"/>
      <c r="C336" s="61">
        <f>SUM(C278:C335)</f>
        <v>673</v>
      </c>
      <c r="D336" s="14"/>
      <c r="K336" s="14"/>
      <c r="Q336" s="14"/>
    </row>
    <row r="337" spans="1:17" x14ac:dyDescent="0.25">
      <c r="A337" s="14"/>
      <c r="B337" s="12" t="s">
        <v>11</v>
      </c>
      <c r="C337" s="61">
        <f>SUM(C338:C342)+H125+H218+H229</f>
        <v>758.5</v>
      </c>
      <c r="D337" s="14"/>
      <c r="K337" s="14"/>
      <c r="Q337" s="14"/>
    </row>
    <row r="338" spans="1:17" x14ac:dyDescent="0.25">
      <c r="A338" s="14"/>
      <c r="B338" s="13" t="s">
        <v>663</v>
      </c>
      <c r="C338" s="61">
        <f>C286+C292+C306+C329+C332+H222+H230+SUM(H231/2)+SUM(H232/2)+SUM(H237/2)</f>
        <v>41.5</v>
      </c>
      <c r="D338" s="14"/>
      <c r="K338" s="14"/>
      <c r="Q338" s="14"/>
    </row>
    <row r="339" spans="1:17" x14ac:dyDescent="0.25">
      <c r="A339" s="14"/>
      <c r="B339" s="13" t="s">
        <v>664</v>
      </c>
      <c r="C339" s="61">
        <f>C288+SUM(H231/2)</f>
        <v>21.5</v>
      </c>
      <c r="D339" s="14"/>
      <c r="K339" s="14"/>
      <c r="Q339" s="14"/>
    </row>
    <row r="340" spans="1:17" x14ac:dyDescent="0.25">
      <c r="A340" s="14"/>
      <c r="B340" s="13" t="s">
        <v>271</v>
      </c>
      <c r="C340" s="61">
        <f>C293+C294+C298+C303+C308+C312+C323+C327+SUM(H223:H225)/2+H226+H228+SUM(H232/2)+SUM(H233/2)+SUM(H234/2)+SUM(H235/2)+SUM(H237/2)+H239</f>
        <v>85</v>
      </c>
      <c r="D340" s="14"/>
      <c r="K340" s="14"/>
      <c r="Q340" s="14"/>
    </row>
    <row r="341" spans="1:17" x14ac:dyDescent="0.25">
      <c r="A341" s="14"/>
      <c r="B341" s="13" t="s">
        <v>144</v>
      </c>
      <c r="C341" s="61">
        <f>C278+C282+C287+C290+C291+C297+C300+C319+C326+SUM(H234/2)+SUM(H235/2)+H212+SUM(H240:H242)+SUM(H243/2)</f>
        <v>419</v>
      </c>
      <c r="D341" s="14"/>
      <c r="K341" s="14"/>
      <c r="Q341" s="14"/>
    </row>
    <row r="342" spans="1:17" x14ac:dyDescent="0.25">
      <c r="A342" s="14"/>
      <c r="B342" s="13" t="s">
        <v>666</v>
      </c>
      <c r="C342" s="61">
        <f>C279+C280+C284+C289+C295+C305+C313+C315+C316+C330+SUM(H223:H225)/2+SUM(H233/2)</f>
        <v>164.5</v>
      </c>
      <c r="D342" s="14"/>
      <c r="K342" s="14"/>
      <c r="Q342" s="14"/>
    </row>
    <row r="343" spans="1:17" x14ac:dyDescent="0.25">
      <c r="D343" s="14"/>
      <c r="K343" s="14"/>
      <c r="Q343" s="14"/>
    </row>
    <row r="344" spans="1:17" x14ac:dyDescent="0.25">
      <c r="B344" s="13" t="s">
        <v>231</v>
      </c>
      <c r="C344" s="61">
        <v>0</v>
      </c>
      <c r="D344" s="14"/>
      <c r="K344" s="14"/>
      <c r="Q344" s="14"/>
    </row>
    <row r="345" spans="1:17" x14ac:dyDescent="0.25">
      <c r="B345" s="13" t="s">
        <v>995</v>
      </c>
      <c r="C345" s="61">
        <v>0</v>
      </c>
      <c r="D345" s="14"/>
      <c r="K345" s="14"/>
      <c r="Q345" s="14"/>
    </row>
    <row r="346" spans="1:17" x14ac:dyDescent="0.25">
      <c r="B346" s="13" t="s">
        <v>953</v>
      </c>
      <c r="C346" s="61">
        <v>0</v>
      </c>
      <c r="D346" s="14"/>
      <c r="K346" s="14"/>
      <c r="Q346" s="14"/>
    </row>
    <row r="347" spans="1:17" x14ac:dyDescent="0.25">
      <c r="B347" s="13" t="s">
        <v>1608</v>
      </c>
      <c r="C347" s="61">
        <v>0</v>
      </c>
      <c r="D347" s="14"/>
      <c r="K347" s="14"/>
      <c r="Q347" s="14"/>
    </row>
    <row r="348" spans="1:17" x14ac:dyDescent="0.25">
      <c r="B348" s="13" t="s">
        <v>394</v>
      </c>
      <c r="C348" s="61">
        <v>0</v>
      </c>
      <c r="D348" s="14"/>
      <c r="K348" s="14"/>
      <c r="Q348" s="14"/>
    </row>
    <row r="349" spans="1:17" x14ac:dyDescent="0.25">
      <c r="B349" s="13" t="s">
        <v>238</v>
      </c>
      <c r="C349" s="61">
        <v>0</v>
      </c>
      <c r="D349" s="14"/>
      <c r="K349" s="14"/>
      <c r="Q349" s="14"/>
    </row>
    <row r="350" spans="1:17" s="79" customFormat="1" x14ac:dyDescent="0.2">
      <c r="A350" s="78"/>
      <c r="B350" s="13" t="s">
        <v>226</v>
      </c>
      <c r="C350" s="61">
        <f>SUM(H82:H84)+H257</f>
        <v>19</v>
      </c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</row>
    <row r="351" spans="1:17" s="79" customFormat="1" x14ac:dyDescent="0.2">
      <c r="A351" s="78"/>
      <c r="B351" s="13" t="s">
        <v>1641</v>
      </c>
      <c r="C351" s="61">
        <v>0</v>
      </c>
      <c r="D351" s="14"/>
      <c r="E351" s="14"/>
      <c r="F351" s="14"/>
      <c r="G351" s="14"/>
      <c r="H351" s="14"/>
      <c r="I351" s="14"/>
      <c r="J351" s="14"/>
      <c r="K351" s="14"/>
    </row>
    <row r="352" spans="1:17" s="79" customFormat="1" x14ac:dyDescent="0.2">
      <c r="A352" s="78"/>
      <c r="B352" s="13" t="s">
        <v>998</v>
      </c>
      <c r="C352" s="83">
        <v>0</v>
      </c>
      <c r="H352" s="14"/>
    </row>
    <row r="353" spans="1:17" x14ac:dyDescent="0.2">
      <c r="B353" s="13" t="s">
        <v>407</v>
      </c>
      <c r="C353" s="83">
        <f>SUM(H85:H86)</f>
        <v>2</v>
      </c>
      <c r="D353" s="79"/>
      <c r="E353" s="79"/>
      <c r="F353" s="79"/>
      <c r="G353" s="79"/>
      <c r="I353" s="79"/>
      <c r="J353" s="79"/>
      <c r="K353" s="79"/>
      <c r="L353" s="79"/>
      <c r="M353" s="79"/>
      <c r="N353" s="79"/>
      <c r="O353" s="79"/>
      <c r="P353" s="79"/>
      <c r="Q353" s="14"/>
    </row>
    <row r="354" spans="1:17" x14ac:dyDescent="0.2">
      <c r="B354" s="13" t="s">
        <v>1612</v>
      </c>
      <c r="C354" s="83">
        <v>0</v>
      </c>
      <c r="D354" s="79"/>
      <c r="E354" s="79"/>
      <c r="F354" s="79"/>
      <c r="G354" s="79"/>
      <c r="H354" s="79"/>
      <c r="I354" s="79"/>
      <c r="J354" s="79"/>
      <c r="K354" s="79"/>
      <c r="Q354" s="14"/>
    </row>
    <row r="355" spans="1:17" x14ac:dyDescent="0.2">
      <c r="B355" s="13" t="s">
        <v>86</v>
      </c>
      <c r="C355" s="61">
        <v>0</v>
      </c>
      <c r="D355" s="14"/>
      <c r="H355" s="79"/>
      <c r="K355" s="14"/>
      <c r="Q355" s="14"/>
    </row>
    <row r="356" spans="1:17" x14ac:dyDescent="0.2">
      <c r="B356" s="13" t="s">
        <v>676</v>
      </c>
      <c r="C356" s="61">
        <f>H258</f>
        <v>1</v>
      </c>
      <c r="D356" s="14"/>
      <c r="H356" s="79"/>
      <c r="K356" s="14"/>
      <c r="Q356" s="14"/>
    </row>
    <row r="357" spans="1:17" x14ac:dyDescent="0.25">
      <c r="B357" s="13" t="s">
        <v>975</v>
      </c>
      <c r="C357" s="61">
        <v>0</v>
      </c>
      <c r="D357" s="14"/>
      <c r="K357" s="14"/>
      <c r="Q357" s="14"/>
    </row>
    <row r="358" spans="1:17" x14ac:dyDescent="0.25">
      <c r="B358" s="13" t="s">
        <v>249</v>
      </c>
      <c r="C358" s="61">
        <v>0</v>
      </c>
      <c r="D358" s="14"/>
      <c r="K358" s="14"/>
      <c r="Q358" s="14"/>
    </row>
    <row r="359" spans="1:17" x14ac:dyDescent="0.25">
      <c r="B359" s="13" t="s">
        <v>1709</v>
      </c>
      <c r="C359" s="61">
        <v>0</v>
      </c>
      <c r="D359" s="14"/>
      <c r="K359" s="14"/>
      <c r="Q359" s="14"/>
    </row>
    <row r="360" spans="1:17" x14ac:dyDescent="0.25">
      <c r="A360" s="14"/>
      <c r="B360" s="13" t="s">
        <v>426</v>
      </c>
      <c r="C360" s="61">
        <v>0</v>
      </c>
      <c r="D360" s="14"/>
      <c r="K360" s="14"/>
      <c r="Q360" s="14"/>
    </row>
    <row r="361" spans="1:17" x14ac:dyDescent="0.25">
      <c r="A361" s="14"/>
      <c r="B361" s="13" t="s">
        <v>34</v>
      </c>
      <c r="C361" s="61">
        <f>SUM(H87:H96)+SUM(H259:H264)</f>
        <v>62</v>
      </c>
      <c r="D361" s="14"/>
      <c r="K361" s="14"/>
      <c r="Q361" s="14"/>
    </row>
    <row r="362" spans="1:17" x14ac:dyDescent="0.25">
      <c r="A362" s="14"/>
      <c r="B362" s="13" t="s">
        <v>99</v>
      </c>
      <c r="C362" s="61">
        <v>0</v>
      </c>
      <c r="D362" s="14"/>
      <c r="K362" s="14"/>
      <c r="Q362" s="14"/>
    </row>
    <row r="363" spans="1:17" x14ac:dyDescent="0.25">
      <c r="A363" s="14"/>
      <c r="B363" s="13" t="s">
        <v>3857</v>
      </c>
      <c r="C363" s="61">
        <v>0</v>
      </c>
      <c r="D363" s="14"/>
      <c r="K363" s="14"/>
      <c r="Q363" s="14"/>
    </row>
    <row r="364" spans="1:17" x14ac:dyDescent="0.25">
      <c r="A364" s="14"/>
      <c r="B364" s="13" t="s">
        <v>170</v>
      </c>
      <c r="C364" s="61">
        <f>H97+H265</f>
        <v>2</v>
      </c>
      <c r="D364" s="14"/>
      <c r="K364" s="14"/>
      <c r="Q364" s="14"/>
    </row>
    <row r="365" spans="1:17" x14ac:dyDescent="0.25">
      <c r="A365" s="14"/>
      <c r="B365" s="13" t="s">
        <v>1694</v>
      </c>
      <c r="C365" s="61">
        <v>0</v>
      </c>
      <c r="D365" s="14"/>
      <c r="K365" s="14"/>
      <c r="Q365" s="14"/>
    </row>
    <row r="366" spans="1:17" x14ac:dyDescent="0.25">
      <c r="A366" s="14"/>
      <c r="B366" s="13" t="s">
        <v>1031</v>
      </c>
      <c r="C366" s="61">
        <v>0</v>
      </c>
      <c r="D366" s="14"/>
      <c r="K366" s="14"/>
      <c r="Q366" s="14"/>
    </row>
    <row r="367" spans="1:17" x14ac:dyDescent="0.25">
      <c r="A367" s="14"/>
      <c r="B367" s="13" t="s">
        <v>319</v>
      </c>
      <c r="C367" s="61">
        <v>0</v>
      </c>
      <c r="D367" s="14"/>
      <c r="K367" s="14"/>
      <c r="Q367" s="14"/>
    </row>
    <row r="368" spans="1:17" x14ac:dyDescent="0.25">
      <c r="A368" s="14"/>
      <c r="B368" s="13" t="s">
        <v>1606</v>
      </c>
      <c r="C368" s="61">
        <v>0</v>
      </c>
      <c r="D368" s="14"/>
      <c r="K368" s="14"/>
      <c r="Q368" s="14"/>
    </row>
    <row r="369" spans="1:17" x14ac:dyDescent="0.25">
      <c r="A369" s="14"/>
      <c r="B369" s="13" t="s">
        <v>1610</v>
      </c>
      <c r="C369" s="61">
        <v>0</v>
      </c>
      <c r="D369" s="14"/>
      <c r="K369" s="14"/>
      <c r="Q369" s="14"/>
    </row>
    <row r="370" spans="1:17" x14ac:dyDescent="0.25">
      <c r="A370" s="14"/>
      <c r="B370" s="13" t="s">
        <v>709</v>
      </c>
      <c r="C370" s="61">
        <v>0</v>
      </c>
      <c r="D370" s="14"/>
      <c r="K370" s="14"/>
      <c r="Q370" s="14"/>
    </row>
    <row r="371" spans="1:17" x14ac:dyDescent="0.25">
      <c r="A371" s="14"/>
      <c r="B371" s="13" t="s">
        <v>743</v>
      </c>
      <c r="C371" s="61">
        <v>0</v>
      </c>
      <c r="D371" s="14"/>
      <c r="K371" s="14"/>
      <c r="Q371" s="14"/>
    </row>
    <row r="372" spans="1:17" x14ac:dyDescent="0.25">
      <c r="A372" s="14"/>
      <c r="B372" s="13" t="s">
        <v>167</v>
      </c>
      <c r="C372" s="61">
        <v>0</v>
      </c>
      <c r="D372" s="14"/>
      <c r="K372" s="14"/>
      <c r="Q372" s="14"/>
    </row>
    <row r="373" spans="1:17" x14ac:dyDescent="0.25">
      <c r="A373" s="14"/>
      <c r="B373" s="13" t="s">
        <v>522</v>
      </c>
      <c r="C373" s="61">
        <v>0</v>
      </c>
      <c r="D373" s="14"/>
      <c r="K373" s="14"/>
      <c r="Q373" s="14"/>
    </row>
    <row r="374" spans="1:17" x14ac:dyDescent="0.25">
      <c r="A374" s="14"/>
      <c r="B374" s="13" t="s">
        <v>1594</v>
      </c>
      <c r="C374" s="61">
        <v>0</v>
      </c>
      <c r="D374" s="14"/>
      <c r="K374" s="14"/>
      <c r="Q374" s="14"/>
    </row>
    <row r="375" spans="1:17" x14ac:dyDescent="0.25">
      <c r="A375" s="14"/>
      <c r="D375" s="14"/>
      <c r="K375" s="14"/>
      <c r="Q375" s="14"/>
    </row>
    <row r="376" spans="1:17" x14ac:dyDescent="0.25">
      <c r="A376" s="14"/>
      <c r="B376" s="12" t="s">
        <v>35</v>
      </c>
      <c r="C376" s="61">
        <f>SUM(C377:C381)+H127+SUM(H252:H253)</f>
        <v>99</v>
      </c>
      <c r="D376" s="14"/>
      <c r="K376" s="14"/>
      <c r="Q376" s="14"/>
    </row>
    <row r="377" spans="1:17" x14ac:dyDescent="0.25">
      <c r="A377" s="14"/>
      <c r="B377" s="13" t="s">
        <v>667</v>
      </c>
      <c r="C377" s="61">
        <f>C356+C361+SUM(H254:H255)</f>
        <v>65</v>
      </c>
      <c r="D377" s="14"/>
      <c r="K377" s="14"/>
      <c r="Q377" s="14"/>
    </row>
    <row r="378" spans="1:17" x14ac:dyDescent="0.25">
      <c r="A378" s="14"/>
      <c r="B378" s="13" t="s">
        <v>668</v>
      </c>
      <c r="C378" s="61">
        <f>C350</f>
        <v>19</v>
      </c>
      <c r="D378" s="14"/>
      <c r="K378" s="14"/>
      <c r="Q378" s="14"/>
    </row>
    <row r="379" spans="1:17" x14ac:dyDescent="0.25">
      <c r="A379" s="14"/>
      <c r="B379" s="13" t="s">
        <v>669</v>
      </c>
      <c r="C379" s="61">
        <f>C353+H256</f>
        <v>3</v>
      </c>
      <c r="D379" s="14"/>
      <c r="K379" s="14"/>
      <c r="Q379" s="14"/>
    </row>
    <row r="380" spans="1:17" x14ac:dyDescent="0.25">
      <c r="A380" s="14"/>
      <c r="B380" s="13" t="s">
        <v>670</v>
      </c>
      <c r="C380" s="61">
        <v>0</v>
      </c>
      <c r="D380" s="14"/>
      <c r="K380" s="14"/>
      <c r="Q380" s="14"/>
    </row>
    <row r="381" spans="1:17" x14ac:dyDescent="0.25">
      <c r="A381" s="14"/>
      <c r="B381" s="13" t="s">
        <v>666</v>
      </c>
      <c r="C381" s="61">
        <f>C364</f>
        <v>2</v>
      </c>
      <c r="D381" s="14"/>
      <c r="K381" s="14"/>
      <c r="Q381" s="14"/>
    </row>
    <row r="382" spans="1:17" x14ac:dyDescent="0.25">
      <c r="A382" s="14"/>
      <c r="D382" s="14"/>
      <c r="K382" s="14"/>
      <c r="Q382" s="14"/>
    </row>
    <row r="383" spans="1:17" x14ac:dyDescent="0.25">
      <c r="A383" s="14"/>
      <c r="B383" s="13" t="s">
        <v>163</v>
      </c>
      <c r="C383" s="61">
        <f>SUM(H98:H104)</f>
        <v>16</v>
      </c>
      <c r="D383" s="14"/>
      <c r="K383" s="14"/>
      <c r="Q383" s="14"/>
    </row>
    <row r="384" spans="1:17" x14ac:dyDescent="0.25">
      <c r="A384" s="14"/>
      <c r="B384" s="13" t="s">
        <v>186</v>
      </c>
      <c r="C384" s="61">
        <v>0</v>
      </c>
      <c r="D384" s="14"/>
      <c r="K384" s="14"/>
      <c r="Q384" s="14"/>
    </row>
    <row r="385" spans="1:17" x14ac:dyDescent="0.25">
      <c r="A385" s="14"/>
      <c r="B385" s="13" t="s">
        <v>55</v>
      </c>
      <c r="C385" s="61">
        <f>H105</f>
        <v>4</v>
      </c>
      <c r="D385" s="14"/>
      <c r="K385" s="14"/>
      <c r="Q385" s="14"/>
    </row>
    <row r="386" spans="1:17" x14ac:dyDescent="0.25">
      <c r="A386" s="14"/>
      <c r="B386" s="13" t="s">
        <v>593</v>
      </c>
      <c r="C386" s="61">
        <v>0</v>
      </c>
      <c r="D386" s="14"/>
      <c r="K386" s="14"/>
      <c r="Q386" s="14"/>
    </row>
    <row r="387" spans="1:17" x14ac:dyDescent="0.25">
      <c r="A387" s="14"/>
      <c r="B387" s="13" t="s">
        <v>4100</v>
      </c>
      <c r="C387" s="61">
        <v>0</v>
      </c>
      <c r="D387" s="14"/>
      <c r="K387" s="14"/>
      <c r="Q387" s="14"/>
    </row>
    <row r="388" spans="1:17" x14ac:dyDescent="0.25">
      <c r="A388" s="14"/>
      <c r="B388" s="13" t="s">
        <v>161</v>
      </c>
      <c r="C388" s="61">
        <f>H106</f>
        <v>1</v>
      </c>
      <c r="D388" s="14"/>
      <c r="K388" s="14"/>
      <c r="Q388" s="14"/>
    </row>
    <row r="389" spans="1:17" x14ac:dyDescent="0.25">
      <c r="A389" s="14"/>
      <c r="B389" s="13" t="s">
        <v>66</v>
      </c>
      <c r="C389" s="61">
        <v>0</v>
      </c>
      <c r="D389" s="14"/>
      <c r="K389" s="14"/>
      <c r="Q389" s="14"/>
    </row>
    <row r="390" spans="1:17" x14ac:dyDescent="0.25">
      <c r="A390" s="14"/>
      <c r="D390" s="14"/>
      <c r="K390" s="14"/>
      <c r="Q390" s="14"/>
    </row>
    <row r="391" spans="1:17" x14ac:dyDescent="0.25">
      <c r="A391" s="14"/>
      <c r="B391" s="12" t="s">
        <v>56</v>
      </c>
      <c r="C391" s="61">
        <f>SUM(C392:C396)+SUM(H243/2)+SUM(H244:H245)</f>
        <v>40.5</v>
      </c>
      <c r="D391" s="14"/>
      <c r="K391" s="14"/>
      <c r="Q391" s="14"/>
    </row>
    <row r="392" spans="1:17" x14ac:dyDescent="0.25">
      <c r="A392" s="14"/>
      <c r="B392" s="13" t="s">
        <v>663</v>
      </c>
      <c r="C392" s="61">
        <f>SUM(C383/2)+SUM(H247/2)+SUM(H249:H251)/2</f>
        <v>11.5</v>
      </c>
      <c r="D392" s="14"/>
      <c r="K392" s="14"/>
      <c r="Q392" s="14"/>
    </row>
    <row r="393" spans="1:17" x14ac:dyDescent="0.25">
      <c r="A393" s="14"/>
      <c r="B393" s="13" t="s">
        <v>664</v>
      </c>
      <c r="C393" s="61">
        <f>SUM(C383/2)+C388+SUM(H247/2)+SUM(H249:H251)/2</f>
        <v>12.5</v>
      </c>
      <c r="D393" s="14"/>
      <c r="K393" s="14"/>
      <c r="Q393" s="14"/>
    </row>
    <row r="394" spans="1:17" x14ac:dyDescent="0.25">
      <c r="A394" s="14"/>
      <c r="B394" s="13" t="s">
        <v>271</v>
      </c>
      <c r="C394" s="61">
        <f>SUM(H246/2)</f>
        <v>0.5</v>
      </c>
      <c r="D394" s="14"/>
      <c r="K394" s="14"/>
      <c r="Q394" s="14"/>
    </row>
    <row r="395" spans="1:17" x14ac:dyDescent="0.25">
      <c r="A395" s="14"/>
      <c r="B395" s="13" t="s">
        <v>144</v>
      </c>
      <c r="C395" s="61">
        <f>C385+SUM(H246/2)+H248</f>
        <v>6.5</v>
      </c>
      <c r="D395" s="14"/>
      <c r="K395" s="14"/>
      <c r="Q395" s="14"/>
    </row>
    <row r="396" spans="1:17" x14ac:dyDescent="0.25">
      <c r="A396" s="14"/>
      <c r="B396" s="13" t="s">
        <v>666</v>
      </c>
      <c r="C396" s="61">
        <v>0</v>
      </c>
      <c r="D396" s="14"/>
      <c r="K396" s="14"/>
      <c r="Q396" s="14"/>
    </row>
    <row r="397" spans="1:17" x14ac:dyDescent="0.25">
      <c r="A397" s="14"/>
      <c r="D397" s="14"/>
      <c r="K397" s="14"/>
      <c r="Q397" s="14"/>
    </row>
    <row r="398" spans="1:17" x14ac:dyDescent="0.25">
      <c r="B398" s="13" t="s">
        <v>778</v>
      </c>
      <c r="C398" s="61">
        <f>SUM(H107:H109)+H268</f>
        <v>16</v>
      </c>
      <c r="D398" s="14"/>
      <c r="K398" s="14"/>
      <c r="Q398" s="14"/>
    </row>
    <row r="399" spans="1:17" x14ac:dyDescent="0.25">
      <c r="B399" s="13" t="s">
        <v>1444</v>
      </c>
      <c r="C399" s="61">
        <v>0</v>
      </c>
      <c r="Q399" s="14"/>
    </row>
    <row r="400" spans="1:17" x14ac:dyDescent="0.25">
      <c r="B400" s="13" t="s">
        <v>1631</v>
      </c>
      <c r="C400" s="61">
        <v>0</v>
      </c>
      <c r="Q400" s="14"/>
    </row>
    <row r="401" spans="1:17" x14ac:dyDescent="0.25">
      <c r="B401" s="13" t="s">
        <v>1968</v>
      </c>
      <c r="C401" s="61">
        <f>H110</f>
        <v>4</v>
      </c>
      <c r="Q401" s="14"/>
    </row>
    <row r="402" spans="1:17" x14ac:dyDescent="0.25">
      <c r="B402" s="13" t="s">
        <v>1099</v>
      </c>
      <c r="C402" s="61">
        <v>0</v>
      </c>
      <c r="Q402" s="14"/>
    </row>
    <row r="403" spans="1:17" x14ac:dyDescent="0.25">
      <c r="B403" s="13" t="s">
        <v>2114</v>
      </c>
      <c r="C403" s="61">
        <v>0</v>
      </c>
      <c r="Q403" s="14"/>
    </row>
    <row r="404" spans="1:17" x14ac:dyDescent="0.25">
      <c r="B404" s="13" t="s">
        <v>783</v>
      </c>
      <c r="C404" s="61">
        <v>0</v>
      </c>
      <c r="Q404" s="14"/>
    </row>
    <row r="405" spans="1:17" x14ac:dyDescent="0.25">
      <c r="B405" s="13" t="s">
        <v>1264</v>
      </c>
      <c r="C405" s="61">
        <v>0</v>
      </c>
      <c r="Q405" s="14"/>
    </row>
    <row r="406" spans="1:17" x14ac:dyDescent="0.25">
      <c r="B406" s="13" t="s">
        <v>980</v>
      </c>
      <c r="C406" s="61">
        <v>0</v>
      </c>
      <c r="Q406" s="14"/>
    </row>
    <row r="407" spans="1:17" x14ac:dyDescent="0.25">
      <c r="B407" s="13" t="s">
        <v>1157</v>
      </c>
      <c r="C407" s="61">
        <v>0</v>
      </c>
      <c r="Q407" s="14"/>
    </row>
    <row r="408" spans="1:17" x14ac:dyDescent="0.25">
      <c r="B408" s="13" t="s">
        <v>3757</v>
      </c>
      <c r="C408" s="61">
        <v>0</v>
      </c>
      <c r="Q408" s="14"/>
    </row>
    <row r="409" spans="1:17" x14ac:dyDescent="0.25">
      <c r="B409" s="13" t="s">
        <v>1248</v>
      </c>
      <c r="C409" s="61">
        <v>0</v>
      </c>
      <c r="Q409" s="14"/>
    </row>
    <row r="410" spans="1:17" x14ac:dyDescent="0.25">
      <c r="B410" s="13" t="s">
        <v>1688</v>
      </c>
      <c r="C410" s="61">
        <v>0</v>
      </c>
      <c r="Q410" s="14"/>
    </row>
    <row r="411" spans="1:17" x14ac:dyDescent="0.25">
      <c r="B411" s="13" t="s">
        <v>793</v>
      </c>
      <c r="C411" s="61">
        <v>0</v>
      </c>
      <c r="Q411" s="14"/>
    </row>
    <row r="412" spans="1:17" x14ac:dyDescent="0.25">
      <c r="B412" s="13" t="s">
        <v>1666</v>
      </c>
      <c r="C412" s="61">
        <v>0</v>
      </c>
      <c r="Q412" s="14"/>
    </row>
    <row r="413" spans="1:17" x14ac:dyDescent="0.25">
      <c r="B413" s="13" t="s">
        <v>878</v>
      </c>
      <c r="C413" s="61">
        <v>0</v>
      </c>
      <c r="Q413" s="14"/>
    </row>
    <row r="414" spans="1:17" x14ac:dyDescent="0.25">
      <c r="B414" s="13" t="s">
        <v>1977</v>
      </c>
      <c r="C414" s="61">
        <v>0</v>
      </c>
      <c r="Q414" s="14"/>
    </row>
    <row r="415" spans="1:17" x14ac:dyDescent="0.25">
      <c r="A415" s="14"/>
      <c r="B415" s="13" t="s">
        <v>2120</v>
      </c>
      <c r="C415" s="61">
        <v>0</v>
      </c>
      <c r="Q415" s="14"/>
    </row>
    <row r="416" spans="1:17" x14ac:dyDescent="0.25">
      <c r="A416" s="14"/>
      <c r="B416" s="13" t="s">
        <v>3759</v>
      </c>
      <c r="C416" s="61">
        <v>0</v>
      </c>
      <c r="Q416" s="14"/>
    </row>
    <row r="417" spans="1:17" x14ac:dyDescent="0.25">
      <c r="A417" s="14"/>
      <c r="B417" s="13" t="s">
        <v>1691</v>
      </c>
      <c r="C417" s="61">
        <v>0</v>
      </c>
      <c r="D417" s="14"/>
      <c r="K417" s="14"/>
      <c r="Q417" s="14"/>
    </row>
    <row r="418" spans="1:17" x14ac:dyDescent="0.25">
      <c r="A418" s="14"/>
      <c r="B418" s="13" t="s">
        <v>804</v>
      </c>
      <c r="C418" s="61">
        <v>0</v>
      </c>
      <c r="D418" s="14"/>
      <c r="K418" s="14"/>
      <c r="Q418" s="14"/>
    </row>
    <row r="419" spans="1:17" x14ac:dyDescent="0.25">
      <c r="A419" s="14" t="s">
        <v>2457</v>
      </c>
      <c r="B419" s="13" t="s">
        <v>2456</v>
      </c>
      <c r="C419" s="61">
        <f>H269+SUM(H111:H112)</f>
        <v>3</v>
      </c>
      <c r="D419" s="14"/>
      <c r="K419" s="14"/>
      <c r="Q419" s="14"/>
    </row>
    <row r="420" spans="1:17" x14ac:dyDescent="0.25">
      <c r="A420" s="14"/>
      <c r="B420" s="13" t="s">
        <v>984</v>
      </c>
      <c r="C420" s="61">
        <v>0</v>
      </c>
      <c r="D420" s="14"/>
      <c r="K420" s="14"/>
      <c r="Q420" s="14"/>
    </row>
    <row r="421" spans="1:17" x14ac:dyDescent="0.25">
      <c r="A421" s="14"/>
      <c r="B421" s="13" t="s">
        <v>785</v>
      </c>
      <c r="C421" s="61">
        <f>H113+SUM(H270:H272)</f>
        <v>9</v>
      </c>
      <c r="D421" s="14"/>
      <c r="K421" s="14"/>
      <c r="Q421" s="14"/>
    </row>
    <row r="422" spans="1:17" x14ac:dyDescent="0.25">
      <c r="A422" s="14"/>
      <c r="B422" s="13" t="s">
        <v>795</v>
      </c>
      <c r="C422" s="61">
        <f>SUM(H114:H121)+SUM(H273:H275)</f>
        <v>90</v>
      </c>
      <c r="D422" s="14"/>
      <c r="K422" s="14"/>
      <c r="Q422" s="14"/>
    </row>
    <row r="423" spans="1:17" x14ac:dyDescent="0.25">
      <c r="A423" s="14"/>
      <c r="B423" s="13" t="s">
        <v>989</v>
      </c>
      <c r="C423" s="61">
        <v>0</v>
      </c>
      <c r="D423" s="14"/>
      <c r="K423" s="14"/>
      <c r="Q423" s="14"/>
    </row>
    <row r="424" spans="1:17" x14ac:dyDescent="0.25">
      <c r="A424" s="14"/>
      <c r="B424" s="13" t="s">
        <v>1671</v>
      </c>
      <c r="C424" s="61">
        <v>0</v>
      </c>
      <c r="D424" s="14"/>
      <c r="K424" s="14"/>
      <c r="Q424" s="14"/>
    </row>
    <row r="425" spans="1:17" x14ac:dyDescent="0.25">
      <c r="A425" s="14"/>
      <c r="B425" s="13" t="s">
        <v>1677</v>
      </c>
      <c r="C425" s="61">
        <v>0</v>
      </c>
      <c r="D425" s="14"/>
      <c r="K425" s="14"/>
      <c r="Q425" s="14"/>
    </row>
    <row r="426" spans="1:17" x14ac:dyDescent="0.25">
      <c r="A426" s="14"/>
      <c r="B426" s="13" t="s">
        <v>772</v>
      </c>
      <c r="C426" s="61">
        <v>0</v>
      </c>
      <c r="D426" s="14"/>
      <c r="K426" s="14"/>
      <c r="Q426" s="14"/>
    </row>
    <row r="427" spans="1:17" x14ac:dyDescent="0.25">
      <c r="A427" s="14"/>
      <c r="B427" s="13" t="s">
        <v>1245</v>
      </c>
      <c r="C427" s="61">
        <v>0</v>
      </c>
      <c r="D427" s="14"/>
      <c r="K427" s="14"/>
      <c r="Q427" s="14"/>
    </row>
    <row r="428" spans="1:17" x14ac:dyDescent="0.25">
      <c r="A428" s="14"/>
      <c r="B428" s="13" t="s">
        <v>789</v>
      </c>
      <c r="C428" s="61">
        <v>0</v>
      </c>
      <c r="D428" s="14"/>
      <c r="K428" s="14"/>
      <c r="Q428" s="14"/>
    </row>
    <row r="429" spans="1:17" x14ac:dyDescent="0.25">
      <c r="A429" s="14"/>
      <c r="B429" s="13" t="s">
        <v>3861</v>
      </c>
      <c r="C429" s="61">
        <v>0</v>
      </c>
      <c r="D429" s="14"/>
      <c r="K429" s="14"/>
      <c r="Q429" s="14"/>
    </row>
    <row r="430" spans="1:17" x14ac:dyDescent="0.25">
      <c r="A430" s="14"/>
      <c r="B430" s="13" t="s">
        <v>875</v>
      </c>
      <c r="C430" s="61">
        <v>0</v>
      </c>
      <c r="D430" s="14"/>
      <c r="K430" s="14"/>
      <c r="Q430" s="14"/>
    </row>
    <row r="431" spans="1:17" x14ac:dyDescent="0.25">
      <c r="A431" s="14"/>
      <c r="D431" s="14"/>
      <c r="K431" s="14"/>
      <c r="Q431" s="14"/>
    </row>
    <row r="432" spans="1:17" x14ac:dyDescent="0.25">
      <c r="A432" s="14"/>
      <c r="B432" s="12" t="s">
        <v>771</v>
      </c>
      <c r="C432" s="61">
        <f>C433+C439+H266+H276</f>
        <v>181</v>
      </c>
      <c r="D432" s="14"/>
      <c r="K432" s="14"/>
      <c r="Q432" s="14"/>
    </row>
    <row r="433" spans="1:17" x14ac:dyDescent="0.25">
      <c r="A433" s="14"/>
      <c r="B433" s="13" t="s">
        <v>2251</v>
      </c>
      <c r="C433" s="61">
        <f>C398+C401+H267</f>
        <v>22</v>
      </c>
      <c r="D433" s="14"/>
      <c r="K433" s="14"/>
      <c r="Q433" s="14"/>
    </row>
    <row r="434" spans="1:17" x14ac:dyDescent="0.25">
      <c r="A434" s="14"/>
      <c r="B434" s="13" t="s">
        <v>1351</v>
      </c>
      <c r="C434" s="61">
        <f>C422</f>
        <v>90</v>
      </c>
      <c r="D434" s="14"/>
      <c r="K434" s="14"/>
      <c r="Q434" s="14"/>
    </row>
    <row r="435" spans="1:17" x14ac:dyDescent="0.25">
      <c r="A435" s="14"/>
      <c r="B435" s="13" t="s">
        <v>1352</v>
      </c>
      <c r="C435" s="61">
        <f>C421</f>
        <v>9</v>
      </c>
      <c r="D435" s="14"/>
      <c r="K435" s="14"/>
      <c r="Q435" s="14"/>
    </row>
    <row r="436" spans="1:17" x14ac:dyDescent="0.25">
      <c r="A436" s="14"/>
      <c r="B436" s="13" t="s">
        <v>1353</v>
      </c>
      <c r="C436" s="61">
        <v>0</v>
      </c>
      <c r="D436" s="14"/>
      <c r="K436" s="14"/>
      <c r="Q436" s="14"/>
    </row>
    <row r="437" spans="1:17" x14ac:dyDescent="0.25">
      <c r="A437" s="14"/>
      <c r="B437" s="13" t="s">
        <v>1354</v>
      </c>
      <c r="C437" s="61">
        <v>0</v>
      </c>
      <c r="D437" s="14"/>
      <c r="K437" s="14"/>
      <c r="Q437" s="14"/>
    </row>
    <row r="438" spans="1:17" x14ac:dyDescent="0.25">
      <c r="A438" s="14"/>
      <c r="B438" s="13" t="s">
        <v>1355</v>
      </c>
      <c r="C438" s="61">
        <f>C419</f>
        <v>3</v>
      </c>
      <c r="D438" s="14"/>
      <c r="K438" s="14"/>
      <c r="Q438" s="14"/>
    </row>
    <row r="439" spans="1:17" x14ac:dyDescent="0.25">
      <c r="A439" s="14"/>
      <c r="B439" s="13" t="s">
        <v>2250</v>
      </c>
      <c r="C439" s="61">
        <f>SUM(C434:C438)</f>
        <v>102</v>
      </c>
      <c r="D439" s="14"/>
      <c r="K439" s="14"/>
      <c r="Q439" s="14"/>
    </row>
    <row r="440" spans="1:17" x14ac:dyDescent="0.25">
      <c r="A440" s="14"/>
      <c r="D440" s="14"/>
      <c r="K440" s="14"/>
      <c r="Q440" s="14"/>
    </row>
    <row r="441" spans="1:17" x14ac:dyDescent="0.25">
      <c r="A441" s="14"/>
      <c r="B441" s="52" t="s">
        <v>2252</v>
      </c>
      <c r="C441" s="61">
        <f>SUM(H122:H124)+H126+SUM(H128:H129)+H236+H238</f>
        <v>174</v>
      </c>
      <c r="D441" s="14"/>
      <c r="K441" s="14"/>
      <c r="Q441" s="14"/>
    </row>
    <row r="442" spans="1:17" x14ac:dyDescent="0.25">
      <c r="A442" s="14"/>
      <c r="B442" s="52"/>
      <c r="D442" s="14"/>
      <c r="K442" s="14"/>
      <c r="Q442" s="14"/>
    </row>
    <row r="443" spans="1:17" x14ac:dyDescent="0.25">
      <c r="A443" s="14"/>
      <c r="B443" s="12" t="s">
        <v>2253</v>
      </c>
      <c r="C443" s="61">
        <f>C337+C376+C391+C432+C441</f>
        <v>1253</v>
      </c>
      <c r="D443" s="14"/>
      <c r="K443" s="14"/>
      <c r="Q443" s="14"/>
    </row>
    <row r="444" spans="1:17" x14ac:dyDescent="0.25">
      <c r="A444" s="14"/>
      <c r="D444" s="14"/>
      <c r="K444" s="14"/>
      <c r="Q444" s="14"/>
    </row>
    <row r="445" spans="1:17" x14ac:dyDescent="0.25">
      <c r="A445" s="14"/>
      <c r="B445" s="13" t="s">
        <v>5756</v>
      </c>
      <c r="C445" s="61">
        <f>C286+C288+C292+C329+C332</f>
        <v>43</v>
      </c>
      <c r="D445" s="14"/>
      <c r="K445" s="14"/>
      <c r="Q445" s="14"/>
    </row>
    <row r="446" spans="1:17" x14ac:dyDescent="0.25">
      <c r="A446" s="14"/>
      <c r="B446" s="13" t="s">
        <v>1272</v>
      </c>
      <c r="C446" s="61">
        <f>C337-C445</f>
        <v>715.5</v>
      </c>
      <c r="D446" s="14"/>
      <c r="K446" s="14"/>
      <c r="Q446" s="14"/>
    </row>
    <row r="447" spans="1:17" x14ac:dyDescent="0.25">
      <c r="A447" s="14"/>
      <c r="D447" s="14"/>
      <c r="K447" s="14"/>
      <c r="Q447" s="14"/>
    </row>
    <row r="448" spans="1:17" x14ac:dyDescent="0.25">
      <c r="A448" s="14"/>
      <c r="B448" s="13" t="s">
        <v>1359</v>
      </c>
      <c r="C448" s="61">
        <f>C445</f>
        <v>43</v>
      </c>
      <c r="D448" s="14"/>
      <c r="K448" s="14"/>
      <c r="Q448" s="14"/>
    </row>
    <row r="449" spans="1:17" x14ac:dyDescent="0.25">
      <c r="A449" s="14"/>
      <c r="B449" s="13" t="s">
        <v>1891</v>
      </c>
      <c r="C449" s="61">
        <f>C443-C445</f>
        <v>1210</v>
      </c>
      <c r="D449" s="14"/>
      <c r="K449" s="14"/>
      <c r="Q449" s="14"/>
    </row>
    <row r="450" spans="1:17" x14ac:dyDescent="0.25">
      <c r="A450" s="14"/>
      <c r="D450" s="14"/>
      <c r="K450" s="14"/>
      <c r="Q450" s="14"/>
    </row>
    <row r="451" spans="1:17" x14ac:dyDescent="0.25">
      <c r="A451" s="14"/>
      <c r="B451" s="13" t="s">
        <v>11</v>
      </c>
      <c r="C451" s="61">
        <f>C337</f>
        <v>758.5</v>
      </c>
      <c r="D451" s="14"/>
      <c r="K451" s="14"/>
      <c r="Q451" s="14"/>
    </row>
    <row r="452" spans="1:17" x14ac:dyDescent="0.25">
      <c r="A452" s="14"/>
      <c r="B452" s="13" t="s">
        <v>35</v>
      </c>
      <c r="C452" s="61">
        <f>C376</f>
        <v>99</v>
      </c>
      <c r="D452" s="14"/>
      <c r="K452" s="14"/>
      <c r="Q452" s="14"/>
    </row>
    <row r="453" spans="1:17" x14ac:dyDescent="0.25">
      <c r="A453" s="14"/>
      <c r="B453" s="13" t="s">
        <v>56</v>
      </c>
      <c r="C453" s="61">
        <f>C391</f>
        <v>40.5</v>
      </c>
      <c r="D453" s="14"/>
      <c r="K453" s="14"/>
      <c r="Q453" s="14"/>
    </row>
    <row r="454" spans="1:17" x14ac:dyDescent="0.25">
      <c r="A454" s="14"/>
      <c r="B454" s="13" t="s">
        <v>771</v>
      </c>
      <c r="C454" s="61">
        <f>C432</f>
        <v>181</v>
      </c>
      <c r="D454" s="14"/>
      <c r="K454" s="14"/>
      <c r="Q454" s="14"/>
    </row>
    <row r="455" spans="1:17" x14ac:dyDescent="0.25">
      <c r="A455" s="14"/>
      <c r="B455" s="14"/>
      <c r="D455" s="14"/>
      <c r="K455" s="14"/>
      <c r="Q455" s="14"/>
    </row>
    <row r="456" spans="1:17" ht="12" thickBot="1" x14ac:dyDescent="0.3"/>
    <row r="457" spans="1:17" ht="12.75" x14ac:dyDescent="0.25">
      <c r="B457" s="85" t="s">
        <v>5449</v>
      </c>
      <c r="C457" s="88">
        <v>41.5</v>
      </c>
    </row>
    <row r="458" spans="1:17" ht="12.75" x14ac:dyDescent="0.25">
      <c r="B458" s="86" t="s">
        <v>5450</v>
      </c>
      <c r="C458" s="89">
        <v>21.5</v>
      </c>
    </row>
    <row r="459" spans="1:17" ht="12.75" x14ac:dyDescent="0.25">
      <c r="B459" s="86" t="s">
        <v>5451</v>
      </c>
      <c r="C459" s="89">
        <v>85</v>
      </c>
    </row>
    <row r="460" spans="1:17" ht="12.75" x14ac:dyDescent="0.25">
      <c r="B460" s="86" t="s">
        <v>5452</v>
      </c>
      <c r="C460" s="89">
        <v>419</v>
      </c>
    </row>
    <row r="461" spans="1:17" ht="13.5" thickBot="1" x14ac:dyDescent="0.3">
      <c r="B461" s="87" t="s">
        <v>5453</v>
      </c>
      <c r="C461" s="90">
        <v>164.5</v>
      </c>
    </row>
    <row r="462" spans="1:17" ht="12.75" x14ac:dyDescent="0.25">
      <c r="B462" s="85" t="s">
        <v>5454</v>
      </c>
      <c r="C462" s="88">
        <v>65</v>
      </c>
    </row>
    <row r="463" spans="1:17" ht="12.75" x14ac:dyDescent="0.25">
      <c r="B463" s="86" t="s">
        <v>5455</v>
      </c>
      <c r="C463" s="89">
        <v>19</v>
      </c>
    </row>
    <row r="464" spans="1:17" ht="12.75" x14ac:dyDescent="0.25">
      <c r="B464" s="86" t="s">
        <v>5456</v>
      </c>
      <c r="C464" s="89">
        <v>3</v>
      </c>
    </row>
    <row r="465" spans="2:3" ht="12.75" x14ac:dyDescent="0.25">
      <c r="B465" s="86" t="s">
        <v>5457</v>
      </c>
      <c r="C465" s="89">
        <v>0</v>
      </c>
    </row>
    <row r="466" spans="2:3" ht="13.5" thickBot="1" x14ac:dyDescent="0.3">
      <c r="B466" s="87" t="s">
        <v>5458</v>
      </c>
      <c r="C466" s="90">
        <v>2</v>
      </c>
    </row>
    <row r="467" spans="2:3" ht="12.75" x14ac:dyDescent="0.25">
      <c r="B467" s="85" t="s">
        <v>923</v>
      </c>
      <c r="C467" s="88">
        <v>11.5</v>
      </c>
    </row>
    <row r="468" spans="2:3" ht="12.75" x14ac:dyDescent="0.25">
      <c r="B468" s="86" t="s">
        <v>924</v>
      </c>
      <c r="C468" s="89">
        <v>12.5</v>
      </c>
    </row>
    <row r="469" spans="2:3" ht="12.75" x14ac:dyDescent="0.25">
      <c r="B469" s="86" t="s">
        <v>925</v>
      </c>
      <c r="C469" s="89">
        <v>0.5</v>
      </c>
    </row>
    <row r="470" spans="2:3" ht="12.75" x14ac:dyDescent="0.25">
      <c r="B470" s="86" t="s">
        <v>926</v>
      </c>
      <c r="C470" s="89">
        <v>6.5</v>
      </c>
    </row>
    <row r="471" spans="2:3" ht="13.5" thickBot="1" x14ac:dyDescent="0.3">
      <c r="B471" s="87" t="s">
        <v>629</v>
      </c>
      <c r="C471" s="90">
        <v>0</v>
      </c>
    </row>
    <row r="472" spans="2:3" ht="12.75" x14ac:dyDescent="0.25">
      <c r="B472" s="85" t="s">
        <v>776</v>
      </c>
      <c r="C472" s="88">
        <v>22</v>
      </c>
    </row>
    <row r="473" spans="2:3" ht="12.75" x14ac:dyDescent="0.25">
      <c r="B473" s="86" t="s">
        <v>1351</v>
      </c>
      <c r="C473" s="89">
        <v>90</v>
      </c>
    </row>
    <row r="474" spans="2:3" ht="12.75" x14ac:dyDescent="0.25">
      <c r="B474" s="86" t="s">
        <v>1352</v>
      </c>
      <c r="C474" s="89">
        <v>9</v>
      </c>
    </row>
    <row r="475" spans="2:3" ht="12.75" x14ac:dyDescent="0.25">
      <c r="B475" s="86" t="s">
        <v>1353</v>
      </c>
      <c r="C475" s="89">
        <v>0</v>
      </c>
    </row>
    <row r="476" spans="2:3" ht="12.75" x14ac:dyDescent="0.25">
      <c r="B476" s="86" t="s">
        <v>1354</v>
      </c>
      <c r="C476" s="89">
        <v>0</v>
      </c>
    </row>
    <row r="477" spans="2:3" ht="13.5" thickBot="1" x14ac:dyDescent="0.3">
      <c r="B477" s="87" t="s">
        <v>1880</v>
      </c>
      <c r="C477" s="90">
        <v>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17"/>
  <sheetViews>
    <sheetView zoomScale="93" zoomScaleNormal="100" workbookViewId="0">
      <pane ySplit="1" topLeftCell="A695" activePane="bottomLeft" state="frozen"/>
      <selection pane="bottomLeft" activeCell="C698" sqref="C698"/>
    </sheetView>
  </sheetViews>
  <sheetFormatPr defaultRowHeight="11.25" x14ac:dyDescent="0.25"/>
  <cols>
    <col min="1" max="1" width="13.28515625" style="11" customWidth="1"/>
    <col min="2" max="2" width="17.140625" style="13" customWidth="1"/>
    <col min="3" max="3" width="21.140625" style="61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4" customWidth="1"/>
    <col min="13" max="13" width="6.85546875" style="14" customWidth="1"/>
    <col min="14" max="14" width="6.5703125" style="14" customWidth="1"/>
    <col min="15" max="16" width="9.140625" style="14"/>
    <col min="17" max="17" width="13.85546875" style="13" customWidth="1"/>
    <col min="18" max="16384" width="9.140625" style="14"/>
  </cols>
  <sheetData>
    <row r="1" spans="1:19" s="11" customFormat="1" ht="54.75" customHeight="1" x14ac:dyDescent="0.25">
      <c r="A1" s="11" t="s">
        <v>1267</v>
      </c>
      <c r="B1" s="12" t="s">
        <v>2</v>
      </c>
      <c r="C1" s="82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4921</v>
      </c>
      <c r="B2" s="13" t="s">
        <v>532</v>
      </c>
      <c r="C2" s="61" t="s">
        <v>724</v>
      </c>
      <c r="D2" s="13" t="s">
        <v>26</v>
      </c>
      <c r="E2" s="14" t="s">
        <v>725</v>
      </c>
      <c r="F2" s="14" t="s">
        <v>11</v>
      </c>
      <c r="G2" s="13"/>
      <c r="H2" s="14">
        <f t="shared" ref="H2:H13" si="0">G2+I2</f>
        <v>1</v>
      </c>
      <c r="I2" s="13">
        <v>1</v>
      </c>
      <c r="J2" s="13">
        <v>1</v>
      </c>
      <c r="K2" s="13" t="s">
        <v>849</v>
      </c>
      <c r="L2" s="14" t="s">
        <v>119</v>
      </c>
      <c r="M2" s="14">
        <v>735</v>
      </c>
      <c r="N2" s="14">
        <v>572</v>
      </c>
      <c r="O2" s="14">
        <v>373500</v>
      </c>
      <c r="P2" s="14">
        <v>157200</v>
      </c>
      <c r="Q2" s="13"/>
      <c r="R2" s="14"/>
      <c r="S2" s="14"/>
    </row>
    <row r="3" spans="1:19" ht="25.5" customHeight="1" x14ac:dyDescent="0.25">
      <c r="A3" s="11" t="s">
        <v>4921</v>
      </c>
      <c r="B3" s="13" t="s">
        <v>411</v>
      </c>
      <c r="C3" s="61" t="s">
        <v>412</v>
      </c>
      <c r="D3" s="13" t="s">
        <v>18</v>
      </c>
      <c r="E3" s="14" t="s">
        <v>413</v>
      </c>
      <c r="F3" s="14" t="s">
        <v>11</v>
      </c>
      <c r="G3" s="13"/>
      <c r="H3" s="14">
        <f t="shared" si="0"/>
        <v>1</v>
      </c>
      <c r="I3" s="13">
        <v>1</v>
      </c>
      <c r="J3" s="13">
        <v>1</v>
      </c>
      <c r="K3" s="13" t="s">
        <v>1309</v>
      </c>
      <c r="L3" s="14" t="s">
        <v>177</v>
      </c>
      <c r="M3" s="14">
        <v>615</v>
      </c>
      <c r="N3" s="14">
        <v>2460</v>
      </c>
      <c r="O3" s="14">
        <v>506150</v>
      </c>
      <c r="P3" s="14">
        <v>224600</v>
      </c>
      <c r="Q3" s="14"/>
    </row>
    <row r="4" spans="1:19" x14ac:dyDescent="0.25">
      <c r="A4" s="11" t="s">
        <v>4921</v>
      </c>
      <c r="B4" s="13" t="s">
        <v>297</v>
      </c>
      <c r="C4" s="61" t="s">
        <v>539</v>
      </c>
      <c r="D4" s="13" t="s">
        <v>26</v>
      </c>
      <c r="E4" s="14" t="s">
        <v>311</v>
      </c>
      <c r="F4" s="14" t="s">
        <v>11</v>
      </c>
      <c r="G4" s="13"/>
      <c r="H4" s="14">
        <f t="shared" si="0"/>
        <v>2</v>
      </c>
      <c r="I4" s="13">
        <v>2</v>
      </c>
      <c r="J4" s="13">
        <v>2</v>
      </c>
      <c r="K4" s="13" t="s">
        <v>4963</v>
      </c>
      <c r="L4" s="14" t="s">
        <v>110</v>
      </c>
      <c r="M4" s="14">
        <v>3232</v>
      </c>
      <c r="N4" s="14">
        <v>8338</v>
      </c>
      <c r="O4" s="14">
        <v>432320</v>
      </c>
      <c r="P4" s="14">
        <v>183380</v>
      </c>
      <c r="Q4" s="14"/>
    </row>
    <row r="5" spans="1:19" x14ac:dyDescent="0.25">
      <c r="A5" s="11" t="s">
        <v>4921</v>
      </c>
      <c r="B5" s="13" t="s">
        <v>297</v>
      </c>
      <c r="C5" s="61" t="s">
        <v>308</v>
      </c>
      <c r="D5" s="13" t="s">
        <v>310</v>
      </c>
      <c r="E5" s="14" t="s">
        <v>311</v>
      </c>
      <c r="F5" s="14" t="s">
        <v>11</v>
      </c>
      <c r="G5" s="13"/>
      <c r="H5" s="14">
        <f t="shared" si="0"/>
        <v>1</v>
      </c>
      <c r="I5" s="13">
        <v>1</v>
      </c>
      <c r="J5" s="13">
        <v>1</v>
      </c>
      <c r="K5" s="13" t="s">
        <v>486</v>
      </c>
      <c r="L5" s="14" t="s">
        <v>110</v>
      </c>
      <c r="M5" s="14">
        <v>6326</v>
      </c>
      <c r="N5" s="14">
        <v>7590</v>
      </c>
      <c r="O5" s="14">
        <v>463260</v>
      </c>
      <c r="P5" s="14">
        <v>175900</v>
      </c>
      <c r="Q5" s="14"/>
    </row>
    <row r="6" spans="1:19" x14ac:dyDescent="0.25">
      <c r="A6" s="11" t="s">
        <v>4921</v>
      </c>
      <c r="B6" s="13" t="s">
        <v>297</v>
      </c>
      <c r="C6" s="61" t="s">
        <v>5016</v>
      </c>
      <c r="D6" s="13" t="s">
        <v>39</v>
      </c>
      <c r="E6" s="14" t="s">
        <v>5016</v>
      </c>
      <c r="F6" s="14" t="s">
        <v>11</v>
      </c>
      <c r="G6" s="13"/>
      <c r="H6" s="14">
        <f>G6+I6</f>
        <v>2</v>
      </c>
      <c r="I6" s="13">
        <v>2</v>
      </c>
      <c r="J6" s="13">
        <v>2</v>
      </c>
      <c r="K6" s="13" t="s">
        <v>5018</v>
      </c>
      <c r="L6" s="14" t="s">
        <v>110</v>
      </c>
      <c r="M6" s="14">
        <v>757</v>
      </c>
      <c r="N6" s="14">
        <v>755</v>
      </c>
      <c r="O6" s="14">
        <v>475700</v>
      </c>
      <c r="P6" s="14">
        <v>175500</v>
      </c>
      <c r="Q6" s="14"/>
    </row>
    <row r="7" spans="1:19" ht="33.75" x14ac:dyDescent="0.25">
      <c r="A7" s="11" t="s">
        <v>4921</v>
      </c>
      <c r="B7" s="13" t="s">
        <v>76</v>
      </c>
      <c r="C7" s="61" t="s">
        <v>330</v>
      </c>
      <c r="D7" s="13" t="s">
        <v>4474</v>
      </c>
      <c r="E7" s="14" t="s">
        <v>1281</v>
      </c>
      <c r="F7" s="14" t="s">
        <v>11</v>
      </c>
      <c r="G7" s="13">
        <v>25</v>
      </c>
      <c r="H7" s="14">
        <f>G7+I7</f>
        <v>25</v>
      </c>
      <c r="I7" s="13"/>
      <c r="J7" s="13">
        <v>9</v>
      </c>
      <c r="K7" s="13" t="s">
        <v>5083</v>
      </c>
      <c r="L7" s="14" t="s">
        <v>177</v>
      </c>
      <c r="M7" s="14">
        <v>193</v>
      </c>
      <c r="N7" s="14">
        <v>983</v>
      </c>
      <c r="O7" s="14">
        <v>519300</v>
      </c>
      <c r="P7" s="14">
        <v>298300</v>
      </c>
      <c r="Q7" s="14"/>
    </row>
    <row r="8" spans="1:19" ht="33.75" x14ac:dyDescent="0.25">
      <c r="A8" s="11" t="s">
        <v>4921</v>
      </c>
      <c r="B8" s="13" t="s">
        <v>76</v>
      </c>
      <c r="C8" s="61" t="s">
        <v>179</v>
      </c>
      <c r="D8" s="13" t="s">
        <v>3167</v>
      </c>
      <c r="E8" s="13" t="s">
        <v>176</v>
      </c>
      <c r="F8" s="14" t="s">
        <v>11</v>
      </c>
      <c r="G8" s="13">
        <v>5</v>
      </c>
      <c r="H8" s="14">
        <f t="shared" si="0"/>
        <v>5</v>
      </c>
      <c r="J8" s="14">
        <v>3</v>
      </c>
      <c r="K8" s="13" t="s">
        <v>5050</v>
      </c>
      <c r="L8" s="14" t="s">
        <v>177</v>
      </c>
      <c r="M8" s="14">
        <v>208</v>
      </c>
      <c r="N8" s="14">
        <v>989</v>
      </c>
      <c r="O8" s="14">
        <v>520800</v>
      </c>
      <c r="P8" s="14">
        <v>298900</v>
      </c>
    </row>
    <row r="9" spans="1:19" ht="33.75" x14ac:dyDescent="0.25">
      <c r="A9" s="11" t="s">
        <v>4921</v>
      </c>
      <c r="B9" s="13" t="s">
        <v>76</v>
      </c>
      <c r="C9" s="61" t="s">
        <v>3369</v>
      </c>
      <c r="D9" s="13" t="s">
        <v>4698</v>
      </c>
      <c r="E9" s="13" t="s">
        <v>176</v>
      </c>
      <c r="F9" s="14" t="s">
        <v>11</v>
      </c>
      <c r="G9" s="13"/>
      <c r="H9" s="14">
        <f t="shared" si="0"/>
        <v>3</v>
      </c>
      <c r="I9" s="14">
        <v>3</v>
      </c>
      <c r="J9" s="14">
        <v>3</v>
      </c>
      <c r="K9" s="13" t="s">
        <v>5017</v>
      </c>
      <c r="L9" s="14" t="s">
        <v>177</v>
      </c>
      <c r="M9" s="14">
        <v>208</v>
      </c>
      <c r="N9" s="14">
        <v>989</v>
      </c>
      <c r="O9" s="14">
        <v>520800</v>
      </c>
      <c r="P9" s="14">
        <v>298900</v>
      </c>
    </row>
    <row r="10" spans="1:19" ht="22.5" x14ac:dyDescent="0.25">
      <c r="A10" s="11" t="s">
        <v>4921</v>
      </c>
      <c r="B10" s="13" t="s">
        <v>1424</v>
      </c>
      <c r="C10" s="61" t="s">
        <v>1425</v>
      </c>
      <c r="D10" s="13" t="s">
        <v>1426</v>
      </c>
      <c r="E10" s="13" t="s">
        <v>1427</v>
      </c>
      <c r="F10" s="14" t="s">
        <v>11</v>
      </c>
      <c r="G10" s="13"/>
      <c r="H10" s="14">
        <f t="shared" si="0"/>
        <v>1</v>
      </c>
      <c r="I10" s="14">
        <v>1</v>
      </c>
      <c r="J10" s="14">
        <v>1</v>
      </c>
      <c r="K10" s="13" t="s">
        <v>4215</v>
      </c>
      <c r="L10" s="14" t="s">
        <v>189</v>
      </c>
      <c r="M10" s="14">
        <v>553</v>
      </c>
      <c r="N10" s="14">
        <v>694</v>
      </c>
      <c r="O10" s="14">
        <v>355300</v>
      </c>
      <c r="P10" s="14">
        <v>369400</v>
      </c>
      <c r="Q10" s="14"/>
    </row>
    <row r="11" spans="1:19" ht="22.5" x14ac:dyDescent="0.25">
      <c r="A11" s="11" t="s">
        <v>4921</v>
      </c>
      <c r="B11" s="13" t="s">
        <v>42</v>
      </c>
      <c r="C11" s="61" t="s">
        <v>142</v>
      </c>
      <c r="D11" s="13" t="s">
        <v>3943</v>
      </c>
      <c r="E11" s="14" t="s">
        <v>143</v>
      </c>
      <c r="F11" s="14" t="s">
        <v>11</v>
      </c>
      <c r="G11" s="13">
        <v>2</v>
      </c>
      <c r="H11" s="14">
        <f t="shared" si="0"/>
        <v>4</v>
      </c>
      <c r="I11" s="14">
        <v>2</v>
      </c>
      <c r="J11" s="14">
        <v>4</v>
      </c>
      <c r="K11" s="13" t="s">
        <v>4943</v>
      </c>
      <c r="L11" s="14" t="s">
        <v>144</v>
      </c>
      <c r="M11" s="14">
        <v>685</v>
      </c>
      <c r="N11" s="14">
        <v>407</v>
      </c>
      <c r="O11" s="14">
        <v>168500</v>
      </c>
      <c r="P11" s="14">
        <v>40700</v>
      </c>
      <c r="Q11" s="14"/>
    </row>
    <row r="12" spans="1:19" ht="33.75" x14ac:dyDescent="0.25">
      <c r="A12" s="11" t="s">
        <v>4921</v>
      </c>
      <c r="B12" s="13" t="s">
        <v>42</v>
      </c>
      <c r="C12" s="61" t="s">
        <v>573</v>
      </c>
      <c r="D12" s="13" t="s">
        <v>3840</v>
      </c>
      <c r="E12" s="14" t="s">
        <v>43</v>
      </c>
      <c r="F12" s="14" t="s">
        <v>11</v>
      </c>
      <c r="G12" s="13"/>
      <c r="H12" s="14">
        <f t="shared" si="0"/>
        <v>7</v>
      </c>
      <c r="I12" s="14">
        <v>7</v>
      </c>
      <c r="J12" s="14">
        <v>5</v>
      </c>
      <c r="K12" s="13" t="s">
        <v>5197</v>
      </c>
      <c r="L12" s="14" t="s">
        <v>144</v>
      </c>
      <c r="M12" s="14">
        <v>601</v>
      </c>
      <c r="N12" s="14">
        <v>395</v>
      </c>
      <c r="O12" s="14">
        <v>160100</v>
      </c>
      <c r="P12" s="14">
        <v>39500</v>
      </c>
      <c r="Q12" s="14"/>
    </row>
    <row r="13" spans="1:19" ht="22.5" x14ac:dyDescent="0.25">
      <c r="A13" s="11" t="s">
        <v>4921</v>
      </c>
      <c r="B13" s="13" t="s">
        <v>42</v>
      </c>
      <c r="C13" s="61" t="s">
        <v>2488</v>
      </c>
      <c r="D13" s="13" t="s">
        <v>2489</v>
      </c>
      <c r="E13" s="14" t="s">
        <v>2490</v>
      </c>
      <c r="F13" s="14" t="s">
        <v>11</v>
      </c>
      <c r="G13" s="13"/>
      <c r="H13" s="14">
        <f t="shared" si="0"/>
        <v>2</v>
      </c>
      <c r="I13" s="14">
        <v>2</v>
      </c>
      <c r="J13" s="14">
        <v>2</v>
      </c>
      <c r="K13" s="13" t="s">
        <v>5184</v>
      </c>
      <c r="L13" s="14" t="s">
        <v>144</v>
      </c>
      <c r="M13" s="14">
        <v>87</v>
      </c>
      <c r="N13" s="14">
        <v>75</v>
      </c>
      <c r="O13" s="14">
        <v>187000</v>
      </c>
      <c r="P13" s="14">
        <v>75000</v>
      </c>
      <c r="Q13" s="14"/>
    </row>
    <row r="14" spans="1:19" x14ac:dyDescent="0.25">
      <c r="A14" s="11" t="s">
        <v>4921</v>
      </c>
      <c r="B14" s="13" t="s">
        <v>10</v>
      </c>
      <c r="C14" s="61" t="s">
        <v>4899</v>
      </c>
      <c r="D14" s="13" t="s">
        <v>39</v>
      </c>
      <c r="E14" s="13" t="s">
        <v>4900</v>
      </c>
      <c r="F14" s="14" t="s">
        <v>11</v>
      </c>
      <c r="G14" s="13"/>
      <c r="H14" s="14">
        <f>G14+I14</f>
        <v>1</v>
      </c>
      <c r="I14" s="14">
        <v>1</v>
      </c>
      <c r="J14" s="14">
        <v>1</v>
      </c>
      <c r="K14" s="13" t="s">
        <v>31</v>
      </c>
      <c r="L14" s="14" t="s">
        <v>431</v>
      </c>
      <c r="M14" s="14">
        <v>107</v>
      </c>
      <c r="N14" s="14">
        <v>869</v>
      </c>
      <c r="O14" s="14">
        <v>310700</v>
      </c>
      <c r="P14" s="14">
        <v>486900</v>
      </c>
      <c r="Q14" s="14"/>
    </row>
    <row r="15" spans="1:19" x14ac:dyDescent="0.25">
      <c r="A15" s="11" t="s">
        <v>4921</v>
      </c>
      <c r="B15" s="13" t="s">
        <v>10</v>
      </c>
      <c r="C15" s="61" t="s">
        <v>5030</v>
      </c>
      <c r="D15" s="13" t="s">
        <v>8</v>
      </c>
      <c r="E15" s="14" t="s">
        <v>5031</v>
      </c>
      <c r="F15" s="14" t="s">
        <v>11</v>
      </c>
      <c r="G15" s="13"/>
      <c r="H15" s="14">
        <f>G15+I15</f>
        <v>1</v>
      </c>
      <c r="I15" s="14">
        <v>1</v>
      </c>
      <c r="J15" s="14">
        <v>1</v>
      </c>
      <c r="K15" s="13" t="s">
        <v>3084</v>
      </c>
      <c r="L15" s="14" t="s">
        <v>166</v>
      </c>
      <c r="M15" s="14">
        <v>173</v>
      </c>
      <c r="N15" s="14">
        <v>23</v>
      </c>
      <c r="O15" s="14">
        <v>317300</v>
      </c>
      <c r="P15" s="14">
        <v>502300</v>
      </c>
      <c r="Q15" s="14"/>
    </row>
    <row r="16" spans="1:19" x14ac:dyDescent="0.25">
      <c r="A16" s="11" t="s">
        <v>4921</v>
      </c>
      <c r="B16" s="13" t="s">
        <v>10</v>
      </c>
      <c r="C16" s="61" t="s">
        <v>3035</v>
      </c>
      <c r="D16" s="13" t="s">
        <v>8</v>
      </c>
      <c r="E16" s="14" t="s">
        <v>9</v>
      </c>
      <c r="F16" s="14" t="s">
        <v>11</v>
      </c>
      <c r="G16" s="13"/>
      <c r="H16" s="14">
        <f t="shared" ref="H16:H27" si="1">G16+I16</f>
        <v>4</v>
      </c>
      <c r="I16" s="14">
        <v>4</v>
      </c>
      <c r="J16" s="14">
        <v>3</v>
      </c>
      <c r="K16" s="13" t="s">
        <v>5038</v>
      </c>
      <c r="L16" s="14" t="s">
        <v>166</v>
      </c>
      <c r="M16" s="14">
        <v>2913</v>
      </c>
      <c r="N16" s="14">
        <v>2363</v>
      </c>
      <c r="O16" s="14">
        <v>329130</v>
      </c>
      <c r="P16" s="14">
        <v>523630</v>
      </c>
      <c r="Q16" s="14"/>
    </row>
    <row r="17" spans="1:17" x14ac:dyDescent="0.25">
      <c r="A17" s="11" t="s">
        <v>4921</v>
      </c>
      <c r="B17" s="13" t="s">
        <v>10</v>
      </c>
      <c r="C17" s="61" t="s">
        <v>715</v>
      </c>
      <c r="D17" s="13" t="s">
        <v>39</v>
      </c>
      <c r="E17" s="13" t="s">
        <v>716</v>
      </c>
      <c r="F17" s="14" t="s">
        <v>11</v>
      </c>
      <c r="G17" s="13"/>
      <c r="H17" s="14">
        <f t="shared" si="1"/>
        <v>2</v>
      </c>
      <c r="I17" s="14">
        <v>2</v>
      </c>
      <c r="J17" s="14">
        <v>2</v>
      </c>
      <c r="K17" s="13" t="s">
        <v>4968</v>
      </c>
      <c r="L17" s="14" t="s">
        <v>166</v>
      </c>
      <c r="M17" s="14">
        <v>24</v>
      </c>
      <c r="N17" s="14">
        <v>708</v>
      </c>
      <c r="O17" s="14">
        <v>302400</v>
      </c>
      <c r="P17" s="14">
        <v>570800</v>
      </c>
      <c r="Q17" s="14"/>
    </row>
    <row r="18" spans="1:17" x14ac:dyDescent="0.25">
      <c r="A18" s="11" t="s">
        <v>4921</v>
      </c>
      <c r="B18" s="13" t="s">
        <v>10</v>
      </c>
      <c r="C18" s="61" t="s">
        <v>3038</v>
      </c>
      <c r="D18" s="13" t="s">
        <v>8</v>
      </c>
      <c r="E18" s="14" t="s">
        <v>9</v>
      </c>
      <c r="F18" s="14" t="s">
        <v>11</v>
      </c>
      <c r="G18" s="13"/>
      <c r="H18" s="14">
        <f t="shared" si="1"/>
        <v>1</v>
      </c>
      <c r="I18" s="14">
        <v>1</v>
      </c>
      <c r="J18" s="14">
        <v>1</v>
      </c>
      <c r="K18" s="13" t="s">
        <v>3084</v>
      </c>
      <c r="L18" s="14" t="s">
        <v>166</v>
      </c>
      <c r="M18" s="14">
        <v>176</v>
      </c>
      <c r="N18" s="14">
        <v>317</v>
      </c>
      <c r="O18" s="14">
        <v>317600</v>
      </c>
      <c r="P18" s="14">
        <v>531700</v>
      </c>
      <c r="Q18" s="14"/>
    </row>
    <row r="19" spans="1:17" ht="22.5" x14ac:dyDescent="0.25">
      <c r="A19" s="11" t="s">
        <v>4921</v>
      </c>
      <c r="B19" s="13" t="s">
        <v>10</v>
      </c>
      <c r="C19" s="61" t="s">
        <v>165</v>
      </c>
      <c r="D19" s="13" t="s">
        <v>825</v>
      </c>
      <c r="E19" s="14" t="s">
        <v>12</v>
      </c>
      <c r="F19" s="14" t="s">
        <v>11</v>
      </c>
      <c r="G19" s="13"/>
      <c r="H19" s="14">
        <f t="shared" si="1"/>
        <v>4</v>
      </c>
      <c r="I19" s="14">
        <v>4</v>
      </c>
      <c r="J19" s="14">
        <v>3</v>
      </c>
      <c r="K19" s="13" t="s">
        <v>5066</v>
      </c>
      <c r="L19" s="14" t="s">
        <v>166</v>
      </c>
      <c r="M19" s="14">
        <v>274</v>
      </c>
      <c r="N19" s="14">
        <v>72</v>
      </c>
      <c r="O19" s="14">
        <v>327400</v>
      </c>
      <c r="P19" s="14">
        <v>507200</v>
      </c>
      <c r="Q19" s="14"/>
    </row>
    <row r="20" spans="1:17" x14ac:dyDescent="0.25">
      <c r="A20" s="11" t="s">
        <v>4921</v>
      </c>
      <c r="B20" s="13" t="s">
        <v>10</v>
      </c>
      <c r="C20" s="61" t="s">
        <v>3036</v>
      </c>
      <c r="D20" s="13" t="s">
        <v>8</v>
      </c>
      <c r="E20" s="14" t="s">
        <v>3037</v>
      </c>
      <c r="F20" s="14" t="s">
        <v>11</v>
      </c>
      <c r="G20" s="13"/>
      <c r="H20" s="14">
        <f t="shared" si="1"/>
        <v>1</v>
      </c>
      <c r="I20" s="14">
        <v>1</v>
      </c>
      <c r="J20" s="14">
        <v>1</v>
      </c>
      <c r="K20" s="13" t="s">
        <v>1552</v>
      </c>
      <c r="L20" s="14" t="s">
        <v>166</v>
      </c>
      <c r="M20" s="14">
        <v>334</v>
      </c>
      <c r="N20" s="14">
        <v>238</v>
      </c>
      <c r="O20" s="14">
        <v>303340</v>
      </c>
      <c r="P20" s="14">
        <v>502380</v>
      </c>
      <c r="Q20" s="14"/>
    </row>
    <row r="21" spans="1:17" ht="22.5" x14ac:dyDescent="0.25">
      <c r="A21" s="11" t="s">
        <v>4921</v>
      </c>
      <c r="B21" s="13" t="s">
        <v>10</v>
      </c>
      <c r="C21" s="61" t="s">
        <v>5033</v>
      </c>
      <c r="D21" s="13" t="s">
        <v>5035</v>
      </c>
      <c r="E21" s="13" t="s">
        <v>5034</v>
      </c>
      <c r="F21" s="14" t="s">
        <v>11</v>
      </c>
      <c r="G21" s="13"/>
      <c r="H21" s="14">
        <f>G21+I21</f>
        <v>1</v>
      </c>
      <c r="I21" s="14">
        <v>1</v>
      </c>
      <c r="J21" s="14">
        <v>1</v>
      </c>
      <c r="K21" s="13" t="s">
        <v>1552</v>
      </c>
      <c r="L21" s="14" t="s">
        <v>166</v>
      </c>
      <c r="M21" s="14">
        <v>7337</v>
      </c>
      <c r="N21" s="14">
        <v>3384</v>
      </c>
      <c r="O21" s="14">
        <v>307337</v>
      </c>
      <c r="P21" s="14">
        <v>503384</v>
      </c>
      <c r="Q21" s="14"/>
    </row>
    <row r="22" spans="1:17" x14ac:dyDescent="0.25">
      <c r="A22" s="11" t="s">
        <v>4921</v>
      </c>
      <c r="B22" s="13" t="s">
        <v>10</v>
      </c>
      <c r="C22" s="61" t="s">
        <v>2432</v>
      </c>
      <c r="D22" s="13" t="s">
        <v>2433</v>
      </c>
      <c r="E22" s="14" t="s">
        <v>9</v>
      </c>
      <c r="F22" s="14" t="s">
        <v>11</v>
      </c>
      <c r="G22" s="13"/>
      <c r="H22" s="14">
        <f t="shared" si="1"/>
        <v>1</v>
      </c>
      <c r="I22" s="14">
        <v>1</v>
      </c>
      <c r="J22" s="14">
        <v>1</v>
      </c>
      <c r="K22" s="13" t="s">
        <v>3084</v>
      </c>
      <c r="L22" s="14" t="s">
        <v>166</v>
      </c>
      <c r="M22" s="14">
        <v>523</v>
      </c>
      <c r="N22" s="14">
        <v>283</v>
      </c>
      <c r="O22" s="14">
        <v>352300</v>
      </c>
      <c r="P22" s="14">
        <v>528300</v>
      </c>
      <c r="Q22" s="14"/>
    </row>
    <row r="23" spans="1:17" x14ac:dyDescent="0.25">
      <c r="A23" s="11" t="s">
        <v>4921</v>
      </c>
      <c r="B23" s="13" t="s">
        <v>10</v>
      </c>
      <c r="C23" s="61" t="s">
        <v>3032</v>
      </c>
      <c r="D23" s="13" t="s">
        <v>8</v>
      </c>
      <c r="E23" s="14" t="s">
        <v>9</v>
      </c>
      <c r="F23" s="14" t="s">
        <v>11</v>
      </c>
      <c r="G23" s="13"/>
      <c r="H23" s="14">
        <f t="shared" si="1"/>
        <v>1</v>
      </c>
      <c r="I23" s="14">
        <v>1</v>
      </c>
      <c r="J23" s="14">
        <v>1</v>
      </c>
      <c r="K23" s="13" t="s">
        <v>3084</v>
      </c>
      <c r="L23" s="14" t="s">
        <v>166</v>
      </c>
      <c r="M23" s="14">
        <v>571</v>
      </c>
      <c r="N23" s="14">
        <v>372</v>
      </c>
      <c r="O23" s="14">
        <v>357100</v>
      </c>
      <c r="P23" s="14">
        <v>537200</v>
      </c>
      <c r="Q23" s="14"/>
    </row>
    <row r="24" spans="1:17" ht="22.5" x14ac:dyDescent="0.25">
      <c r="A24" s="11" t="s">
        <v>4921</v>
      </c>
      <c r="B24" s="13" t="s">
        <v>10</v>
      </c>
      <c r="C24" s="61" t="s">
        <v>2067</v>
      </c>
      <c r="D24" s="13" t="s">
        <v>2068</v>
      </c>
      <c r="E24" s="14" t="s">
        <v>9</v>
      </c>
      <c r="F24" s="14" t="s">
        <v>11</v>
      </c>
      <c r="G24" s="13"/>
      <c r="H24" s="14">
        <f t="shared" si="1"/>
        <v>1</v>
      </c>
      <c r="I24" s="14">
        <v>1</v>
      </c>
      <c r="J24" s="14">
        <v>1</v>
      </c>
      <c r="K24" s="13" t="s">
        <v>3084</v>
      </c>
      <c r="L24" s="14" t="s">
        <v>166</v>
      </c>
      <c r="M24" s="14">
        <v>519</v>
      </c>
      <c r="N24" s="14">
        <v>284</v>
      </c>
      <c r="O24" s="14">
        <v>351900</v>
      </c>
      <c r="P24" s="14">
        <v>528400</v>
      </c>
      <c r="Q24" s="14"/>
    </row>
    <row r="25" spans="1:17" ht="22.5" x14ac:dyDescent="0.25">
      <c r="A25" s="11" t="s">
        <v>4921</v>
      </c>
      <c r="B25" s="13" t="s">
        <v>10</v>
      </c>
      <c r="C25" s="61" t="s">
        <v>5036</v>
      </c>
      <c r="D25" s="13" t="s">
        <v>5035</v>
      </c>
      <c r="E25" s="13" t="s">
        <v>5037</v>
      </c>
      <c r="F25" s="14" t="s">
        <v>11</v>
      </c>
      <c r="G25" s="13"/>
      <c r="H25" s="14">
        <f t="shared" si="1"/>
        <v>1</v>
      </c>
      <c r="I25" s="14">
        <v>1</v>
      </c>
      <c r="J25" s="14">
        <v>1</v>
      </c>
      <c r="K25" s="13" t="s">
        <v>1552</v>
      </c>
      <c r="L25" s="14" t="s">
        <v>166</v>
      </c>
      <c r="M25" s="14">
        <v>248</v>
      </c>
      <c r="N25" s="14">
        <v>237</v>
      </c>
      <c r="O25" s="14">
        <v>324800</v>
      </c>
      <c r="P25" s="14">
        <v>523700</v>
      </c>
      <c r="Q25" s="14"/>
    </row>
    <row r="26" spans="1:17" x14ac:dyDescent="0.25">
      <c r="A26" s="11" t="s">
        <v>4921</v>
      </c>
      <c r="B26" s="13" t="s">
        <v>10</v>
      </c>
      <c r="C26" s="61" t="s">
        <v>1136</v>
      </c>
      <c r="D26" s="13" t="s">
        <v>8</v>
      </c>
      <c r="E26" s="14" t="s">
        <v>12</v>
      </c>
      <c r="F26" s="14" t="s">
        <v>11</v>
      </c>
      <c r="G26" s="13"/>
      <c r="H26" s="14">
        <f t="shared" si="1"/>
        <v>2</v>
      </c>
      <c r="I26" s="14">
        <v>2</v>
      </c>
      <c r="J26" s="14">
        <v>2</v>
      </c>
      <c r="K26" s="13" t="s">
        <v>5032</v>
      </c>
      <c r="L26" s="14" t="s">
        <v>431</v>
      </c>
      <c r="M26" s="14">
        <v>172</v>
      </c>
      <c r="N26" s="14">
        <v>881</v>
      </c>
      <c r="O26" s="14">
        <v>317200</v>
      </c>
      <c r="P26" s="14">
        <v>488100</v>
      </c>
      <c r="Q26" s="14"/>
    </row>
    <row r="27" spans="1:17" ht="22.5" x14ac:dyDescent="0.25">
      <c r="A27" s="11" t="s">
        <v>4921</v>
      </c>
      <c r="B27" s="13" t="s">
        <v>10</v>
      </c>
      <c r="C27" s="61" t="s">
        <v>2664</v>
      </c>
      <c r="D27" s="13" t="s">
        <v>2948</v>
      </c>
      <c r="E27" s="13" t="s">
        <v>2665</v>
      </c>
      <c r="F27" s="14" t="s">
        <v>11</v>
      </c>
      <c r="G27" s="13"/>
      <c r="H27" s="14">
        <f t="shared" si="1"/>
        <v>3</v>
      </c>
      <c r="I27" s="14">
        <v>3</v>
      </c>
      <c r="J27" s="14">
        <v>3</v>
      </c>
      <c r="K27" s="13" t="s">
        <v>5159</v>
      </c>
      <c r="L27" s="14" t="s">
        <v>166</v>
      </c>
      <c r="M27" s="14">
        <v>5850</v>
      </c>
      <c r="N27" s="14">
        <v>7401</v>
      </c>
      <c r="O27" s="14">
        <v>358500</v>
      </c>
      <c r="P27" s="14">
        <v>774010</v>
      </c>
      <c r="Q27" s="14"/>
    </row>
    <row r="28" spans="1:17" ht="22.5" x14ac:dyDescent="0.25">
      <c r="A28" s="11" t="s">
        <v>4921</v>
      </c>
      <c r="B28" s="13" t="s">
        <v>126</v>
      </c>
      <c r="C28" s="61" t="s">
        <v>1762</v>
      </c>
      <c r="D28" s="13" t="s">
        <v>616</v>
      </c>
      <c r="E28" s="14" t="s">
        <v>1763</v>
      </c>
      <c r="F28" s="14" t="s">
        <v>11</v>
      </c>
      <c r="G28" s="13"/>
      <c r="H28" s="14">
        <f t="shared" ref="H28:H68" si="2">G28+I28</f>
        <v>2</v>
      </c>
      <c r="I28" s="14">
        <v>2</v>
      </c>
      <c r="J28" s="14">
        <v>2</v>
      </c>
      <c r="K28" s="13" t="s">
        <v>4317</v>
      </c>
      <c r="L28" s="14" t="s">
        <v>445</v>
      </c>
      <c r="M28" s="14">
        <v>365</v>
      </c>
      <c r="N28" s="14">
        <v>294</v>
      </c>
      <c r="O28" s="14">
        <v>436500</v>
      </c>
      <c r="P28" s="14">
        <v>329400</v>
      </c>
    </row>
    <row r="29" spans="1:17" ht="45" x14ac:dyDescent="0.25">
      <c r="A29" s="11" t="s">
        <v>4921</v>
      </c>
      <c r="B29" s="13" t="s">
        <v>126</v>
      </c>
      <c r="C29" s="61" t="s">
        <v>2667</v>
      </c>
      <c r="D29" s="13" t="s">
        <v>3844</v>
      </c>
      <c r="E29" s="14" t="s">
        <v>2668</v>
      </c>
      <c r="F29" s="14" t="s">
        <v>11</v>
      </c>
      <c r="G29" s="13"/>
      <c r="H29" s="14">
        <f t="shared" si="2"/>
        <v>1</v>
      </c>
      <c r="I29" s="14">
        <v>1</v>
      </c>
      <c r="J29" s="14">
        <v>1</v>
      </c>
      <c r="K29" s="13" t="s">
        <v>1690</v>
      </c>
      <c r="L29" s="14" t="s">
        <v>445</v>
      </c>
      <c r="M29" s="14">
        <v>288</v>
      </c>
      <c r="N29" s="14">
        <v>278</v>
      </c>
      <c r="O29" s="14">
        <v>428800</v>
      </c>
      <c r="P29" s="14">
        <v>327800</v>
      </c>
    </row>
    <row r="30" spans="1:17" x14ac:dyDescent="0.25">
      <c r="A30" s="11" t="s">
        <v>4921</v>
      </c>
      <c r="B30" s="13" t="s">
        <v>126</v>
      </c>
      <c r="C30" s="61" t="s">
        <v>1428</v>
      </c>
      <c r="D30" s="13" t="s">
        <v>90</v>
      </c>
      <c r="E30" s="14" t="s">
        <v>1429</v>
      </c>
      <c r="F30" s="14" t="s">
        <v>11</v>
      </c>
      <c r="G30" s="13"/>
      <c r="H30" s="14">
        <f t="shared" si="2"/>
        <v>1</v>
      </c>
      <c r="I30" s="14">
        <v>1</v>
      </c>
      <c r="J30" s="14">
        <v>1</v>
      </c>
      <c r="K30" s="13" t="s">
        <v>4215</v>
      </c>
      <c r="L30" s="14" t="s">
        <v>445</v>
      </c>
      <c r="M30" s="14">
        <v>1868</v>
      </c>
      <c r="N30" s="14">
        <v>8509</v>
      </c>
      <c r="O30" s="14">
        <v>418680</v>
      </c>
      <c r="P30" s="14">
        <v>385090</v>
      </c>
    </row>
    <row r="31" spans="1:17" ht="22.5" x14ac:dyDescent="0.25">
      <c r="A31" s="11" t="s">
        <v>4921</v>
      </c>
      <c r="B31" s="13" t="s">
        <v>191</v>
      </c>
      <c r="C31" s="61" t="s">
        <v>5153</v>
      </c>
      <c r="D31" s="13" t="s">
        <v>5148</v>
      </c>
      <c r="E31" s="14" t="s">
        <v>194</v>
      </c>
      <c r="F31" s="14" t="s">
        <v>11</v>
      </c>
      <c r="G31" s="13"/>
      <c r="H31" s="14">
        <f>G31+I31</f>
        <v>1</v>
      </c>
      <c r="I31" s="14">
        <v>1</v>
      </c>
      <c r="J31" s="14">
        <v>1</v>
      </c>
      <c r="K31" s="13" t="s">
        <v>1673</v>
      </c>
      <c r="L31" s="14" t="s">
        <v>145</v>
      </c>
      <c r="M31" s="14">
        <v>1274</v>
      </c>
      <c r="N31" s="14">
        <v>9503</v>
      </c>
      <c r="O31" s="14">
        <v>312740</v>
      </c>
      <c r="P31" s="14">
        <v>95030</v>
      </c>
    </row>
    <row r="32" spans="1:17" ht="33.75" x14ac:dyDescent="0.25">
      <c r="A32" s="11" t="s">
        <v>4921</v>
      </c>
      <c r="B32" s="13" t="s">
        <v>191</v>
      </c>
      <c r="C32" s="61" t="s">
        <v>1439</v>
      </c>
      <c r="D32" s="13" t="s">
        <v>4704</v>
      </c>
      <c r="E32" s="14" t="s">
        <v>1440</v>
      </c>
      <c r="F32" s="14" t="s">
        <v>11</v>
      </c>
      <c r="G32" s="13">
        <v>1</v>
      </c>
      <c r="H32" s="14">
        <f t="shared" si="2"/>
        <v>2</v>
      </c>
      <c r="I32" s="14">
        <v>1</v>
      </c>
      <c r="J32" s="14">
        <v>2</v>
      </c>
      <c r="K32" s="13" t="s">
        <v>2467</v>
      </c>
      <c r="L32" s="14" t="s">
        <v>520</v>
      </c>
      <c r="M32" s="14">
        <v>8757</v>
      </c>
      <c r="N32" s="14">
        <v>8607</v>
      </c>
      <c r="O32" s="14">
        <v>287570</v>
      </c>
      <c r="P32" s="14">
        <v>86070</v>
      </c>
    </row>
    <row r="33" spans="1:17" ht="33.75" x14ac:dyDescent="0.25">
      <c r="A33" s="11" t="s">
        <v>4921</v>
      </c>
      <c r="B33" s="13" t="s">
        <v>191</v>
      </c>
      <c r="C33" s="61" t="s">
        <v>192</v>
      </c>
      <c r="D33" s="13" t="s">
        <v>3807</v>
      </c>
      <c r="E33" s="14" t="s">
        <v>194</v>
      </c>
      <c r="F33" s="14" t="s">
        <v>11</v>
      </c>
      <c r="G33" s="13">
        <v>3</v>
      </c>
      <c r="H33" s="14">
        <f t="shared" si="2"/>
        <v>3</v>
      </c>
      <c r="J33" s="14">
        <v>2</v>
      </c>
      <c r="K33" s="13" t="s">
        <v>4970</v>
      </c>
      <c r="L33" s="14" t="s">
        <v>119</v>
      </c>
      <c r="M33" s="14">
        <v>112</v>
      </c>
      <c r="N33" s="14">
        <v>30</v>
      </c>
      <c r="O33" s="14">
        <v>311200</v>
      </c>
      <c r="P33" s="14">
        <v>103000</v>
      </c>
    </row>
    <row r="34" spans="1:17" ht="22.5" x14ac:dyDescent="0.25">
      <c r="A34" s="11" t="s">
        <v>4921</v>
      </c>
      <c r="B34" s="13" t="s">
        <v>191</v>
      </c>
      <c r="C34" s="61" t="s">
        <v>192</v>
      </c>
      <c r="D34" s="13" t="s">
        <v>92</v>
      </c>
      <c r="E34" s="14" t="s">
        <v>194</v>
      </c>
      <c r="F34" s="14" t="s">
        <v>11</v>
      </c>
      <c r="G34" s="13">
        <v>1</v>
      </c>
      <c r="H34" s="14">
        <f t="shared" si="2"/>
        <v>11</v>
      </c>
      <c r="I34" s="14">
        <v>10</v>
      </c>
      <c r="J34" s="14">
        <v>8</v>
      </c>
      <c r="K34" s="13" t="s">
        <v>4964</v>
      </c>
      <c r="L34" s="14" t="s">
        <v>119</v>
      </c>
      <c r="M34" s="14">
        <v>112</v>
      </c>
      <c r="N34" s="14">
        <v>30</v>
      </c>
      <c r="O34" s="14">
        <v>311200</v>
      </c>
      <c r="P34" s="14">
        <v>103000</v>
      </c>
    </row>
    <row r="35" spans="1:17" x14ac:dyDescent="0.25">
      <c r="A35" s="11" t="s">
        <v>4921</v>
      </c>
      <c r="B35" s="13" t="s">
        <v>68</v>
      </c>
      <c r="C35" s="61" t="s">
        <v>382</v>
      </c>
      <c r="D35" s="13" t="s">
        <v>1278</v>
      </c>
      <c r="E35" s="14" t="s">
        <v>314</v>
      </c>
      <c r="F35" s="14" t="s">
        <v>11</v>
      </c>
      <c r="G35" s="13">
        <v>1</v>
      </c>
      <c r="H35" s="14">
        <f t="shared" si="2"/>
        <v>2</v>
      </c>
      <c r="I35" s="14">
        <v>1</v>
      </c>
      <c r="J35" s="14">
        <v>1</v>
      </c>
      <c r="K35" s="13" t="s">
        <v>488</v>
      </c>
      <c r="L35" s="14" t="s">
        <v>119</v>
      </c>
      <c r="M35" s="14">
        <v>96585</v>
      </c>
      <c r="N35" s="14">
        <v>18584</v>
      </c>
      <c r="O35" s="14">
        <v>396585</v>
      </c>
      <c r="P35" s="14">
        <v>118584</v>
      </c>
      <c r="Q35" s="14"/>
    </row>
    <row r="36" spans="1:17" ht="22.5" x14ac:dyDescent="0.25">
      <c r="A36" s="11" t="s">
        <v>4921</v>
      </c>
      <c r="B36" s="13" t="s">
        <v>68</v>
      </c>
      <c r="C36" s="61" t="s">
        <v>856</v>
      </c>
      <c r="D36" s="13" t="s">
        <v>859</v>
      </c>
      <c r="E36" s="14" t="s">
        <v>857</v>
      </c>
      <c r="F36" s="14" t="s">
        <v>11</v>
      </c>
      <c r="G36" s="13"/>
      <c r="H36" s="14">
        <f t="shared" si="2"/>
        <v>1</v>
      </c>
      <c r="I36" s="14">
        <v>1</v>
      </c>
      <c r="J36" s="14">
        <v>1</v>
      </c>
      <c r="K36" s="13" t="s">
        <v>657</v>
      </c>
      <c r="L36" s="14" t="s">
        <v>119</v>
      </c>
      <c r="M36" s="14">
        <v>956</v>
      </c>
      <c r="N36" s="14">
        <v>106</v>
      </c>
      <c r="O36" s="14">
        <v>395600</v>
      </c>
      <c r="P36" s="14">
        <v>110600</v>
      </c>
      <c r="Q36" s="14"/>
    </row>
    <row r="37" spans="1:17" x14ac:dyDescent="0.25">
      <c r="A37" s="11" t="s">
        <v>4921</v>
      </c>
      <c r="B37" s="13" t="s">
        <v>68</v>
      </c>
      <c r="C37" s="61" t="s">
        <v>864</v>
      </c>
      <c r="D37" s="13" t="s">
        <v>1940</v>
      </c>
      <c r="E37" s="13" t="s">
        <v>198</v>
      </c>
      <c r="F37" s="14" t="s">
        <v>11</v>
      </c>
      <c r="G37" s="13">
        <v>2</v>
      </c>
      <c r="H37" s="14">
        <f t="shared" si="2"/>
        <v>2</v>
      </c>
      <c r="J37" s="14">
        <v>2</v>
      </c>
      <c r="K37" s="13" t="s">
        <v>5028</v>
      </c>
      <c r="L37" s="14" t="s">
        <v>145</v>
      </c>
      <c r="M37" s="14">
        <v>690</v>
      </c>
      <c r="N37" s="14">
        <v>906</v>
      </c>
      <c r="O37" s="14">
        <v>369000</v>
      </c>
      <c r="P37" s="14">
        <v>90600</v>
      </c>
      <c r="Q37" s="14"/>
    </row>
    <row r="38" spans="1:17" x14ac:dyDescent="0.25">
      <c r="A38" s="11" t="s">
        <v>4921</v>
      </c>
      <c r="B38" s="13" t="s">
        <v>68</v>
      </c>
      <c r="C38" s="61" t="s">
        <v>381</v>
      </c>
      <c r="D38" s="13" t="s">
        <v>20</v>
      </c>
      <c r="E38" s="14" t="s">
        <v>314</v>
      </c>
      <c r="F38" s="14" t="s">
        <v>11</v>
      </c>
      <c r="G38" s="13"/>
      <c r="H38" s="14">
        <f t="shared" si="2"/>
        <v>2</v>
      </c>
      <c r="I38" s="14">
        <v>2</v>
      </c>
      <c r="J38" s="14">
        <v>1</v>
      </c>
      <c r="K38" s="13" t="s">
        <v>513</v>
      </c>
      <c r="L38" s="14" t="s">
        <v>110</v>
      </c>
      <c r="M38" s="14">
        <v>17</v>
      </c>
      <c r="N38" s="14">
        <v>160</v>
      </c>
      <c r="O38" s="14">
        <v>401700</v>
      </c>
      <c r="P38" s="14">
        <v>116000</v>
      </c>
      <c r="Q38" s="14"/>
    </row>
    <row r="39" spans="1:17" ht="22.5" x14ac:dyDescent="0.25">
      <c r="A39" s="11" t="s">
        <v>4921</v>
      </c>
      <c r="B39" s="13" t="s">
        <v>68</v>
      </c>
      <c r="C39" s="61" t="s">
        <v>117</v>
      </c>
      <c r="D39" s="13" t="s">
        <v>92</v>
      </c>
      <c r="E39" s="14" t="s">
        <v>118</v>
      </c>
      <c r="F39" s="14" t="s">
        <v>11</v>
      </c>
      <c r="G39" s="13"/>
      <c r="H39" s="14">
        <f t="shared" si="2"/>
        <v>2</v>
      </c>
      <c r="I39" s="14">
        <v>2</v>
      </c>
      <c r="J39" s="14">
        <v>2</v>
      </c>
      <c r="K39" s="13" t="s">
        <v>4912</v>
      </c>
      <c r="L39" s="14" t="s">
        <v>119</v>
      </c>
      <c r="M39" s="14">
        <v>8492</v>
      </c>
      <c r="N39" s="14">
        <v>1226</v>
      </c>
      <c r="O39" s="14">
        <v>384920</v>
      </c>
      <c r="P39" s="14">
        <v>112260</v>
      </c>
      <c r="Q39" s="14"/>
    </row>
    <row r="40" spans="1:17" ht="33.75" x14ac:dyDescent="0.25">
      <c r="A40" s="11" t="s">
        <v>4921</v>
      </c>
      <c r="B40" s="13" t="s">
        <v>68</v>
      </c>
      <c r="C40" s="61" t="s">
        <v>3777</v>
      </c>
      <c r="D40" s="13" t="s">
        <v>3655</v>
      </c>
      <c r="E40" s="14" t="s">
        <v>314</v>
      </c>
      <c r="F40" s="14" t="s">
        <v>11</v>
      </c>
      <c r="G40" s="13"/>
      <c r="H40" s="14">
        <f t="shared" si="2"/>
        <v>2</v>
      </c>
      <c r="I40" s="14">
        <v>2</v>
      </c>
      <c r="J40" s="14">
        <v>2</v>
      </c>
      <c r="K40" s="13" t="s">
        <v>5163</v>
      </c>
      <c r="L40" s="14" t="s">
        <v>110</v>
      </c>
      <c r="M40" s="14">
        <v>149</v>
      </c>
      <c r="N40" s="14">
        <v>1625</v>
      </c>
      <c r="O40" s="14">
        <v>401490</v>
      </c>
      <c r="P40" s="14">
        <v>116250</v>
      </c>
      <c r="Q40" s="14"/>
    </row>
    <row r="41" spans="1:17" x14ac:dyDescent="0.25">
      <c r="A41" s="11" t="s">
        <v>4921</v>
      </c>
      <c r="B41" s="13" t="s">
        <v>68</v>
      </c>
      <c r="C41" s="61" t="s">
        <v>695</v>
      </c>
      <c r="D41" s="13" t="s">
        <v>26</v>
      </c>
      <c r="E41" s="14" t="s">
        <v>696</v>
      </c>
      <c r="F41" s="14" t="s">
        <v>11</v>
      </c>
      <c r="G41" s="13"/>
      <c r="H41" s="14">
        <f t="shared" si="2"/>
        <v>2</v>
      </c>
      <c r="I41" s="14">
        <v>2</v>
      </c>
      <c r="J41" s="14">
        <v>2</v>
      </c>
      <c r="K41" s="13" t="s">
        <v>504</v>
      </c>
      <c r="L41" s="14" t="s">
        <v>697</v>
      </c>
      <c r="M41" s="14">
        <v>116</v>
      </c>
      <c r="N41" s="14">
        <v>946</v>
      </c>
      <c r="O41" s="14">
        <v>411600</v>
      </c>
      <c r="P41" s="14">
        <v>94600</v>
      </c>
      <c r="Q41" s="14"/>
    </row>
    <row r="42" spans="1:17" ht="22.5" x14ac:dyDescent="0.25">
      <c r="A42" s="11" t="s">
        <v>4921</v>
      </c>
      <c r="B42" s="13" t="s">
        <v>68</v>
      </c>
      <c r="C42" s="61" t="s">
        <v>4952</v>
      </c>
      <c r="D42" s="13" t="s">
        <v>4953</v>
      </c>
      <c r="E42" s="14" t="s">
        <v>4954</v>
      </c>
      <c r="F42" s="14" t="s">
        <v>11</v>
      </c>
      <c r="G42" s="13"/>
      <c r="H42" s="14">
        <f>G42+I42</f>
        <v>1</v>
      </c>
      <c r="I42" s="14">
        <v>1</v>
      </c>
      <c r="J42" s="14">
        <v>1</v>
      </c>
      <c r="K42" s="13" t="s">
        <v>863</v>
      </c>
      <c r="L42" s="14" t="s">
        <v>145</v>
      </c>
      <c r="M42" s="14">
        <v>907</v>
      </c>
      <c r="N42" s="14">
        <v>791</v>
      </c>
      <c r="O42" s="14">
        <v>390700</v>
      </c>
      <c r="P42" s="14">
        <v>79100</v>
      </c>
    </row>
    <row r="43" spans="1:17" ht="22.5" x14ac:dyDescent="0.25">
      <c r="A43" s="11" t="s">
        <v>4921</v>
      </c>
      <c r="B43" s="13" t="s">
        <v>68</v>
      </c>
      <c r="C43" s="61" t="s">
        <v>197</v>
      </c>
      <c r="D43" s="13" t="s">
        <v>92</v>
      </c>
      <c r="E43" s="14" t="s">
        <v>198</v>
      </c>
      <c r="F43" s="14" t="s">
        <v>11</v>
      </c>
      <c r="G43" s="13"/>
      <c r="H43" s="14">
        <f t="shared" si="2"/>
        <v>7</v>
      </c>
      <c r="I43" s="14">
        <v>7</v>
      </c>
      <c r="J43" s="14">
        <v>6</v>
      </c>
      <c r="K43" s="13" t="s">
        <v>5024</v>
      </c>
      <c r="L43" s="14" t="s">
        <v>145</v>
      </c>
      <c r="M43" s="14">
        <v>6693</v>
      </c>
      <c r="N43" s="14">
        <v>8848</v>
      </c>
      <c r="O43" s="14">
        <v>366930</v>
      </c>
      <c r="P43" s="14">
        <v>88480</v>
      </c>
      <c r="Q43" s="14"/>
    </row>
    <row r="44" spans="1:17" ht="22.5" x14ac:dyDescent="0.25">
      <c r="A44" s="11" t="s">
        <v>4921</v>
      </c>
      <c r="B44" s="13" t="s">
        <v>68</v>
      </c>
      <c r="C44" s="61" t="s">
        <v>4002</v>
      </c>
      <c r="D44" s="13" t="s">
        <v>26</v>
      </c>
      <c r="E44" s="13" t="s">
        <v>703</v>
      </c>
      <c r="F44" s="14" t="s">
        <v>11</v>
      </c>
      <c r="G44" s="13"/>
      <c r="H44" s="14">
        <f t="shared" si="2"/>
        <v>1</v>
      </c>
      <c r="I44" s="14">
        <v>1</v>
      </c>
      <c r="J44" s="14">
        <v>1</v>
      </c>
      <c r="K44" s="13" t="s">
        <v>488</v>
      </c>
      <c r="L44" s="14" t="s">
        <v>145</v>
      </c>
      <c r="M44" s="14">
        <v>6651</v>
      </c>
      <c r="N44" s="14">
        <v>8879</v>
      </c>
      <c r="O44" s="14">
        <v>366510</v>
      </c>
      <c r="P44" s="14">
        <v>88790</v>
      </c>
      <c r="Q44" s="14"/>
    </row>
    <row r="45" spans="1:17" x14ac:dyDescent="0.25">
      <c r="A45" s="11" t="s">
        <v>4921</v>
      </c>
      <c r="B45" s="13" t="s">
        <v>68</v>
      </c>
      <c r="C45" s="61" t="s">
        <v>2109</v>
      </c>
      <c r="D45" s="13" t="s">
        <v>18</v>
      </c>
      <c r="E45" s="13" t="s">
        <v>198</v>
      </c>
      <c r="F45" s="14" t="s">
        <v>11</v>
      </c>
      <c r="G45" s="13"/>
      <c r="H45" s="14">
        <f t="shared" si="2"/>
        <v>1</v>
      </c>
      <c r="I45" s="14">
        <v>1</v>
      </c>
      <c r="J45" s="14">
        <v>1</v>
      </c>
      <c r="K45" s="13" t="s">
        <v>4215</v>
      </c>
      <c r="L45" s="14" t="s">
        <v>145</v>
      </c>
      <c r="M45" s="14">
        <v>6902</v>
      </c>
      <c r="N45" s="14">
        <v>8992</v>
      </c>
      <c r="O45" s="14">
        <v>369020</v>
      </c>
      <c r="P45" s="14">
        <v>89920</v>
      </c>
      <c r="Q45" s="14"/>
    </row>
    <row r="46" spans="1:17" ht="33.75" x14ac:dyDescent="0.25">
      <c r="A46" s="11" t="s">
        <v>4921</v>
      </c>
      <c r="B46" s="13" t="s">
        <v>68</v>
      </c>
      <c r="C46" s="61" t="s">
        <v>1394</v>
      </c>
      <c r="D46" s="13" t="s">
        <v>4022</v>
      </c>
      <c r="E46" s="14" t="s">
        <v>314</v>
      </c>
      <c r="F46" s="14" t="s">
        <v>11</v>
      </c>
      <c r="G46" s="13">
        <v>6</v>
      </c>
      <c r="H46" s="14">
        <f t="shared" si="2"/>
        <v>6</v>
      </c>
      <c r="J46" s="14">
        <v>3</v>
      </c>
      <c r="K46" s="13" t="s">
        <v>5050</v>
      </c>
      <c r="L46" s="14" t="s">
        <v>110</v>
      </c>
      <c r="M46" s="14">
        <v>122</v>
      </c>
      <c r="N46" s="14">
        <v>1738</v>
      </c>
      <c r="O46" s="14">
        <v>401220</v>
      </c>
      <c r="P46" s="14">
        <v>117380</v>
      </c>
      <c r="Q46" s="14"/>
    </row>
    <row r="47" spans="1:17" ht="22.5" x14ac:dyDescent="0.25">
      <c r="A47" s="11" t="s">
        <v>4921</v>
      </c>
      <c r="B47" s="13" t="s">
        <v>68</v>
      </c>
      <c r="C47" s="61" t="s">
        <v>402</v>
      </c>
      <c r="D47" s="13" t="s">
        <v>5023</v>
      </c>
      <c r="E47" s="14" t="s">
        <v>21</v>
      </c>
      <c r="F47" s="14" t="s">
        <v>11</v>
      </c>
      <c r="G47" s="13">
        <v>1</v>
      </c>
      <c r="H47" s="14">
        <f t="shared" si="2"/>
        <v>9</v>
      </c>
      <c r="I47" s="14">
        <v>8</v>
      </c>
      <c r="J47" s="14">
        <v>5</v>
      </c>
      <c r="K47" s="13" t="s">
        <v>5073</v>
      </c>
      <c r="L47" s="14" t="s">
        <v>145</v>
      </c>
      <c r="M47" s="14">
        <v>70986</v>
      </c>
      <c r="N47" s="14">
        <v>89924</v>
      </c>
      <c r="O47" s="14">
        <v>370986</v>
      </c>
      <c r="P47" s="14">
        <v>89924</v>
      </c>
      <c r="Q47" s="14"/>
    </row>
    <row r="48" spans="1:17" x14ac:dyDescent="0.25">
      <c r="A48" s="11" t="s">
        <v>4921</v>
      </c>
      <c r="B48" s="13" t="s">
        <v>68</v>
      </c>
      <c r="C48" s="61" t="s">
        <v>2196</v>
      </c>
      <c r="D48" s="13" t="s">
        <v>90</v>
      </c>
      <c r="E48" s="14" t="s">
        <v>402</v>
      </c>
      <c r="F48" s="14" t="s">
        <v>11</v>
      </c>
      <c r="G48" s="13">
        <v>1</v>
      </c>
      <c r="H48" s="14">
        <f t="shared" si="2"/>
        <v>1</v>
      </c>
      <c r="J48" s="14">
        <v>1</v>
      </c>
      <c r="K48" s="13" t="s">
        <v>1583</v>
      </c>
      <c r="L48" s="14" t="s">
        <v>145</v>
      </c>
      <c r="M48" s="14">
        <v>70986</v>
      </c>
      <c r="N48" s="14">
        <v>89924</v>
      </c>
      <c r="O48" s="14">
        <v>370986</v>
      </c>
      <c r="P48" s="14">
        <v>89924</v>
      </c>
      <c r="Q48" s="14"/>
    </row>
    <row r="49" spans="1:17" x14ac:dyDescent="0.25">
      <c r="A49" s="11" t="s">
        <v>4921</v>
      </c>
      <c r="B49" s="13" t="s">
        <v>68</v>
      </c>
      <c r="C49" s="61" t="s">
        <v>1317</v>
      </c>
      <c r="D49" s="13" t="s">
        <v>26</v>
      </c>
      <c r="E49" s="14" t="s">
        <v>381</v>
      </c>
      <c r="F49" s="14" t="s">
        <v>11</v>
      </c>
      <c r="G49" s="13"/>
      <c r="H49" s="14">
        <f t="shared" si="2"/>
        <v>1</v>
      </c>
      <c r="I49" s="14">
        <v>1</v>
      </c>
      <c r="J49" s="14">
        <v>1</v>
      </c>
      <c r="K49" s="13" t="s">
        <v>572</v>
      </c>
      <c r="L49" s="14" t="s">
        <v>119</v>
      </c>
      <c r="M49" s="14">
        <v>971</v>
      </c>
      <c r="N49" s="14">
        <v>122</v>
      </c>
      <c r="O49" s="14">
        <v>397100</v>
      </c>
      <c r="P49" s="14">
        <v>112200</v>
      </c>
      <c r="Q49" s="14"/>
    </row>
    <row r="50" spans="1:17" x14ac:dyDescent="0.25">
      <c r="A50" s="11" t="s">
        <v>4921</v>
      </c>
      <c r="B50" s="13" t="s">
        <v>68</v>
      </c>
      <c r="C50" s="61" t="s">
        <v>343</v>
      </c>
      <c r="D50" s="13" t="s">
        <v>26</v>
      </c>
      <c r="E50" s="14" t="s">
        <v>314</v>
      </c>
      <c r="F50" s="14" t="s">
        <v>11</v>
      </c>
      <c r="G50" s="13"/>
      <c r="H50" s="14">
        <f t="shared" si="2"/>
        <v>1</v>
      </c>
      <c r="I50" s="14">
        <v>1</v>
      </c>
      <c r="J50" s="14">
        <v>1</v>
      </c>
      <c r="K50" s="13" t="s">
        <v>507</v>
      </c>
      <c r="L50" s="14" t="s">
        <v>110</v>
      </c>
      <c r="M50" s="14">
        <v>1239</v>
      </c>
      <c r="N50" s="14">
        <v>17283</v>
      </c>
      <c r="O50" s="14">
        <v>401239</v>
      </c>
      <c r="P50" s="14">
        <v>117283</v>
      </c>
      <c r="Q50" s="14"/>
    </row>
    <row r="51" spans="1:17" ht="33.75" x14ac:dyDescent="0.25">
      <c r="A51" s="11" t="s">
        <v>4921</v>
      </c>
      <c r="B51" s="13" t="s">
        <v>209</v>
      </c>
      <c r="C51" s="61" t="s">
        <v>823</v>
      </c>
      <c r="D51" s="13" t="s">
        <v>4504</v>
      </c>
      <c r="E51" s="13" t="s">
        <v>282</v>
      </c>
      <c r="F51" s="14" t="s">
        <v>11</v>
      </c>
      <c r="G51" s="13">
        <v>2</v>
      </c>
      <c r="H51" s="14">
        <f t="shared" si="2"/>
        <v>2</v>
      </c>
      <c r="J51" s="14">
        <v>2</v>
      </c>
      <c r="K51" s="13" t="s">
        <v>1874</v>
      </c>
      <c r="L51" s="14" t="s">
        <v>140</v>
      </c>
      <c r="M51" s="14">
        <v>17</v>
      </c>
      <c r="N51" s="14">
        <v>15</v>
      </c>
      <c r="O51" s="14">
        <v>617500</v>
      </c>
      <c r="P51" s="14">
        <v>215500</v>
      </c>
      <c r="Q51" s="14"/>
    </row>
    <row r="52" spans="1:17" x14ac:dyDescent="0.25">
      <c r="A52" s="11" t="s">
        <v>4921</v>
      </c>
      <c r="B52" s="13" t="s">
        <v>209</v>
      </c>
      <c r="C52" s="61" t="s">
        <v>2083</v>
      </c>
      <c r="D52" s="13" t="s">
        <v>4436</v>
      </c>
      <c r="E52" s="14" t="s">
        <v>2084</v>
      </c>
      <c r="F52" s="14" t="s">
        <v>11</v>
      </c>
      <c r="G52" s="13"/>
      <c r="H52" s="14">
        <f t="shared" si="2"/>
        <v>1</v>
      </c>
      <c r="I52" s="14">
        <v>1</v>
      </c>
      <c r="J52" s="14">
        <v>1</v>
      </c>
      <c r="K52" s="13" t="s">
        <v>2317</v>
      </c>
      <c r="L52" s="14" t="s">
        <v>140</v>
      </c>
      <c r="M52" s="14">
        <v>885</v>
      </c>
      <c r="N52" s="14">
        <v>3087</v>
      </c>
      <c r="O52" s="14">
        <v>608850</v>
      </c>
      <c r="P52" s="14">
        <v>230870</v>
      </c>
      <c r="Q52" s="14"/>
    </row>
    <row r="53" spans="1:17" ht="22.5" x14ac:dyDescent="0.25">
      <c r="A53" s="11" t="s">
        <v>4921</v>
      </c>
      <c r="B53" s="13" t="s">
        <v>209</v>
      </c>
      <c r="C53" s="61" t="s">
        <v>210</v>
      </c>
      <c r="D53" s="13" t="s">
        <v>92</v>
      </c>
      <c r="E53" s="14" t="s">
        <v>211</v>
      </c>
      <c r="F53" s="14" t="s">
        <v>11</v>
      </c>
      <c r="G53" s="13"/>
      <c r="H53" s="14">
        <f t="shared" si="2"/>
        <v>1</v>
      </c>
      <c r="I53" s="14">
        <v>1</v>
      </c>
      <c r="J53" s="14">
        <v>1</v>
      </c>
      <c r="K53" s="13" t="s">
        <v>389</v>
      </c>
      <c r="L53" s="14" t="s">
        <v>108</v>
      </c>
      <c r="M53" s="14">
        <v>6515</v>
      </c>
      <c r="N53" s="14">
        <v>8055</v>
      </c>
      <c r="O53" s="14">
        <v>565150</v>
      </c>
      <c r="P53" s="14">
        <v>180550</v>
      </c>
      <c r="Q53" s="14"/>
    </row>
    <row r="54" spans="1:17" ht="22.5" x14ac:dyDescent="0.25">
      <c r="A54" s="11" t="s">
        <v>4921</v>
      </c>
      <c r="B54" s="13" t="s">
        <v>209</v>
      </c>
      <c r="C54" s="61" t="s">
        <v>4897</v>
      </c>
      <c r="D54" s="13" t="s">
        <v>1207</v>
      </c>
      <c r="E54" s="14" t="s">
        <v>2084</v>
      </c>
      <c r="F54" s="14" t="s">
        <v>11</v>
      </c>
      <c r="G54" s="13"/>
      <c r="H54" s="14">
        <f>G54+I54</f>
        <v>1</v>
      </c>
      <c r="I54" s="14">
        <v>1</v>
      </c>
      <c r="J54" s="14">
        <v>1</v>
      </c>
      <c r="K54" s="13" t="s">
        <v>4895</v>
      </c>
      <c r="L54" s="14" t="s">
        <v>140</v>
      </c>
      <c r="M54" s="14">
        <v>246</v>
      </c>
      <c r="N54" s="14">
        <v>214</v>
      </c>
      <c r="O54" s="14">
        <v>624600</v>
      </c>
      <c r="P54" s="14">
        <v>221400</v>
      </c>
      <c r="Q54" s="14"/>
    </row>
    <row r="55" spans="1:17" x14ac:dyDescent="0.25">
      <c r="A55" s="11" t="s">
        <v>4921</v>
      </c>
      <c r="B55" s="13" t="s">
        <v>64</v>
      </c>
      <c r="C55" s="61" t="s">
        <v>721</v>
      </c>
      <c r="D55" s="13" t="s">
        <v>26</v>
      </c>
      <c r="E55" s="14" t="s">
        <v>548</v>
      </c>
      <c r="F55" s="14" t="s">
        <v>11</v>
      </c>
      <c r="G55" s="13"/>
      <c r="H55" s="14">
        <f t="shared" si="2"/>
        <v>3</v>
      </c>
      <c r="I55" s="14">
        <v>3</v>
      </c>
      <c r="J55" s="14">
        <v>2</v>
      </c>
      <c r="K55" s="13" t="s">
        <v>2548</v>
      </c>
      <c r="L55" s="14" t="s">
        <v>111</v>
      </c>
      <c r="M55" s="14">
        <v>2090</v>
      </c>
      <c r="N55" s="14">
        <v>25431</v>
      </c>
      <c r="O55" s="14">
        <v>402090</v>
      </c>
      <c r="P55" s="14">
        <v>225431</v>
      </c>
      <c r="Q55" s="14"/>
    </row>
    <row r="56" spans="1:17" ht="45" x14ac:dyDescent="0.25">
      <c r="A56" s="11" t="s">
        <v>4921</v>
      </c>
      <c r="B56" s="13" t="s">
        <v>64</v>
      </c>
      <c r="C56" s="61" t="s">
        <v>195</v>
      </c>
      <c r="D56" s="13" t="s">
        <v>3822</v>
      </c>
      <c r="E56" s="14" t="s">
        <v>69</v>
      </c>
      <c r="F56" s="14" t="s">
        <v>11</v>
      </c>
      <c r="G56" s="13"/>
      <c r="H56" s="14">
        <f t="shared" si="2"/>
        <v>1</v>
      </c>
      <c r="I56" s="14">
        <v>1</v>
      </c>
      <c r="J56" s="14">
        <v>1</v>
      </c>
      <c r="K56" s="13" t="s">
        <v>459</v>
      </c>
      <c r="L56" s="14" t="s">
        <v>113</v>
      </c>
      <c r="M56" s="14">
        <v>9265</v>
      </c>
      <c r="N56" s="14">
        <v>1610</v>
      </c>
      <c r="O56" s="14">
        <v>392650</v>
      </c>
      <c r="P56" s="14">
        <v>216100</v>
      </c>
      <c r="Q56" s="14"/>
    </row>
    <row r="57" spans="1:17" x14ac:dyDescent="0.25">
      <c r="A57" s="11" t="s">
        <v>4921</v>
      </c>
      <c r="B57" s="13" t="s">
        <v>64</v>
      </c>
      <c r="C57" s="61" t="s">
        <v>222</v>
      </c>
      <c r="D57" s="13" t="s">
        <v>26</v>
      </c>
      <c r="E57" s="14" t="s">
        <v>69</v>
      </c>
      <c r="F57" s="14" t="s">
        <v>11</v>
      </c>
      <c r="G57" s="13"/>
      <c r="H57" s="14">
        <f t="shared" si="2"/>
        <v>1</v>
      </c>
      <c r="I57" s="14">
        <v>1</v>
      </c>
      <c r="J57" s="14">
        <v>1</v>
      </c>
      <c r="K57" s="13" t="s">
        <v>849</v>
      </c>
      <c r="L57" s="14" t="s">
        <v>111</v>
      </c>
      <c r="M57" s="14">
        <v>9576</v>
      </c>
      <c r="N57" s="14">
        <v>21203</v>
      </c>
      <c r="O57" s="14">
        <v>409576</v>
      </c>
      <c r="P57" s="14">
        <v>221203</v>
      </c>
      <c r="Q57" s="14"/>
    </row>
    <row r="58" spans="1:17" x14ac:dyDescent="0.25">
      <c r="A58" s="11" t="s">
        <v>4921</v>
      </c>
      <c r="B58" s="13" t="s">
        <v>64</v>
      </c>
      <c r="C58" s="61" t="s">
        <v>4058</v>
      </c>
      <c r="D58" s="13" t="s">
        <v>26</v>
      </c>
      <c r="E58" s="14" t="s">
        <v>723</v>
      </c>
      <c r="F58" s="14" t="s">
        <v>11</v>
      </c>
      <c r="G58" s="13"/>
      <c r="H58" s="14">
        <f>G58+I58</f>
        <v>1</v>
      </c>
      <c r="I58" s="14">
        <v>1</v>
      </c>
      <c r="J58" s="14">
        <v>1</v>
      </c>
      <c r="K58" s="13" t="s">
        <v>849</v>
      </c>
      <c r="L58" s="14" t="s">
        <v>113</v>
      </c>
      <c r="M58" s="14">
        <v>8249</v>
      </c>
      <c r="N58" s="14">
        <v>690</v>
      </c>
      <c r="O58" s="14">
        <v>382490</v>
      </c>
      <c r="P58" s="14">
        <v>206900</v>
      </c>
      <c r="Q58" s="14"/>
    </row>
    <row r="59" spans="1:17" s="57" customFormat="1" x14ac:dyDescent="0.25">
      <c r="A59" s="11" t="s">
        <v>4921</v>
      </c>
      <c r="B59" s="55" t="s">
        <v>64</v>
      </c>
      <c r="C59" s="63" t="s">
        <v>2597</v>
      </c>
      <c r="D59" s="55" t="s">
        <v>26</v>
      </c>
      <c r="E59" s="57" t="s">
        <v>2598</v>
      </c>
      <c r="F59" s="57" t="s">
        <v>11</v>
      </c>
      <c r="G59" s="55"/>
      <c r="H59" s="57">
        <f t="shared" si="2"/>
        <v>1</v>
      </c>
      <c r="I59" s="57">
        <v>1</v>
      </c>
      <c r="J59" s="57">
        <v>1</v>
      </c>
      <c r="K59" s="55" t="s">
        <v>849</v>
      </c>
      <c r="L59" s="57" t="s">
        <v>119</v>
      </c>
      <c r="M59" s="57">
        <v>93255</v>
      </c>
      <c r="N59" s="57">
        <v>97304</v>
      </c>
      <c r="O59" s="57">
        <v>393255</v>
      </c>
      <c r="P59" s="57">
        <v>197304</v>
      </c>
    </row>
    <row r="60" spans="1:17" ht="22.5" x14ac:dyDescent="0.25">
      <c r="A60" s="11" t="s">
        <v>4921</v>
      </c>
      <c r="B60" s="13" t="s">
        <v>261</v>
      </c>
      <c r="C60" s="61" t="s">
        <v>5046</v>
      </c>
      <c r="D60" s="13" t="s">
        <v>5047</v>
      </c>
      <c r="E60" s="14" t="s">
        <v>2602</v>
      </c>
      <c r="F60" s="14" t="s">
        <v>11</v>
      </c>
      <c r="G60" s="13"/>
      <c r="H60" s="14">
        <f>G60+I60</f>
        <v>1</v>
      </c>
      <c r="I60" s="14">
        <v>1</v>
      </c>
      <c r="J60" s="14">
        <v>1</v>
      </c>
      <c r="K60" s="13" t="s">
        <v>3149</v>
      </c>
      <c r="L60" s="14" t="s">
        <v>110</v>
      </c>
      <c r="M60" s="14">
        <v>597</v>
      </c>
      <c r="N60" s="14">
        <v>277</v>
      </c>
      <c r="O60" s="14">
        <v>459700</v>
      </c>
      <c r="P60" s="14">
        <v>127700</v>
      </c>
      <c r="Q60" s="14"/>
    </row>
    <row r="61" spans="1:17" ht="33.75" x14ac:dyDescent="0.25">
      <c r="A61" s="11" t="s">
        <v>4921</v>
      </c>
      <c r="B61" s="13" t="s">
        <v>261</v>
      </c>
      <c r="C61" s="61" t="s">
        <v>262</v>
      </c>
      <c r="D61" s="13" t="s">
        <v>4010</v>
      </c>
      <c r="E61" s="14" t="s">
        <v>263</v>
      </c>
      <c r="F61" s="14" t="s">
        <v>11</v>
      </c>
      <c r="G61" s="13"/>
      <c r="H61" s="14">
        <f t="shared" si="2"/>
        <v>5</v>
      </c>
      <c r="I61" s="14">
        <v>5</v>
      </c>
      <c r="J61" s="14">
        <v>3</v>
      </c>
      <c r="K61" s="13" t="s">
        <v>4971</v>
      </c>
      <c r="L61" s="14" t="s">
        <v>110</v>
      </c>
      <c r="M61" s="14">
        <v>3310</v>
      </c>
      <c r="N61" s="14">
        <v>4952</v>
      </c>
      <c r="O61" s="14">
        <v>433100</v>
      </c>
      <c r="P61" s="14">
        <v>149520</v>
      </c>
      <c r="Q61" s="14"/>
    </row>
    <row r="62" spans="1:17" ht="33.75" x14ac:dyDescent="0.25">
      <c r="A62" s="11" t="s">
        <v>4921</v>
      </c>
      <c r="B62" s="13" t="s">
        <v>283</v>
      </c>
      <c r="C62" s="61" t="s">
        <v>1388</v>
      </c>
      <c r="D62" s="13" t="s">
        <v>4022</v>
      </c>
      <c r="E62" s="14" t="s">
        <v>1389</v>
      </c>
      <c r="F62" s="14" t="s">
        <v>11</v>
      </c>
      <c r="G62" s="13">
        <v>5</v>
      </c>
      <c r="H62" s="14">
        <f t="shared" si="2"/>
        <v>5</v>
      </c>
      <c r="J62" s="14">
        <v>4</v>
      </c>
      <c r="K62" s="13" t="s">
        <v>5049</v>
      </c>
      <c r="L62" s="14" t="s">
        <v>108</v>
      </c>
      <c r="M62" s="14">
        <v>6159</v>
      </c>
      <c r="N62" s="14">
        <v>7308</v>
      </c>
      <c r="O62" s="14">
        <v>561590</v>
      </c>
      <c r="P62" s="14">
        <v>173080</v>
      </c>
      <c r="Q62" s="14"/>
    </row>
    <row r="63" spans="1:17" ht="22.5" x14ac:dyDescent="0.25">
      <c r="A63" s="11" t="s">
        <v>4921</v>
      </c>
      <c r="B63" s="13" t="s">
        <v>430</v>
      </c>
      <c r="C63" s="61" t="s">
        <v>2916</v>
      </c>
      <c r="D63" s="13" t="s">
        <v>2914</v>
      </c>
      <c r="E63" s="14" t="s">
        <v>1854</v>
      </c>
      <c r="F63" s="14" t="s">
        <v>11</v>
      </c>
      <c r="G63" s="13"/>
      <c r="H63" s="14">
        <f t="shared" si="2"/>
        <v>1</v>
      </c>
      <c r="I63" s="14">
        <v>1</v>
      </c>
      <c r="J63" s="14">
        <v>1</v>
      </c>
      <c r="K63" s="13" t="s">
        <v>1535</v>
      </c>
      <c r="L63" s="14" t="s">
        <v>431</v>
      </c>
      <c r="M63" s="14">
        <v>577</v>
      </c>
      <c r="N63" s="14">
        <v>460</v>
      </c>
      <c r="O63" s="14">
        <v>357700</v>
      </c>
      <c r="P63" s="14">
        <v>446000</v>
      </c>
      <c r="Q63" s="14"/>
    </row>
    <row r="64" spans="1:17" x14ac:dyDescent="0.25">
      <c r="A64" s="11" t="s">
        <v>4921</v>
      </c>
      <c r="B64" s="13" t="s">
        <v>328</v>
      </c>
      <c r="C64" s="61" t="s">
        <v>418</v>
      </c>
      <c r="D64" s="13" t="s">
        <v>26</v>
      </c>
      <c r="E64" s="14" t="s">
        <v>419</v>
      </c>
      <c r="F64" s="14" t="s">
        <v>11</v>
      </c>
      <c r="G64" s="13"/>
      <c r="H64" s="14">
        <f t="shared" si="2"/>
        <v>3</v>
      </c>
      <c r="I64" s="14">
        <v>3</v>
      </c>
      <c r="J64" s="14">
        <v>2</v>
      </c>
      <c r="K64" s="13" t="s">
        <v>4941</v>
      </c>
      <c r="L64" s="14" t="s">
        <v>175</v>
      </c>
      <c r="M64" s="14">
        <v>4278</v>
      </c>
      <c r="N64" s="14">
        <v>7126</v>
      </c>
      <c r="O64" s="14">
        <v>542780</v>
      </c>
      <c r="P64" s="14">
        <v>371260</v>
      </c>
      <c r="Q64" s="14"/>
    </row>
    <row r="65" spans="1:17" ht="22.5" x14ac:dyDescent="0.25">
      <c r="A65" s="11" t="s">
        <v>4921</v>
      </c>
      <c r="B65" s="13" t="s">
        <v>78</v>
      </c>
      <c r="C65" s="61" t="s">
        <v>392</v>
      </c>
      <c r="D65" s="13" t="s">
        <v>4207</v>
      </c>
      <c r="E65" s="14" t="s">
        <v>141</v>
      </c>
      <c r="F65" s="14" t="s">
        <v>11</v>
      </c>
      <c r="G65" s="13"/>
      <c r="H65" s="14">
        <f t="shared" si="2"/>
        <v>2</v>
      </c>
      <c r="I65" s="14">
        <v>2</v>
      </c>
      <c r="J65" s="14">
        <v>2</v>
      </c>
      <c r="K65" s="13" t="s">
        <v>5029</v>
      </c>
      <c r="L65" s="14" t="s">
        <v>393</v>
      </c>
      <c r="M65" s="14">
        <v>2398</v>
      </c>
      <c r="N65" s="14">
        <v>601</v>
      </c>
      <c r="O65" s="14">
        <v>623980</v>
      </c>
      <c r="P65" s="14">
        <v>306010</v>
      </c>
      <c r="Q65" s="14"/>
    </row>
    <row r="66" spans="1:17" ht="22.5" x14ac:dyDescent="0.25">
      <c r="A66" s="11" t="s">
        <v>4921</v>
      </c>
      <c r="B66" s="13" t="s">
        <v>78</v>
      </c>
      <c r="C66" s="61" t="s">
        <v>77</v>
      </c>
      <c r="D66" s="13" t="s">
        <v>138</v>
      </c>
      <c r="E66" s="14" t="s">
        <v>141</v>
      </c>
      <c r="F66" s="14" t="s">
        <v>11</v>
      </c>
      <c r="G66" s="13"/>
      <c r="H66" s="14">
        <f t="shared" si="2"/>
        <v>1</v>
      </c>
      <c r="I66" s="14">
        <v>1</v>
      </c>
      <c r="J66" s="14">
        <v>1</v>
      </c>
      <c r="K66" s="13" t="s">
        <v>2178</v>
      </c>
      <c r="L66" s="14" t="s">
        <v>140</v>
      </c>
      <c r="M66" s="14">
        <v>343</v>
      </c>
      <c r="N66" s="14">
        <v>911</v>
      </c>
      <c r="O66" s="14">
        <v>634300</v>
      </c>
      <c r="P66" s="14">
        <v>291100</v>
      </c>
      <c r="Q66" s="14"/>
    </row>
    <row r="67" spans="1:17" x14ac:dyDescent="0.25">
      <c r="A67" s="11" t="s">
        <v>4921</v>
      </c>
      <c r="B67" s="13" t="s">
        <v>78</v>
      </c>
      <c r="C67" s="61" t="s">
        <v>565</v>
      </c>
      <c r="D67" s="13" t="s">
        <v>158</v>
      </c>
      <c r="E67" s="14" t="s">
        <v>566</v>
      </c>
      <c r="F67" s="14" t="s">
        <v>11</v>
      </c>
      <c r="G67" s="13"/>
      <c r="H67" s="14">
        <f t="shared" si="2"/>
        <v>4</v>
      </c>
      <c r="I67" s="14">
        <v>4</v>
      </c>
      <c r="J67" s="14">
        <v>3</v>
      </c>
      <c r="K67" s="13" t="s">
        <v>4923</v>
      </c>
      <c r="L67" s="14" t="s">
        <v>177</v>
      </c>
      <c r="M67" s="14">
        <v>81758</v>
      </c>
      <c r="N67" s="14">
        <v>89781</v>
      </c>
      <c r="O67" s="14">
        <v>581758</v>
      </c>
      <c r="P67" s="14">
        <v>289781</v>
      </c>
      <c r="Q67" s="14"/>
    </row>
    <row r="68" spans="1:17" x14ac:dyDescent="0.25">
      <c r="A68" s="11" t="s">
        <v>4921</v>
      </c>
      <c r="B68" s="13" t="s">
        <v>78</v>
      </c>
      <c r="C68" s="61" t="s">
        <v>344</v>
      </c>
      <c r="D68" s="13" t="s">
        <v>434</v>
      </c>
      <c r="E68" s="14" t="s">
        <v>78</v>
      </c>
      <c r="F68" s="14" t="s">
        <v>11</v>
      </c>
      <c r="G68" s="13"/>
      <c r="H68" s="14">
        <f t="shared" si="2"/>
        <v>1</v>
      </c>
      <c r="I68" s="14">
        <v>1</v>
      </c>
      <c r="J68" s="14">
        <v>1</v>
      </c>
      <c r="K68" s="13" t="s">
        <v>31</v>
      </c>
      <c r="L68" s="14" t="s">
        <v>177</v>
      </c>
      <c r="M68" s="14">
        <v>926</v>
      </c>
      <c r="N68" s="14">
        <v>932</v>
      </c>
      <c r="O68" s="14">
        <v>592600</v>
      </c>
      <c r="P68" s="14">
        <v>293200</v>
      </c>
      <c r="Q68" s="14"/>
    </row>
    <row r="69" spans="1:17" ht="45" x14ac:dyDescent="0.25">
      <c r="A69" s="11" t="s">
        <v>4921</v>
      </c>
      <c r="B69" s="13" t="s">
        <v>46</v>
      </c>
      <c r="C69" s="61" t="s">
        <v>1420</v>
      </c>
      <c r="D69" s="13" t="s">
        <v>4938</v>
      </c>
      <c r="E69" s="14" t="s">
        <v>1421</v>
      </c>
      <c r="F69" s="14" t="s">
        <v>11</v>
      </c>
      <c r="G69" s="13"/>
      <c r="H69" s="14">
        <f t="shared" ref="H69:H86" si="3">G69+I69</f>
        <v>1</v>
      </c>
      <c r="I69" s="14">
        <v>1</v>
      </c>
      <c r="J69" s="14">
        <v>1</v>
      </c>
      <c r="K69" s="13" t="s">
        <v>2752</v>
      </c>
      <c r="L69" s="14" t="s">
        <v>398</v>
      </c>
      <c r="M69" s="14">
        <v>945</v>
      </c>
      <c r="N69" s="14">
        <v>375</v>
      </c>
      <c r="O69" s="14">
        <v>394500</v>
      </c>
      <c r="P69" s="14">
        <v>637500</v>
      </c>
      <c r="Q69" s="14"/>
    </row>
    <row r="70" spans="1:17" x14ac:dyDescent="0.25">
      <c r="A70" s="11" t="s">
        <v>4921</v>
      </c>
      <c r="B70" s="13" t="s">
        <v>46</v>
      </c>
      <c r="C70" s="61" t="s">
        <v>5131</v>
      </c>
      <c r="D70" s="13" t="s">
        <v>90</v>
      </c>
      <c r="E70" s="14" t="s">
        <v>5132</v>
      </c>
      <c r="F70" s="14" t="s">
        <v>11</v>
      </c>
      <c r="G70" s="13"/>
      <c r="H70" s="14">
        <f>G70+I70</f>
        <v>2</v>
      </c>
      <c r="I70" s="14">
        <v>2</v>
      </c>
      <c r="J70" s="14">
        <v>2</v>
      </c>
      <c r="K70" s="13" t="s">
        <v>5178</v>
      </c>
      <c r="L70" s="14" t="s">
        <v>166</v>
      </c>
      <c r="M70" s="14">
        <v>696</v>
      </c>
      <c r="N70" s="14">
        <v>499</v>
      </c>
      <c r="O70" s="14">
        <v>369600</v>
      </c>
      <c r="P70" s="14">
        <v>549900</v>
      </c>
      <c r="Q70" s="14"/>
    </row>
    <row r="71" spans="1:17" x14ac:dyDescent="0.25">
      <c r="A71" s="11" t="s">
        <v>4921</v>
      </c>
      <c r="B71" s="13" t="s">
        <v>62</v>
      </c>
      <c r="C71" s="61" t="s">
        <v>61</v>
      </c>
      <c r="D71" s="13" t="s">
        <v>26</v>
      </c>
      <c r="E71" s="13" t="s">
        <v>101</v>
      </c>
      <c r="F71" s="14" t="s">
        <v>11</v>
      </c>
      <c r="G71" s="13"/>
      <c r="H71" s="14">
        <f t="shared" si="3"/>
        <v>1</v>
      </c>
      <c r="I71" s="14">
        <v>1</v>
      </c>
      <c r="J71" s="14">
        <v>1</v>
      </c>
      <c r="K71" s="13" t="s">
        <v>849</v>
      </c>
      <c r="L71" s="14" t="s">
        <v>111</v>
      </c>
      <c r="M71" s="14">
        <v>3001</v>
      </c>
      <c r="N71" s="14">
        <v>1755</v>
      </c>
      <c r="O71" s="14">
        <v>430010</v>
      </c>
      <c r="P71" s="14">
        <v>217550</v>
      </c>
      <c r="Q71" s="14"/>
    </row>
    <row r="72" spans="1:17" ht="45" x14ac:dyDescent="0.25">
      <c r="A72" s="11" t="s">
        <v>4921</v>
      </c>
      <c r="B72" s="13" t="s">
        <v>62</v>
      </c>
      <c r="C72" s="61" t="s">
        <v>91</v>
      </c>
      <c r="D72" s="13" t="s">
        <v>4029</v>
      </c>
      <c r="E72" s="13" t="s">
        <v>102</v>
      </c>
      <c r="F72" s="14" t="s">
        <v>11</v>
      </c>
      <c r="G72" s="13">
        <v>5</v>
      </c>
      <c r="H72" s="14">
        <f t="shared" si="3"/>
        <v>6</v>
      </c>
      <c r="I72" s="14">
        <v>1</v>
      </c>
      <c r="J72" s="14">
        <v>5</v>
      </c>
      <c r="K72" s="13" t="s">
        <v>4951</v>
      </c>
      <c r="L72" s="14" t="s">
        <v>110</v>
      </c>
      <c r="M72" s="14">
        <v>5109</v>
      </c>
      <c r="N72" s="14">
        <v>9828</v>
      </c>
      <c r="O72" s="14">
        <v>451090</v>
      </c>
      <c r="P72" s="14">
        <v>198280</v>
      </c>
      <c r="Q72" s="14"/>
    </row>
    <row r="73" spans="1:17" ht="22.5" x14ac:dyDescent="0.25">
      <c r="A73" s="11" t="s">
        <v>4921</v>
      </c>
      <c r="B73" s="13" t="s">
        <v>62</v>
      </c>
      <c r="C73" s="61" t="s">
        <v>1122</v>
      </c>
      <c r="D73" s="13" t="s">
        <v>540</v>
      </c>
      <c r="E73" s="13" t="s">
        <v>102</v>
      </c>
      <c r="F73" s="14" t="s">
        <v>11</v>
      </c>
      <c r="G73" s="13"/>
      <c r="H73" s="14">
        <f>G73+I73</f>
        <v>1</v>
      </c>
      <c r="I73" s="14">
        <v>1</v>
      </c>
      <c r="J73" s="14">
        <v>1</v>
      </c>
      <c r="K73" s="13" t="s">
        <v>1593</v>
      </c>
      <c r="L73" s="14" t="s">
        <v>110</v>
      </c>
      <c r="M73" s="14">
        <v>5167</v>
      </c>
      <c r="N73" s="14">
        <v>9830</v>
      </c>
      <c r="O73" s="14">
        <v>451670</v>
      </c>
      <c r="P73" s="14">
        <v>198300</v>
      </c>
      <c r="Q73" s="14"/>
    </row>
    <row r="74" spans="1:17" ht="22.5" x14ac:dyDescent="0.25">
      <c r="A74" s="11" t="s">
        <v>4921</v>
      </c>
      <c r="B74" s="13" t="s">
        <v>62</v>
      </c>
      <c r="C74" s="61" t="s">
        <v>2481</v>
      </c>
      <c r="D74" s="13" t="s">
        <v>5146</v>
      </c>
      <c r="E74" s="13" t="s">
        <v>101</v>
      </c>
      <c r="F74" s="14" t="s">
        <v>11</v>
      </c>
      <c r="G74" s="13"/>
      <c r="H74" s="14">
        <f t="shared" si="3"/>
        <v>1</v>
      </c>
      <c r="I74" s="14">
        <v>1</v>
      </c>
      <c r="J74" s="14">
        <v>1</v>
      </c>
      <c r="K74" s="13" t="s">
        <v>657</v>
      </c>
      <c r="L74" s="14" t="s">
        <v>111</v>
      </c>
      <c r="M74" s="14">
        <v>4534</v>
      </c>
      <c r="N74" s="14">
        <v>1027</v>
      </c>
      <c r="O74" s="14">
        <v>445340</v>
      </c>
      <c r="P74" s="14">
        <v>210270</v>
      </c>
      <c r="Q74" s="14"/>
    </row>
    <row r="75" spans="1:17" x14ac:dyDescent="0.25">
      <c r="A75" s="11" t="s">
        <v>4921</v>
      </c>
      <c r="B75" s="13" t="s">
        <v>62</v>
      </c>
      <c r="C75" s="61" t="s">
        <v>1758</v>
      </c>
      <c r="D75" s="13" t="s">
        <v>1759</v>
      </c>
      <c r="E75" s="13" t="s">
        <v>1760</v>
      </c>
      <c r="F75" s="14" t="s">
        <v>11</v>
      </c>
      <c r="G75" s="13"/>
      <c r="H75" s="14">
        <f t="shared" si="3"/>
        <v>1</v>
      </c>
      <c r="I75" s="14">
        <v>1</v>
      </c>
      <c r="J75" s="14">
        <v>1</v>
      </c>
      <c r="K75" s="13" t="s">
        <v>1513</v>
      </c>
      <c r="L75" s="14" t="s">
        <v>111</v>
      </c>
      <c r="M75" s="14">
        <v>433</v>
      </c>
      <c r="N75" s="14">
        <v>143</v>
      </c>
      <c r="O75" s="14">
        <v>443300</v>
      </c>
      <c r="P75" s="14">
        <v>214300</v>
      </c>
      <c r="Q75" s="14"/>
    </row>
    <row r="76" spans="1:17" ht="22.5" x14ac:dyDescent="0.25">
      <c r="A76" s="11" t="s">
        <v>4921</v>
      </c>
      <c r="B76" s="13" t="s">
        <v>62</v>
      </c>
      <c r="C76" s="61" t="s">
        <v>2830</v>
      </c>
      <c r="D76" s="13" t="s">
        <v>865</v>
      </c>
      <c r="E76" s="13" t="s">
        <v>386</v>
      </c>
      <c r="F76" s="14" t="s">
        <v>11</v>
      </c>
      <c r="G76" s="13">
        <v>5</v>
      </c>
      <c r="H76" s="14">
        <f t="shared" si="3"/>
        <v>12</v>
      </c>
      <c r="I76" s="14">
        <v>7</v>
      </c>
      <c r="J76" s="14">
        <v>7</v>
      </c>
      <c r="K76" s="13" t="s">
        <v>5172</v>
      </c>
      <c r="L76" s="14" t="s">
        <v>110</v>
      </c>
      <c r="M76" s="14">
        <v>5738</v>
      </c>
      <c r="N76" s="14">
        <v>9546</v>
      </c>
      <c r="O76" s="14">
        <v>457380</v>
      </c>
      <c r="P76" s="14">
        <v>195460</v>
      </c>
      <c r="Q76" s="14"/>
    </row>
    <row r="77" spans="1:17" ht="22.5" x14ac:dyDescent="0.25">
      <c r="A77" s="11" t="s">
        <v>4921</v>
      </c>
      <c r="B77" s="13" t="s">
        <v>62</v>
      </c>
      <c r="C77" s="61" t="s">
        <v>600</v>
      </c>
      <c r="D77" s="13" t="s">
        <v>215</v>
      </c>
      <c r="E77" s="13" t="s">
        <v>386</v>
      </c>
      <c r="F77" s="14" t="s">
        <v>11</v>
      </c>
      <c r="G77" s="13"/>
      <c r="H77" s="14">
        <f>G77+I77</f>
        <v>3</v>
      </c>
      <c r="I77" s="14">
        <v>3</v>
      </c>
      <c r="J77" s="14">
        <v>3</v>
      </c>
      <c r="K77" s="13" t="s">
        <v>5136</v>
      </c>
      <c r="L77" s="14" t="s">
        <v>110</v>
      </c>
      <c r="M77" s="14">
        <v>570</v>
      </c>
      <c r="N77" s="14">
        <v>957</v>
      </c>
      <c r="O77" s="14">
        <v>457000</v>
      </c>
      <c r="P77" s="14">
        <v>195700</v>
      </c>
      <c r="Q77" s="14"/>
    </row>
    <row r="78" spans="1:17" x14ac:dyDescent="0.25">
      <c r="A78" s="11" t="s">
        <v>4921</v>
      </c>
      <c r="B78" s="13" t="s">
        <v>62</v>
      </c>
      <c r="C78" s="61" t="s">
        <v>498</v>
      </c>
      <c r="D78" s="13" t="s">
        <v>499</v>
      </c>
      <c r="E78" s="13" t="s">
        <v>101</v>
      </c>
      <c r="F78" s="14" t="s">
        <v>11</v>
      </c>
      <c r="G78" s="13"/>
      <c r="H78" s="14">
        <f t="shared" si="3"/>
        <v>1</v>
      </c>
      <c r="I78" s="14">
        <v>1</v>
      </c>
      <c r="J78" s="14">
        <v>1</v>
      </c>
      <c r="K78" s="13" t="s">
        <v>5174</v>
      </c>
      <c r="L78" s="14" t="s">
        <v>111</v>
      </c>
      <c r="M78" s="14">
        <v>4252</v>
      </c>
      <c r="N78" s="14">
        <v>866</v>
      </c>
      <c r="O78" s="14">
        <v>442520</v>
      </c>
      <c r="P78" s="14">
        <v>208660</v>
      </c>
      <c r="Q78" s="14"/>
    </row>
    <row r="79" spans="1:17" x14ac:dyDescent="0.25">
      <c r="A79" s="11" t="s">
        <v>4921</v>
      </c>
      <c r="B79" s="13" t="s">
        <v>62</v>
      </c>
      <c r="C79" s="61" t="s">
        <v>364</v>
      </c>
      <c r="D79" s="13" t="s">
        <v>90</v>
      </c>
      <c r="E79" s="13" t="s">
        <v>101</v>
      </c>
      <c r="F79" s="14" t="s">
        <v>11</v>
      </c>
      <c r="G79" s="13"/>
      <c r="H79" s="14">
        <f t="shared" si="3"/>
        <v>1</v>
      </c>
      <c r="I79" s="14">
        <v>1</v>
      </c>
      <c r="J79" s="14">
        <v>1</v>
      </c>
      <c r="K79" s="13" t="s">
        <v>1609</v>
      </c>
      <c r="L79" s="14" t="s">
        <v>111</v>
      </c>
      <c r="M79" s="14">
        <v>4162</v>
      </c>
      <c r="N79" s="14">
        <v>497</v>
      </c>
      <c r="O79" s="14">
        <v>441620</v>
      </c>
      <c r="P79" s="14">
        <v>204970</v>
      </c>
      <c r="Q79" s="14"/>
    </row>
    <row r="80" spans="1:17" ht="33.75" x14ac:dyDescent="0.25">
      <c r="A80" s="11" t="s">
        <v>4921</v>
      </c>
      <c r="B80" s="13" t="s">
        <v>62</v>
      </c>
      <c r="C80" s="61" t="s">
        <v>3413</v>
      </c>
      <c r="D80" s="13" t="s">
        <v>4026</v>
      </c>
      <c r="E80" s="13" t="s">
        <v>102</v>
      </c>
      <c r="F80" s="14" t="s">
        <v>11</v>
      </c>
      <c r="G80" s="13"/>
      <c r="H80" s="14">
        <f t="shared" si="3"/>
        <v>2</v>
      </c>
      <c r="I80" s="14">
        <v>2</v>
      </c>
      <c r="J80" s="14">
        <v>2</v>
      </c>
      <c r="K80" s="13" t="s">
        <v>4949</v>
      </c>
      <c r="L80" s="14" t="s">
        <v>110</v>
      </c>
      <c r="M80" s="14">
        <v>28090</v>
      </c>
      <c r="N80" s="14">
        <v>85396</v>
      </c>
      <c r="O80" s="14">
        <v>428090</v>
      </c>
      <c r="P80" s="14">
        <v>185396</v>
      </c>
      <c r="Q80" s="14"/>
    </row>
    <row r="81" spans="1:17" ht="22.5" x14ac:dyDescent="0.25">
      <c r="A81" s="11" t="s">
        <v>4921</v>
      </c>
      <c r="B81" s="13" t="s">
        <v>62</v>
      </c>
      <c r="C81" s="61" t="s">
        <v>4027</v>
      </c>
      <c r="D81" s="13" t="s">
        <v>26</v>
      </c>
      <c r="E81" s="13" t="s">
        <v>102</v>
      </c>
      <c r="F81" s="14" t="s">
        <v>11</v>
      </c>
      <c r="G81" s="13">
        <v>1</v>
      </c>
      <c r="H81" s="14">
        <f t="shared" si="3"/>
        <v>10</v>
      </c>
      <c r="I81" s="14">
        <v>9</v>
      </c>
      <c r="J81" s="14">
        <v>8</v>
      </c>
      <c r="K81" s="13" t="s">
        <v>4974</v>
      </c>
      <c r="L81" s="14" t="s">
        <v>110</v>
      </c>
      <c r="M81" s="14">
        <v>28090</v>
      </c>
      <c r="N81" s="14">
        <v>85396</v>
      </c>
      <c r="O81" s="14">
        <v>428090</v>
      </c>
      <c r="P81" s="14">
        <v>185396</v>
      </c>
      <c r="Q81" s="14"/>
    </row>
    <row r="82" spans="1:17" ht="22.5" x14ac:dyDescent="0.25">
      <c r="A82" s="11" t="s">
        <v>4921</v>
      </c>
      <c r="B82" s="13" t="s">
        <v>22</v>
      </c>
      <c r="C82" s="61" t="s">
        <v>293</v>
      </c>
      <c r="D82" s="13" t="s">
        <v>3900</v>
      </c>
      <c r="E82" s="14" t="s">
        <v>3901</v>
      </c>
      <c r="F82" s="14" t="s">
        <v>11</v>
      </c>
      <c r="G82" s="13"/>
      <c r="H82" s="14">
        <f t="shared" si="3"/>
        <v>2</v>
      </c>
      <c r="I82" s="14">
        <v>2</v>
      </c>
      <c r="J82" s="14">
        <v>1</v>
      </c>
      <c r="K82" s="13" t="s">
        <v>284</v>
      </c>
      <c r="L82" s="14" t="s">
        <v>119</v>
      </c>
      <c r="M82" s="14">
        <v>53767</v>
      </c>
      <c r="N82" s="14">
        <v>17001</v>
      </c>
      <c r="O82" s="14">
        <v>353767</v>
      </c>
      <c r="P82" s="14">
        <v>117001</v>
      </c>
      <c r="Q82" s="14"/>
    </row>
    <row r="83" spans="1:17" x14ac:dyDescent="0.25">
      <c r="A83" s="11" t="s">
        <v>4921</v>
      </c>
      <c r="B83" s="13" t="s">
        <v>22</v>
      </c>
      <c r="C83" s="61" t="s">
        <v>4499</v>
      </c>
      <c r="D83" s="13" t="s">
        <v>188</v>
      </c>
      <c r="E83" s="14" t="s">
        <v>3997</v>
      </c>
      <c r="F83" s="14" t="s">
        <v>11</v>
      </c>
      <c r="G83" s="13">
        <v>1</v>
      </c>
      <c r="H83" s="14">
        <f t="shared" si="3"/>
        <v>1</v>
      </c>
      <c r="J83" s="14">
        <v>1</v>
      </c>
      <c r="K83" s="13" t="s">
        <v>2503</v>
      </c>
      <c r="L83" s="14" t="s">
        <v>119</v>
      </c>
      <c r="M83" s="14">
        <v>463</v>
      </c>
      <c r="N83" s="14">
        <v>544</v>
      </c>
      <c r="O83" s="14">
        <v>346300</v>
      </c>
      <c r="P83" s="14">
        <v>154400</v>
      </c>
      <c r="Q83" s="14"/>
    </row>
    <row r="84" spans="1:17" x14ac:dyDescent="0.25">
      <c r="A84" s="11" t="s">
        <v>4921</v>
      </c>
      <c r="B84" s="13" t="s">
        <v>609</v>
      </c>
      <c r="C84" s="61" t="s">
        <v>5015</v>
      </c>
      <c r="D84" s="13" t="s">
        <v>39</v>
      </c>
      <c r="E84" s="14" t="s">
        <v>5015</v>
      </c>
      <c r="F84" s="14" t="s">
        <v>11</v>
      </c>
      <c r="G84" s="13"/>
      <c r="H84" s="14">
        <f>G84+I84</f>
        <v>2</v>
      </c>
      <c r="I84" s="14">
        <v>2</v>
      </c>
      <c r="J84" s="14">
        <v>2</v>
      </c>
      <c r="K84" s="13" t="s">
        <v>1498</v>
      </c>
      <c r="L84" s="14" t="s">
        <v>177</v>
      </c>
      <c r="M84" s="14">
        <v>911</v>
      </c>
      <c r="N84" s="14">
        <v>746</v>
      </c>
      <c r="O84" s="14">
        <v>591100</v>
      </c>
      <c r="P84" s="14">
        <v>274600</v>
      </c>
      <c r="Q84" s="14"/>
    </row>
    <row r="85" spans="1:17" x14ac:dyDescent="0.25">
      <c r="A85" s="11" t="s">
        <v>4921</v>
      </c>
      <c r="B85" s="13" t="s">
        <v>609</v>
      </c>
      <c r="C85" s="61" t="s">
        <v>4920</v>
      </c>
      <c r="D85" s="13" t="s">
        <v>1940</v>
      </c>
      <c r="E85" s="14" t="s">
        <v>2888</v>
      </c>
      <c r="F85" s="14" t="s">
        <v>11</v>
      </c>
      <c r="G85" s="13">
        <v>1</v>
      </c>
      <c r="H85" s="14">
        <f>G85+I85</f>
        <v>1</v>
      </c>
      <c r="J85" s="14">
        <v>1</v>
      </c>
      <c r="K85" s="13" t="s">
        <v>541</v>
      </c>
      <c r="L85" s="14" t="s">
        <v>140</v>
      </c>
      <c r="M85" s="14">
        <v>167</v>
      </c>
      <c r="N85" s="14">
        <v>445</v>
      </c>
      <c r="O85" s="14">
        <v>616700</v>
      </c>
      <c r="P85" s="14">
        <v>244500</v>
      </c>
      <c r="Q85" s="14"/>
    </row>
    <row r="86" spans="1:17" ht="33.75" x14ac:dyDescent="0.25">
      <c r="A86" s="11" t="s">
        <v>4921</v>
      </c>
      <c r="B86" s="13" t="s">
        <v>609</v>
      </c>
      <c r="C86" s="61" t="s">
        <v>1377</v>
      </c>
      <c r="D86" s="13" t="s">
        <v>3159</v>
      </c>
      <c r="E86" s="14" t="s">
        <v>1377</v>
      </c>
      <c r="F86" s="14" t="s">
        <v>11</v>
      </c>
      <c r="G86" s="13">
        <v>2</v>
      </c>
      <c r="H86" s="14">
        <f t="shared" si="3"/>
        <v>2</v>
      </c>
      <c r="J86" s="14">
        <v>2</v>
      </c>
      <c r="K86" s="13" t="s">
        <v>5138</v>
      </c>
      <c r="L86" s="14" t="s">
        <v>111</v>
      </c>
      <c r="M86" s="14">
        <v>8222</v>
      </c>
      <c r="N86" s="14">
        <v>398</v>
      </c>
      <c r="O86" s="14">
        <v>482220</v>
      </c>
      <c r="P86" s="14">
        <v>203980</v>
      </c>
      <c r="Q86" s="14"/>
    </row>
    <row r="87" spans="1:17" ht="22.5" x14ac:dyDescent="0.25">
      <c r="A87" s="11" t="s">
        <v>4921</v>
      </c>
      <c r="B87" s="13" t="s">
        <v>699</v>
      </c>
      <c r="C87" s="61" t="s">
        <v>3545</v>
      </c>
      <c r="D87" s="13" t="s">
        <v>4907</v>
      </c>
      <c r="E87" s="14" t="s">
        <v>3547</v>
      </c>
      <c r="F87" s="14" t="s">
        <v>11</v>
      </c>
      <c r="G87" s="13"/>
      <c r="H87" s="14">
        <f>G87+I87</f>
        <v>4</v>
      </c>
      <c r="I87" s="14">
        <v>4</v>
      </c>
      <c r="J87" s="14">
        <v>3</v>
      </c>
      <c r="K87" s="13" t="s">
        <v>4908</v>
      </c>
      <c r="L87" s="14" t="s">
        <v>108</v>
      </c>
      <c r="M87" s="14">
        <v>24</v>
      </c>
      <c r="N87" s="14">
        <v>726</v>
      </c>
      <c r="O87" s="14">
        <v>502400</v>
      </c>
      <c r="P87" s="14">
        <v>172600</v>
      </c>
      <c r="Q87" s="14"/>
    </row>
    <row r="88" spans="1:17" ht="22.5" x14ac:dyDescent="0.25">
      <c r="A88" s="11" t="s">
        <v>4921</v>
      </c>
      <c r="B88" s="13" t="s">
        <v>93</v>
      </c>
      <c r="C88" s="61" t="s">
        <v>2677</v>
      </c>
      <c r="D88" s="13" t="s">
        <v>92</v>
      </c>
      <c r="E88" s="14" t="s">
        <v>112</v>
      </c>
      <c r="F88" s="14" t="s">
        <v>11</v>
      </c>
      <c r="G88" s="13"/>
      <c r="H88" s="14">
        <f t="shared" ref="H88:H168" si="4">G88+I88</f>
        <v>1</v>
      </c>
      <c r="I88" s="14">
        <v>1</v>
      </c>
      <c r="J88" s="14">
        <v>1</v>
      </c>
      <c r="K88" s="13" t="s">
        <v>396</v>
      </c>
      <c r="L88" s="14" t="s">
        <v>110</v>
      </c>
      <c r="M88" s="14">
        <v>9758</v>
      </c>
      <c r="N88" s="14">
        <v>1261</v>
      </c>
      <c r="O88" s="14">
        <v>497580</v>
      </c>
      <c r="P88" s="14">
        <v>112610</v>
      </c>
      <c r="Q88" s="14"/>
    </row>
    <row r="89" spans="1:17" x14ac:dyDescent="0.25">
      <c r="A89" s="11" t="s">
        <v>4921</v>
      </c>
      <c r="B89" s="13" t="s">
        <v>93</v>
      </c>
      <c r="C89" s="61" t="s">
        <v>2102</v>
      </c>
      <c r="D89" s="13" t="s">
        <v>39</v>
      </c>
      <c r="E89" s="14" t="s">
        <v>2103</v>
      </c>
      <c r="F89" s="14" t="s">
        <v>11</v>
      </c>
      <c r="G89" s="13"/>
      <c r="H89" s="14">
        <f t="shared" si="4"/>
        <v>4</v>
      </c>
      <c r="I89" s="14">
        <v>4</v>
      </c>
      <c r="J89" s="14">
        <v>3</v>
      </c>
      <c r="K89" s="13" t="s">
        <v>5157</v>
      </c>
      <c r="L89" s="14" t="s">
        <v>2104</v>
      </c>
      <c r="M89" s="14">
        <v>5570</v>
      </c>
      <c r="N89" s="14">
        <v>9567</v>
      </c>
      <c r="O89" s="14">
        <v>555700</v>
      </c>
      <c r="P89" s="14">
        <v>95670</v>
      </c>
      <c r="Q89" s="14"/>
    </row>
    <row r="90" spans="1:17" x14ac:dyDescent="0.25">
      <c r="A90" s="11" t="s">
        <v>4921</v>
      </c>
      <c r="B90" s="13" t="s">
        <v>93</v>
      </c>
      <c r="C90" s="61" t="s">
        <v>159</v>
      </c>
      <c r="D90" s="13" t="s">
        <v>158</v>
      </c>
      <c r="E90" s="14" t="s">
        <v>112</v>
      </c>
      <c r="F90" s="14" t="s">
        <v>11</v>
      </c>
      <c r="G90" s="13">
        <v>1</v>
      </c>
      <c r="H90" s="14">
        <f t="shared" si="4"/>
        <v>2</v>
      </c>
      <c r="I90" s="14">
        <v>1</v>
      </c>
      <c r="J90" s="14">
        <v>2</v>
      </c>
      <c r="K90" s="13" t="s">
        <v>5064</v>
      </c>
      <c r="L90" s="14" t="s">
        <v>108</v>
      </c>
      <c r="M90" s="14">
        <v>1142</v>
      </c>
      <c r="N90" s="14">
        <v>828</v>
      </c>
      <c r="O90" s="14">
        <v>511420</v>
      </c>
      <c r="P90" s="14">
        <v>108280</v>
      </c>
      <c r="Q90" s="14"/>
    </row>
    <row r="91" spans="1:17" x14ac:dyDescent="0.25">
      <c r="A91" s="11" t="s">
        <v>4921</v>
      </c>
      <c r="B91" s="13" t="s">
        <v>93</v>
      </c>
      <c r="C91" s="61" t="s">
        <v>157</v>
      </c>
      <c r="D91" s="13" t="s">
        <v>158</v>
      </c>
      <c r="E91" s="14" t="s">
        <v>112</v>
      </c>
      <c r="F91" s="14" t="s">
        <v>11</v>
      </c>
      <c r="G91" s="13"/>
      <c r="H91" s="14">
        <f t="shared" si="4"/>
        <v>1</v>
      </c>
      <c r="I91" s="14">
        <v>1</v>
      </c>
      <c r="J91" s="14">
        <v>1</v>
      </c>
      <c r="K91" s="13" t="s">
        <v>4909</v>
      </c>
      <c r="L91" s="14" t="s">
        <v>108</v>
      </c>
      <c r="M91" s="14">
        <v>1360</v>
      </c>
      <c r="N91" s="14">
        <v>788</v>
      </c>
      <c r="O91" s="14">
        <v>513600</v>
      </c>
      <c r="P91" s="14">
        <v>107880</v>
      </c>
      <c r="Q91" s="14"/>
    </row>
    <row r="92" spans="1:17" ht="22.5" x14ac:dyDescent="0.25">
      <c r="A92" s="11" t="s">
        <v>4921</v>
      </c>
      <c r="B92" s="13" t="s">
        <v>93</v>
      </c>
      <c r="C92" s="61" t="s">
        <v>4917</v>
      </c>
      <c r="D92" s="13" t="s">
        <v>92</v>
      </c>
      <c r="E92" s="14" t="s">
        <v>103</v>
      </c>
      <c r="F92" s="14" t="s">
        <v>11</v>
      </c>
      <c r="G92" s="13">
        <v>1</v>
      </c>
      <c r="H92" s="14">
        <f t="shared" si="4"/>
        <v>2</v>
      </c>
      <c r="I92" s="14">
        <v>1</v>
      </c>
      <c r="J92" s="14">
        <v>2</v>
      </c>
      <c r="K92" s="13" t="s">
        <v>5042</v>
      </c>
      <c r="L92" s="14" t="s">
        <v>108</v>
      </c>
      <c r="M92" s="14">
        <v>5750</v>
      </c>
      <c r="N92" s="14">
        <v>222</v>
      </c>
      <c r="O92" s="14">
        <v>557500</v>
      </c>
      <c r="P92" s="14">
        <v>102220</v>
      </c>
      <c r="Q92" s="14"/>
    </row>
    <row r="93" spans="1:17" x14ac:dyDescent="0.25">
      <c r="A93" s="11" t="s">
        <v>4921</v>
      </c>
      <c r="B93" s="13" t="s">
        <v>93</v>
      </c>
      <c r="C93" s="61" t="s">
        <v>1785</v>
      </c>
      <c r="D93" s="13" t="s">
        <v>158</v>
      </c>
      <c r="E93" s="14" t="s">
        <v>112</v>
      </c>
      <c r="F93" s="14" t="s">
        <v>11</v>
      </c>
      <c r="G93" s="13"/>
      <c r="H93" s="14">
        <f t="shared" si="4"/>
        <v>2</v>
      </c>
      <c r="I93" s="14">
        <v>2</v>
      </c>
      <c r="J93" s="14">
        <v>3</v>
      </c>
      <c r="K93" s="13" t="s">
        <v>4922</v>
      </c>
      <c r="L93" s="14" t="s">
        <v>108</v>
      </c>
      <c r="M93" s="14">
        <v>82</v>
      </c>
      <c r="N93" s="14">
        <v>100</v>
      </c>
      <c r="O93" s="14">
        <v>508200</v>
      </c>
      <c r="P93" s="14">
        <v>110000</v>
      </c>
      <c r="Q93" s="14"/>
    </row>
    <row r="94" spans="1:17" ht="22.5" x14ac:dyDescent="0.25">
      <c r="A94" s="11" t="s">
        <v>4921</v>
      </c>
      <c r="B94" s="13" t="s">
        <v>93</v>
      </c>
      <c r="C94" s="61" t="s">
        <v>613</v>
      </c>
      <c r="D94" s="13" t="s">
        <v>616</v>
      </c>
      <c r="E94" s="14" t="s">
        <v>103</v>
      </c>
      <c r="F94" s="14" t="s">
        <v>11</v>
      </c>
      <c r="G94" s="13"/>
      <c r="H94" s="14">
        <f t="shared" si="4"/>
        <v>2</v>
      </c>
      <c r="I94" s="14">
        <v>2</v>
      </c>
      <c r="J94" s="14">
        <v>2</v>
      </c>
      <c r="K94" s="13" t="s">
        <v>1498</v>
      </c>
      <c r="L94" s="14" t="s">
        <v>108</v>
      </c>
      <c r="M94" s="14">
        <v>925</v>
      </c>
      <c r="N94" s="14">
        <v>226</v>
      </c>
      <c r="O94" s="14">
        <v>592500</v>
      </c>
      <c r="P94" s="14">
        <v>122600</v>
      </c>
      <c r="Q94" s="14"/>
    </row>
    <row r="95" spans="1:17" ht="22.5" x14ac:dyDescent="0.25">
      <c r="A95" s="11" t="s">
        <v>4921</v>
      </c>
      <c r="B95" s="13" t="s">
        <v>93</v>
      </c>
      <c r="C95" s="61" t="s">
        <v>199</v>
      </c>
      <c r="D95" s="13" t="s">
        <v>92</v>
      </c>
      <c r="E95" s="14" t="s">
        <v>112</v>
      </c>
      <c r="F95" s="14" t="s">
        <v>11</v>
      </c>
      <c r="G95" s="13"/>
      <c r="H95" s="14">
        <f t="shared" si="4"/>
        <v>1</v>
      </c>
      <c r="I95" s="14">
        <v>1</v>
      </c>
      <c r="J95" s="14">
        <v>1</v>
      </c>
      <c r="K95" s="13" t="s">
        <v>459</v>
      </c>
      <c r="L95" s="14" t="s">
        <v>110</v>
      </c>
      <c r="M95" s="14">
        <v>877</v>
      </c>
      <c r="N95" s="14">
        <v>110</v>
      </c>
      <c r="O95" s="14">
        <v>487700</v>
      </c>
      <c r="P95" s="14">
        <v>111000</v>
      </c>
      <c r="Q95" s="14"/>
    </row>
    <row r="96" spans="1:17" ht="45" x14ac:dyDescent="0.25">
      <c r="A96" s="11" t="s">
        <v>4921</v>
      </c>
      <c r="B96" s="13" t="s">
        <v>93</v>
      </c>
      <c r="C96" s="61" t="s">
        <v>3951</v>
      </c>
      <c r="D96" s="13" t="s">
        <v>3950</v>
      </c>
      <c r="E96" s="13" t="s">
        <v>205</v>
      </c>
      <c r="F96" s="14" t="s">
        <v>11</v>
      </c>
      <c r="G96" s="13">
        <v>2</v>
      </c>
      <c r="H96" s="14">
        <f t="shared" si="4"/>
        <v>5</v>
      </c>
      <c r="I96" s="14">
        <v>3</v>
      </c>
      <c r="J96" s="14">
        <v>5</v>
      </c>
      <c r="K96" s="13" t="s">
        <v>5043</v>
      </c>
      <c r="L96" s="14" t="s">
        <v>108</v>
      </c>
      <c r="M96" s="14">
        <v>3303</v>
      </c>
      <c r="N96" s="14">
        <v>477</v>
      </c>
      <c r="O96" s="14">
        <v>533030</v>
      </c>
      <c r="P96" s="14">
        <v>104770</v>
      </c>
      <c r="Q96" s="14"/>
    </row>
    <row r="97" spans="1:17" x14ac:dyDescent="0.25">
      <c r="A97" s="11" t="s">
        <v>4921</v>
      </c>
      <c r="B97" s="13" t="s">
        <v>1731</v>
      </c>
      <c r="C97" s="61" t="s">
        <v>1732</v>
      </c>
      <c r="D97" s="13" t="s">
        <v>90</v>
      </c>
      <c r="E97" s="13" t="s">
        <v>1733</v>
      </c>
      <c r="F97" s="14" t="s">
        <v>11</v>
      </c>
      <c r="G97" s="13"/>
      <c r="H97" s="14">
        <f t="shared" si="4"/>
        <v>1</v>
      </c>
      <c r="I97" s="14">
        <v>1</v>
      </c>
      <c r="J97" s="14">
        <v>1</v>
      </c>
      <c r="K97" s="13" t="s">
        <v>1673</v>
      </c>
      <c r="L97" s="14" t="s">
        <v>218</v>
      </c>
      <c r="M97" s="14">
        <v>257</v>
      </c>
      <c r="N97" s="14">
        <v>658</v>
      </c>
      <c r="O97" s="14">
        <v>425700</v>
      </c>
      <c r="P97" s="14">
        <v>565800</v>
      </c>
      <c r="Q97" s="14"/>
    </row>
    <row r="98" spans="1:17" ht="22.5" x14ac:dyDescent="0.25">
      <c r="A98" s="11" t="s">
        <v>4921</v>
      </c>
      <c r="B98" s="13" t="s">
        <v>1731</v>
      </c>
      <c r="C98" s="61" t="s">
        <v>4937</v>
      </c>
      <c r="D98" s="13" t="s">
        <v>278</v>
      </c>
      <c r="E98" s="13" t="s">
        <v>4223</v>
      </c>
      <c r="F98" s="14" t="s">
        <v>11</v>
      </c>
      <c r="G98" s="13"/>
      <c r="H98" s="14">
        <f>G98+I98</f>
        <v>1</v>
      </c>
      <c r="I98" s="14">
        <v>1</v>
      </c>
      <c r="J98" s="14">
        <v>1</v>
      </c>
      <c r="K98" s="13" t="s">
        <v>2752</v>
      </c>
      <c r="L98" s="14" t="s">
        <v>218</v>
      </c>
      <c r="M98" s="14">
        <v>3534</v>
      </c>
      <c r="N98" s="14">
        <v>4922</v>
      </c>
      <c r="O98" s="14">
        <v>435340</v>
      </c>
      <c r="P98" s="14">
        <v>549220</v>
      </c>
      <c r="Q98" s="14"/>
    </row>
    <row r="99" spans="1:17" ht="33.75" x14ac:dyDescent="0.25">
      <c r="A99" s="11" t="s">
        <v>4921</v>
      </c>
      <c r="B99" s="13" t="s">
        <v>50</v>
      </c>
      <c r="C99" s="61" t="s">
        <v>390</v>
      </c>
      <c r="D99" s="13" t="s">
        <v>3937</v>
      </c>
      <c r="E99" s="13" t="s">
        <v>391</v>
      </c>
      <c r="F99" s="14" t="s">
        <v>11</v>
      </c>
      <c r="G99" s="13"/>
      <c r="H99" s="14">
        <f t="shared" si="4"/>
        <v>1</v>
      </c>
      <c r="I99" s="14">
        <v>1</v>
      </c>
      <c r="J99" s="14">
        <v>1</v>
      </c>
      <c r="K99" s="13" t="s">
        <v>3022</v>
      </c>
      <c r="L99" s="14" t="s">
        <v>111</v>
      </c>
      <c r="M99" s="14">
        <v>28313</v>
      </c>
      <c r="N99" s="14">
        <v>62000</v>
      </c>
      <c r="O99" s="14">
        <v>428313</v>
      </c>
      <c r="P99" s="14">
        <v>262000</v>
      </c>
      <c r="Q99" s="14"/>
    </row>
    <row r="100" spans="1:17" ht="22.5" x14ac:dyDescent="0.25">
      <c r="A100" s="11" t="s">
        <v>4921</v>
      </c>
      <c r="B100" s="13" t="s">
        <v>24</v>
      </c>
      <c r="C100" s="61" t="s">
        <v>589</v>
      </c>
      <c r="D100" s="13" t="s">
        <v>5021</v>
      </c>
      <c r="E100" s="14" t="s">
        <v>1196</v>
      </c>
      <c r="F100" s="14" t="s">
        <v>11</v>
      </c>
      <c r="G100" s="13">
        <v>2</v>
      </c>
      <c r="H100" s="14">
        <f t="shared" si="4"/>
        <v>2</v>
      </c>
      <c r="J100" s="14">
        <v>1</v>
      </c>
      <c r="K100" s="13" t="s">
        <v>1309</v>
      </c>
      <c r="L100" s="14" t="s">
        <v>110</v>
      </c>
      <c r="M100" s="14">
        <v>175</v>
      </c>
      <c r="N100" s="14">
        <v>423</v>
      </c>
      <c r="O100" s="14">
        <v>417500</v>
      </c>
      <c r="P100" s="14">
        <v>142300</v>
      </c>
      <c r="Q100" s="14"/>
    </row>
    <row r="101" spans="1:17" x14ac:dyDescent="0.25">
      <c r="A101" s="11" t="s">
        <v>4921</v>
      </c>
      <c r="B101" s="13" t="s">
        <v>24</v>
      </c>
      <c r="C101" s="61" t="s">
        <v>5195</v>
      </c>
      <c r="D101" s="13" t="s">
        <v>5143</v>
      </c>
      <c r="E101" s="14" t="s">
        <v>1196</v>
      </c>
      <c r="F101" s="14" t="s">
        <v>11</v>
      </c>
      <c r="G101" s="13"/>
      <c r="H101" s="14">
        <f t="shared" si="4"/>
        <v>1</v>
      </c>
      <c r="I101" s="14">
        <v>1</v>
      </c>
      <c r="J101" s="14">
        <v>1</v>
      </c>
      <c r="K101" s="13" t="s">
        <v>4341</v>
      </c>
      <c r="L101" s="14" t="s">
        <v>110</v>
      </c>
      <c r="M101" s="14">
        <v>1374</v>
      </c>
      <c r="N101" s="14">
        <v>4318</v>
      </c>
      <c r="O101" s="14">
        <v>413740</v>
      </c>
      <c r="P101" s="14">
        <v>143180</v>
      </c>
      <c r="Q101" s="14"/>
    </row>
    <row r="102" spans="1:17" x14ac:dyDescent="0.25">
      <c r="A102" s="11" t="s">
        <v>4921</v>
      </c>
      <c r="B102" s="13" t="s">
        <v>24</v>
      </c>
      <c r="C102" s="61" t="s">
        <v>5144</v>
      </c>
      <c r="D102" s="13" t="s">
        <v>5143</v>
      </c>
      <c r="E102" s="14" t="s">
        <v>1196</v>
      </c>
      <c r="F102" s="14" t="s">
        <v>11</v>
      </c>
      <c r="G102" s="13">
        <v>1</v>
      </c>
      <c r="H102" s="14">
        <f>G102+I102</f>
        <v>1</v>
      </c>
      <c r="J102" s="14">
        <v>1</v>
      </c>
      <c r="K102" s="13" t="s">
        <v>4262</v>
      </c>
      <c r="L102" s="14" t="s">
        <v>110</v>
      </c>
      <c r="M102" s="14">
        <v>1374</v>
      </c>
      <c r="N102" s="14">
        <v>4318</v>
      </c>
      <c r="O102" s="14">
        <v>413740</v>
      </c>
      <c r="P102" s="14">
        <v>143180</v>
      </c>
      <c r="Q102" s="14"/>
    </row>
    <row r="103" spans="1:17" ht="22.5" x14ac:dyDescent="0.25">
      <c r="A103" s="11" t="s">
        <v>4921</v>
      </c>
      <c r="B103" s="13" t="s">
        <v>24</v>
      </c>
      <c r="C103" s="61" t="s">
        <v>23</v>
      </c>
      <c r="D103" s="13" t="s">
        <v>124</v>
      </c>
      <c r="E103" s="14" t="s">
        <v>21</v>
      </c>
      <c r="F103" s="14" t="s">
        <v>11</v>
      </c>
      <c r="G103" s="13">
        <v>5</v>
      </c>
      <c r="H103" s="14">
        <f t="shared" si="4"/>
        <v>18</v>
      </c>
      <c r="I103" s="14">
        <v>13</v>
      </c>
      <c r="J103" s="14">
        <v>11</v>
      </c>
      <c r="K103" s="13" t="s">
        <v>5074</v>
      </c>
      <c r="L103" s="14" t="s">
        <v>110</v>
      </c>
      <c r="M103" s="14">
        <v>1026</v>
      </c>
      <c r="N103" s="14">
        <v>6996</v>
      </c>
      <c r="O103" s="14">
        <v>410260</v>
      </c>
      <c r="P103" s="14">
        <v>169960</v>
      </c>
      <c r="Q103" s="14"/>
    </row>
    <row r="104" spans="1:17" x14ac:dyDescent="0.25">
      <c r="A104" s="11" t="s">
        <v>4921</v>
      </c>
      <c r="B104" s="13" t="s">
        <v>24</v>
      </c>
      <c r="C104" s="61" t="s">
        <v>2174</v>
      </c>
      <c r="D104" s="13" t="s">
        <v>2843</v>
      </c>
      <c r="E104" s="14" t="s">
        <v>23</v>
      </c>
      <c r="F104" s="14" t="s">
        <v>11</v>
      </c>
      <c r="G104" s="13"/>
      <c r="H104" s="14">
        <f t="shared" si="4"/>
        <v>1</v>
      </c>
      <c r="I104" s="14">
        <v>1</v>
      </c>
      <c r="J104" s="14">
        <v>1</v>
      </c>
      <c r="K104" s="13" t="s">
        <v>1309</v>
      </c>
      <c r="L104" s="14" t="s">
        <v>110</v>
      </c>
      <c r="M104" s="14">
        <v>1026</v>
      </c>
      <c r="N104" s="14">
        <v>6996</v>
      </c>
      <c r="O104" s="14">
        <v>410260</v>
      </c>
      <c r="P104" s="14">
        <v>169960</v>
      </c>
      <c r="Q104" s="14"/>
    </row>
    <row r="105" spans="1:17" x14ac:dyDescent="0.25">
      <c r="A105" s="11" t="s">
        <v>4921</v>
      </c>
      <c r="B105" s="13" t="s">
        <v>24</v>
      </c>
      <c r="C105" s="61" t="s">
        <v>2175</v>
      </c>
      <c r="D105" s="13" t="s">
        <v>2843</v>
      </c>
      <c r="E105" s="14" t="s">
        <v>23</v>
      </c>
      <c r="F105" s="14" t="s">
        <v>11</v>
      </c>
      <c r="G105" s="13"/>
      <c r="H105" s="14">
        <f t="shared" si="4"/>
        <v>2</v>
      </c>
      <c r="I105" s="14">
        <v>2</v>
      </c>
      <c r="J105" s="14">
        <v>2</v>
      </c>
      <c r="K105" s="13" t="s">
        <v>4170</v>
      </c>
      <c r="L105" s="14" t="s">
        <v>110</v>
      </c>
      <c r="M105" s="14">
        <v>1026</v>
      </c>
      <c r="N105" s="14">
        <v>6996</v>
      </c>
      <c r="O105" s="14">
        <v>410260</v>
      </c>
      <c r="P105" s="14">
        <v>169960</v>
      </c>
      <c r="Q105" s="14"/>
    </row>
    <row r="106" spans="1:17" x14ac:dyDescent="0.25">
      <c r="A106" s="11" t="s">
        <v>4921</v>
      </c>
      <c r="B106" s="13" t="s">
        <v>24</v>
      </c>
      <c r="C106" s="61" t="s">
        <v>23</v>
      </c>
      <c r="D106" s="13" t="s">
        <v>1151</v>
      </c>
      <c r="E106" s="14" t="s">
        <v>21</v>
      </c>
      <c r="F106" s="14" t="s">
        <v>11</v>
      </c>
      <c r="G106" s="13"/>
      <c r="H106" s="14">
        <f t="shared" si="4"/>
        <v>1</v>
      </c>
      <c r="I106" s="14">
        <v>1</v>
      </c>
      <c r="J106" s="14">
        <v>1</v>
      </c>
      <c r="K106" s="13" t="s">
        <v>1309</v>
      </c>
      <c r="L106" s="14" t="s">
        <v>110</v>
      </c>
      <c r="M106" s="14">
        <v>102</v>
      </c>
      <c r="N106" s="14">
        <v>699</v>
      </c>
      <c r="O106" s="14">
        <v>410200</v>
      </c>
      <c r="P106" s="14">
        <v>169900</v>
      </c>
      <c r="Q106" s="14"/>
    </row>
    <row r="107" spans="1:17" x14ac:dyDescent="0.25">
      <c r="A107" s="11" t="s">
        <v>4921</v>
      </c>
      <c r="B107" s="13" t="s">
        <v>24</v>
      </c>
      <c r="C107" s="61" t="s">
        <v>1164</v>
      </c>
      <c r="D107" s="13" t="s">
        <v>121</v>
      </c>
      <c r="E107" s="14" t="s">
        <v>21</v>
      </c>
      <c r="F107" s="14" t="s">
        <v>11</v>
      </c>
      <c r="G107" s="13"/>
      <c r="H107" s="14">
        <f t="shared" si="4"/>
        <v>1</v>
      </c>
      <c r="I107" s="14">
        <v>1</v>
      </c>
      <c r="J107" s="14">
        <v>1</v>
      </c>
      <c r="K107" s="13" t="s">
        <v>1309</v>
      </c>
      <c r="L107" s="14" t="s">
        <v>110</v>
      </c>
      <c r="M107" s="14">
        <v>89</v>
      </c>
      <c r="N107" s="14">
        <v>693</v>
      </c>
      <c r="O107" s="14">
        <v>408900</v>
      </c>
      <c r="P107" s="14">
        <v>169300</v>
      </c>
      <c r="Q107" s="14"/>
    </row>
    <row r="108" spans="1:17" x14ac:dyDescent="0.25">
      <c r="A108" s="11" t="s">
        <v>4921</v>
      </c>
      <c r="B108" s="13" t="s">
        <v>24</v>
      </c>
      <c r="C108" s="61" t="s">
        <v>146</v>
      </c>
      <c r="D108" s="13" t="s">
        <v>26</v>
      </c>
      <c r="E108" s="14" t="s">
        <v>21</v>
      </c>
      <c r="F108" s="14" t="s">
        <v>11</v>
      </c>
      <c r="G108" s="13"/>
      <c r="H108" s="14">
        <f t="shared" si="4"/>
        <v>3</v>
      </c>
      <c r="I108" s="14">
        <v>3</v>
      </c>
      <c r="J108" s="14">
        <v>2</v>
      </c>
      <c r="K108" s="13" t="s">
        <v>4914</v>
      </c>
      <c r="L108" s="14" t="s">
        <v>110</v>
      </c>
      <c r="M108" s="14">
        <v>66</v>
      </c>
      <c r="N108" s="14">
        <v>677</v>
      </c>
      <c r="O108" s="14">
        <v>406600</v>
      </c>
      <c r="P108" s="14">
        <v>167700</v>
      </c>
      <c r="Q108" s="14"/>
    </row>
    <row r="109" spans="1:17" ht="22.5" x14ac:dyDescent="0.25">
      <c r="A109" s="11" t="s">
        <v>4921</v>
      </c>
      <c r="B109" s="13" t="s">
        <v>24</v>
      </c>
      <c r="C109" s="61" t="s">
        <v>15</v>
      </c>
      <c r="D109" s="13" t="s">
        <v>4522</v>
      </c>
      <c r="E109" s="14" t="s">
        <v>21</v>
      </c>
      <c r="F109" s="14" t="s">
        <v>11</v>
      </c>
      <c r="G109" s="13">
        <v>5</v>
      </c>
      <c r="H109" s="14">
        <f t="shared" si="4"/>
        <v>18</v>
      </c>
      <c r="I109" s="14">
        <v>13</v>
      </c>
      <c r="J109" s="14">
        <v>9</v>
      </c>
      <c r="K109" s="13" t="s">
        <v>5075</v>
      </c>
      <c r="L109" s="14" t="s">
        <v>110</v>
      </c>
      <c r="M109" s="14">
        <v>1501</v>
      </c>
      <c r="N109" s="14">
        <v>4375</v>
      </c>
      <c r="O109" s="14">
        <v>415010</v>
      </c>
      <c r="P109" s="14">
        <v>143750</v>
      </c>
      <c r="Q109" s="14"/>
    </row>
    <row r="110" spans="1:17" x14ac:dyDescent="0.25">
      <c r="A110" s="11" t="s">
        <v>4921</v>
      </c>
      <c r="B110" s="13" t="s">
        <v>24</v>
      </c>
      <c r="C110" s="61" t="s">
        <v>5141</v>
      </c>
      <c r="D110" s="13" t="s">
        <v>5143</v>
      </c>
      <c r="E110" s="14" t="s">
        <v>21</v>
      </c>
      <c r="F110" s="14" t="s">
        <v>11</v>
      </c>
      <c r="G110" s="13">
        <v>1</v>
      </c>
      <c r="H110" s="14">
        <f>G110+I110</f>
        <v>1</v>
      </c>
      <c r="J110" s="14">
        <v>1</v>
      </c>
      <c r="K110" s="13" t="s">
        <v>4262</v>
      </c>
      <c r="L110" s="14" t="s">
        <v>110</v>
      </c>
      <c r="M110" s="14">
        <v>1501</v>
      </c>
      <c r="N110" s="14">
        <v>4375</v>
      </c>
      <c r="O110" s="14">
        <v>415010</v>
      </c>
      <c r="P110" s="14">
        <v>143750</v>
      </c>
      <c r="Q110" s="14"/>
    </row>
    <row r="111" spans="1:17" x14ac:dyDescent="0.25">
      <c r="A111" s="11" t="s">
        <v>4921</v>
      </c>
      <c r="B111" s="13" t="s">
        <v>24</v>
      </c>
      <c r="C111" s="61" t="s">
        <v>5020</v>
      </c>
      <c r="D111" s="13" t="s">
        <v>18</v>
      </c>
      <c r="E111" s="14" t="s">
        <v>21</v>
      </c>
      <c r="F111" s="14" t="s">
        <v>11</v>
      </c>
      <c r="G111" s="13"/>
      <c r="H111" s="14">
        <f>G111+I111</f>
        <v>2</v>
      </c>
      <c r="I111" s="14">
        <v>2</v>
      </c>
      <c r="J111" s="14">
        <v>2</v>
      </c>
      <c r="K111" s="13" t="s">
        <v>1511</v>
      </c>
      <c r="L111" s="14" t="s">
        <v>110</v>
      </c>
      <c r="M111" s="14">
        <v>1125</v>
      </c>
      <c r="N111" s="14">
        <v>4280</v>
      </c>
      <c r="O111" s="14">
        <v>411250</v>
      </c>
      <c r="P111" s="14">
        <v>142800</v>
      </c>
      <c r="Q111" s="14"/>
    </row>
    <row r="112" spans="1:17" x14ac:dyDescent="0.25">
      <c r="A112" s="11" t="s">
        <v>4921</v>
      </c>
      <c r="B112" s="13" t="s">
        <v>24</v>
      </c>
      <c r="C112" s="61" t="s">
        <v>5137</v>
      </c>
      <c r="D112" s="13" t="s">
        <v>90</v>
      </c>
      <c r="E112" s="14" t="s">
        <v>21</v>
      </c>
      <c r="F112" s="14" t="s">
        <v>11</v>
      </c>
      <c r="G112" s="13"/>
      <c r="H112" s="14">
        <f>G112+I112</f>
        <v>1</v>
      </c>
      <c r="I112" s="14">
        <v>1</v>
      </c>
      <c r="J112" s="14">
        <v>1</v>
      </c>
      <c r="K112" s="13" t="s">
        <v>1609</v>
      </c>
      <c r="L112" s="14" t="s">
        <v>119</v>
      </c>
      <c r="M112" s="14">
        <v>803</v>
      </c>
      <c r="N112" s="14">
        <v>641</v>
      </c>
      <c r="O112" s="14">
        <v>380300</v>
      </c>
      <c r="P112" s="14">
        <v>164100</v>
      </c>
      <c r="Q112" s="14"/>
    </row>
    <row r="113" spans="1:17" x14ac:dyDescent="0.25">
      <c r="A113" s="11" t="s">
        <v>4921</v>
      </c>
      <c r="B113" s="13" t="s">
        <v>24</v>
      </c>
      <c r="C113" s="61" t="s">
        <v>997</v>
      </c>
      <c r="D113" s="13" t="s">
        <v>26</v>
      </c>
      <c r="E113" s="14" t="s">
        <v>21</v>
      </c>
      <c r="F113" s="14" t="s">
        <v>11</v>
      </c>
      <c r="G113" s="13">
        <v>1</v>
      </c>
      <c r="H113" s="14">
        <f t="shared" si="4"/>
        <v>9</v>
      </c>
      <c r="I113" s="14">
        <v>8</v>
      </c>
      <c r="J113" s="14">
        <v>7</v>
      </c>
      <c r="K113" s="13" t="s">
        <v>4972</v>
      </c>
      <c r="L113" s="14" t="s">
        <v>110</v>
      </c>
      <c r="M113" s="14">
        <v>1918</v>
      </c>
      <c r="N113" s="14">
        <v>3247</v>
      </c>
      <c r="O113" s="14">
        <v>419180</v>
      </c>
      <c r="P113" s="14">
        <v>132470</v>
      </c>
      <c r="Q113" s="14"/>
    </row>
    <row r="114" spans="1:17" x14ac:dyDescent="0.25">
      <c r="A114" s="11" t="s">
        <v>4921</v>
      </c>
      <c r="B114" s="13" t="s">
        <v>24</v>
      </c>
      <c r="C114" s="61" t="s">
        <v>5067</v>
      </c>
      <c r="D114" s="13" t="s">
        <v>5068</v>
      </c>
      <c r="E114" s="14" t="s">
        <v>21</v>
      </c>
      <c r="F114" s="14" t="s">
        <v>11</v>
      </c>
      <c r="G114" s="13">
        <v>2</v>
      </c>
      <c r="H114" s="14">
        <f>G114+I114</f>
        <v>2</v>
      </c>
      <c r="J114" s="14">
        <v>2</v>
      </c>
      <c r="K114" s="13" t="s">
        <v>5077</v>
      </c>
      <c r="L114" s="14" t="s">
        <v>110</v>
      </c>
      <c r="M114" s="14">
        <v>137</v>
      </c>
      <c r="N114" s="14">
        <v>423</v>
      </c>
      <c r="O114" s="14">
        <v>413700</v>
      </c>
      <c r="P114" s="14">
        <v>142300</v>
      </c>
      <c r="Q114" s="14"/>
    </row>
    <row r="115" spans="1:17" ht="22.5" x14ac:dyDescent="0.25">
      <c r="A115" s="11" t="s">
        <v>4921</v>
      </c>
      <c r="B115" s="13" t="s">
        <v>24</v>
      </c>
      <c r="C115" s="61" t="s">
        <v>88</v>
      </c>
      <c r="D115" s="13" t="s">
        <v>19</v>
      </c>
      <c r="E115" s="14" t="s">
        <v>21</v>
      </c>
      <c r="F115" s="14" t="s">
        <v>11</v>
      </c>
      <c r="G115" s="13"/>
      <c r="H115" s="14">
        <f t="shared" si="4"/>
        <v>6</v>
      </c>
      <c r="I115" s="14">
        <v>6</v>
      </c>
      <c r="J115" s="14">
        <v>5</v>
      </c>
      <c r="K115" s="13" t="s">
        <v>5026</v>
      </c>
      <c r="L115" s="14" t="s">
        <v>110</v>
      </c>
      <c r="M115" s="14">
        <v>1210</v>
      </c>
      <c r="N115" s="14">
        <v>6365</v>
      </c>
      <c r="O115" s="14">
        <v>412100</v>
      </c>
      <c r="P115" s="14">
        <v>163650</v>
      </c>
      <c r="Q115" s="14"/>
    </row>
    <row r="116" spans="1:17" x14ac:dyDescent="0.25">
      <c r="A116" s="11" t="s">
        <v>4921</v>
      </c>
      <c r="B116" s="13" t="s">
        <v>24</v>
      </c>
      <c r="C116" s="61" t="s">
        <v>341</v>
      </c>
      <c r="D116" s="13" t="s">
        <v>26</v>
      </c>
      <c r="E116" s="14" t="s">
        <v>21</v>
      </c>
      <c r="F116" s="14" t="s">
        <v>11</v>
      </c>
      <c r="G116" s="13"/>
      <c r="H116" s="14">
        <f t="shared" si="4"/>
        <v>1</v>
      </c>
      <c r="I116" s="14">
        <v>1</v>
      </c>
      <c r="J116" s="14">
        <v>1</v>
      </c>
      <c r="K116" s="13" t="s">
        <v>863</v>
      </c>
      <c r="L116" s="14" t="s">
        <v>119</v>
      </c>
      <c r="M116" s="14">
        <v>8773</v>
      </c>
      <c r="N116" s="14">
        <v>7472</v>
      </c>
      <c r="O116" s="14">
        <v>387730</v>
      </c>
      <c r="P116" s="14">
        <v>174720</v>
      </c>
      <c r="Q116" s="14"/>
    </row>
    <row r="117" spans="1:17" ht="33.75" x14ac:dyDescent="0.25">
      <c r="A117" s="11" t="s">
        <v>4921</v>
      </c>
      <c r="B117" s="13" t="s">
        <v>24</v>
      </c>
      <c r="C117" s="61" t="s">
        <v>403</v>
      </c>
      <c r="D117" s="13" t="s">
        <v>3887</v>
      </c>
      <c r="E117" s="14" t="s">
        <v>21</v>
      </c>
      <c r="F117" s="14" t="s">
        <v>11</v>
      </c>
      <c r="G117" s="13">
        <v>2</v>
      </c>
      <c r="H117" s="14">
        <f t="shared" si="4"/>
        <v>11</v>
      </c>
      <c r="I117" s="14">
        <v>9</v>
      </c>
      <c r="J117" s="14">
        <v>7</v>
      </c>
      <c r="K117" s="13" t="s">
        <v>5072</v>
      </c>
      <c r="L117" s="14" t="s">
        <v>110</v>
      </c>
      <c r="M117" s="14">
        <v>908</v>
      </c>
      <c r="N117" s="14">
        <v>5820</v>
      </c>
      <c r="O117" s="14">
        <v>409080</v>
      </c>
      <c r="P117" s="14">
        <v>158200</v>
      </c>
      <c r="Q117" s="14"/>
    </row>
    <row r="118" spans="1:17" x14ac:dyDescent="0.25">
      <c r="A118" s="11" t="s">
        <v>4921</v>
      </c>
      <c r="B118" s="13" t="s">
        <v>24</v>
      </c>
      <c r="C118" s="61" t="s">
        <v>4208</v>
      </c>
      <c r="D118" s="13" t="s">
        <v>90</v>
      </c>
      <c r="E118" s="14" t="s">
        <v>4209</v>
      </c>
      <c r="F118" s="14" t="s">
        <v>11</v>
      </c>
      <c r="G118" s="13">
        <v>1</v>
      </c>
      <c r="H118" s="14">
        <f t="shared" si="4"/>
        <v>1</v>
      </c>
      <c r="J118" s="14">
        <v>1</v>
      </c>
      <c r="K118" s="13" t="s">
        <v>1583</v>
      </c>
      <c r="L118" s="14" t="s">
        <v>110</v>
      </c>
      <c r="M118" s="14">
        <v>908</v>
      </c>
      <c r="N118" s="14">
        <v>5820</v>
      </c>
      <c r="O118" s="14">
        <v>409080</v>
      </c>
      <c r="P118" s="14">
        <v>158200</v>
      </c>
      <c r="Q118" s="14"/>
    </row>
    <row r="119" spans="1:17" x14ac:dyDescent="0.25">
      <c r="A119" s="11" t="s">
        <v>4921</v>
      </c>
      <c r="B119" s="13" t="s">
        <v>24</v>
      </c>
      <c r="C119" s="61" t="s">
        <v>5134</v>
      </c>
      <c r="D119" s="13" t="s">
        <v>90</v>
      </c>
      <c r="E119" s="14" t="s">
        <v>21</v>
      </c>
      <c r="F119" s="14" t="s">
        <v>11</v>
      </c>
      <c r="G119" s="13"/>
      <c r="H119" s="14">
        <f>G119+I119</f>
        <v>4</v>
      </c>
      <c r="I119" s="14">
        <v>4</v>
      </c>
      <c r="J119" s="14">
        <v>3</v>
      </c>
      <c r="K119" s="13" t="s">
        <v>5179</v>
      </c>
      <c r="L119" s="14" t="s">
        <v>110</v>
      </c>
      <c r="M119" s="14">
        <v>1837</v>
      </c>
      <c r="N119" s="14">
        <v>6866</v>
      </c>
      <c r="O119" s="14">
        <v>418370</v>
      </c>
      <c r="P119" s="14">
        <v>168660</v>
      </c>
      <c r="Q119" s="14"/>
    </row>
    <row r="120" spans="1:17" ht="33.75" x14ac:dyDescent="0.25">
      <c r="A120" s="11" t="s">
        <v>4921</v>
      </c>
      <c r="B120" s="13" t="s">
        <v>24</v>
      </c>
      <c r="C120" s="61" t="s">
        <v>988</v>
      </c>
      <c r="D120" s="13" t="s">
        <v>4915</v>
      </c>
      <c r="E120" s="14" t="s">
        <v>21</v>
      </c>
      <c r="F120" s="14" t="s">
        <v>11</v>
      </c>
      <c r="G120" s="13"/>
      <c r="H120" s="14">
        <f>G120+I120</f>
        <v>2</v>
      </c>
      <c r="I120" s="14">
        <v>2</v>
      </c>
      <c r="J120" s="14">
        <v>2</v>
      </c>
      <c r="K120" s="13" t="s">
        <v>4973</v>
      </c>
      <c r="L120" s="14" t="s">
        <v>110</v>
      </c>
      <c r="M120" s="14">
        <v>1143</v>
      </c>
      <c r="N120" s="14">
        <v>4100</v>
      </c>
      <c r="O120" s="14">
        <v>411430</v>
      </c>
      <c r="P120" s="14">
        <v>141000</v>
      </c>
      <c r="Q120" s="14"/>
    </row>
    <row r="121" spans="1:17" ht="22.5" x14ac:dyDescent="0.25">
      <c r="A121" s="11" t="s">
        <v>4921</v>
      </c>
      <c r="B121" s="13" t="s">
        <v>24</v>
      </c>
      <c r="C121" s="61" t="s">
        <v>3778</v>
      </c>
      <c r="D121" s="13" t="s">
        <v>1278</v>
      </c>
      <c r="E121" s="14" t="s">
        <v>21</v>
      </c>
      <c r="F121" s="14" t="s">
        <v>11</v>
      </c>
      <c r="G121" s="13">
        <v>3</v>
      </c>
      <c r="H121" s="14">
        <f t="shared" si="4"/>
        <v>3</v>
      </c>
      <c r="J121" s="14">
        <v>3</v>
      </c>
      <c r="K121" s="13" t="s">
        <v>5192</v>
      </c>
      <c r="L121" s="14" t="s">
        <v>110</v>
      </c>
      <c r="M121" s="14">
        <v>125</v>
      </c>
      <c r="N121" s="14">
        <v>708</v>
      </c>
      <c r="O121" s="14">
        <v>412500</v>
      </c>
      <c r="P121" s="14">
        <v>170800</v>
      </c>
      <c r="Q121" s="14"/>
    </row>
    <row r="122" spans="1:17" ht="22.5" x14ac:dyDescent="0.25">
      <c r="A122" s="11" t="s">
        <v>4921</v>
      </c>
      <c r="B122" s="13" t="s">
        <v>24</v>
      </c>
      <c r="C122" s="61" t="s">
        <v>5147</v>
      </c>
      <c r="D122" s="13" t="s">
        <v>5148</v>
      </c>
      <c r="E122" s="14" t="s">
        <v>21</v>
      </c>
      <c r="F122" s="14" t="s">
        <v>11</v>
      </c>
      <c r="G122" s="13"/>
      <c r="H122" s="14">
        <f>G122+I122</f>
        <v>5</v>
      </c>
      <c r="I122" s="14">
        <v>5</v>
      </c>
      <c r="J122" s="14">
        <v>4</v>
      </c>
      <c r="K122" s="13" t="s">
        <v>5194</v>
      </c>
      <c r="L122" s="14" t="s">
        <v>110</v>
      </c>
      <c r="M122" s="14">
        <v>1196</v>
      </c>
      <c r="N122" s="14">
        <v>6835</v>
      </c>
      <c r="O122" s="14">
        <v>411960</v>
      </c>
      <c r="P122" s="14">
        <v>168350</v>
      </c>
      <c r="Q122" s="14"/>
    </row>
    <row r="123" spans="1:17" ht="22.5" x14ac:dyDescent="0.25">
      <c r="A123" s="11" t="s">
        <v>4921</v>
      </c>
      <c r="B123" s="13" t="s">
        <v>24</v>
      </c>
      <c r="C123" s="61" t="s">
        <v>16</v>
      </c>
      <c r="D123" s="13" t="s">
        <v>19</v>
      </c>
      <c r="E123" s="14" t="s">
        <v>21</v>
      </c>
      <c r="F123" s="14" t="s">
        <v>11</v>
      </c>
      <c r="G123" s="13"/>
      <c r="H123" s="14">
        <f t="shared" si="4"/>
        <v>5</v>
      </c>
      <c r="I123" s="14">
        <v>5</v>
      </c>
      <c r="J123" s="14">
        <v>5</v>
      </c>
      <c r="K123" s="13" t="s">
        <v>5025</v>
      </c>
      <c r="L123" s="14" t="s">
        <v>110</v>
      </c>
      <c r="M123" s="14">
        <v>1022</v>
      </c>
      <c r="N123" s="14">
        <v>4594</v>
      </c>
      <c r="O123" s="14">
        <v>410220</v>
      </c>
      <c r="P123" s="14">
        <v>145940</v>
      </c>
      <c r="Q123" s="14"/>
    </row>
    <row r="124" spans="1:17" x14ac:dyDescent="0.25">
      <c r="A124" s="11" t="s">
        <v>4921</v>
      </c>
      <c r="B124" s="13" t="s">
        <v>24</v>
      </c>
      <c r="C124" s="61" t="s">
        <v>493</v>
      </c>
      <c r="D124" s="13" t="s">
        <v>90</v>
      </c>
      <c r="E124" s="14" t="s">
        <v>21</v>
      </c>
      <c r="F124" s="14" t="s">
        <v>11</v>
      </c>
      <c r="G124" s="13"/>
      <c r="H124" s="14">
        <f t="shared" si="4"/>
        <v>5</v>
      </c>
      <c r="I124" s="14">
        <v>5</v>
      </c>
      <c r="J124" s="14">
        <v>4</v>
      </c>
      <c r="K124" s="13" t="s">
        <v>5165</v>
      </c>
      <c r="L124" s="14" t="s">
        <v>119</v>
      </c>
      <c r="M124" s="14">
        <v>183</v>
      </c>
      <c r="N124" s="14">
        <v>6441</v>
      </c>
      <c r="O124" s="14">
        <v>301830</v>
      </c>
      <c r="P124" s="14">
        <v>164410</v>
      </c>
      <c r="Q124" s="14"/>
    </row>
    <row r="125" spans="1:17" ht="22.5" x14ac:dyDescent="0.25">
      <c r="A125" s="11" t="s">
        <v>4921</v>
      </c>
      <c r="B125" s="13" t="s">
        <v>24</v>
      </c>
      <c r="C125" s="61" t="s">
        <v>1960</v>
      </c>
      <c r="D125" s="13" t="s">
        <v>19</v>
      </c>
      <c r="E125" s="14" t="s">
        <v>21</v>
      </c>
      <c r="F125" s="14" t="s">
        <v>11</v>
      </c>
      <c r="G125" s="13"/>
      <c r="H125" s="14">
        <f>G125+I125</f>
        <v>1</v>
      </c>
      <c r="I125" s="14">
        <v>1</v>
      </c>
      <c r="J125" s="14">
        <v>1</v>
      </c>
      <c r="K125" s="13" t="s">
        <v>389</v>
      </c>
      <c r="L125" s="14" t="s">
        <v>110</v>
      </c>
      <c r="M125" s="14">
        <v>847</v>
      </c>
      <c r="N125" s="14">
        <v>6372</v>
      </c>
      <c r="O125" s="14">
        <v>408470</v>
      </c>
      <c r="P125" s="14">
        <v>163720</v>
      </c>
      <c r="Q125" s="14"/>
    </row>
    <row r="126" spans="1:17" ht="33.75" x14ac:dyDescent="0.25">
      <c r="A126" s="11" t="s">
        <v>4921</v>
      </c>
      <c r="B126" s="13" t="s">
        <v>24</v>
      </c>
      <c r="C126" s="61" t="s">
        <v>122</v>
      </c>
      <c r="D126" s="13" t="s">
        <v>3886</v>
      </c>
      <c r="E126" s="14" t="s">
        <v>21</v>
      </c>
      <c r="F126" s="14" t="s">
        <v>11</v>
      </c>
      <c r="G126" s="13">
        <v>2</v>
      </c>
      <c r="H126" s="14">
        <f t="shared" si="4"/>
        <v>3</v>
      </c>
      <c r="I126" s="14">
        <v>1</v>
      </c>
      <c r="J126" s="14">
        <v>3</v>
      </c>
      <c r="K126" s="13" t="s">
        <v>5191</v>
      </c>
      <c r="L126" s="14" t="s">
        <v>110</v>
      </c>
      <c r="M126" s="14">
        <v>1184</v>
      </c>
      <c r="N126" s="14">
        <v>6802</v>
      </c>
      <c r="O126" s="14">
        <v>411840</v>
      </c>
      <c r="P126" s="14">
        <v>168020</v>
      </c>
      <c r="Q126" s="14"/>
    </row>
    <row r="127" spans="1:17" ht="22.5" x14ac:dyDescent="0.25">
      <c r="A127" s="11" t="s">
        <v>4921</v>
      </c>
      <c r="B127" s="13" t="s">
        <v>24</v>
      </c>
      <c r="C127" s="61" t="s">
        <v>27</v>
      </c>
      <c r="D127" s="13" t="s">
        <v>125</v>
      </c>
      <c r="E127" s="14" t="s">
        <v>21</v>
      </c>
      <c r="F127" s="14" t="s">
        <v>11</v>
      </c>
      <c r="G127" s="13"/>
      <c r="H127" s="14">
        <f t="shared" si="4"/>
        <v>3</v>
      </c>
      <c r="I127" s="14">
        <v>3</v>
      </c>
      <c r="J127" s="14">
        <v>1</v>
      </c>
      <c r="K127" s="13" t="s">
        <v>1583</v>
      </c>
      <c r="L127" s="14" t="s">
        <v>110</v>
      </c>
      <c r="M127" s="14">
        <v>1001</v>
      </c>
      <c r="N127" s="14">
        <v>6853</v>
      </c>
      <c r="O127" s="14">
        <v>410010</v>
      </c>
      <c r="P127" s="14">
        <v>168530</v>
      </c>
      <c r="Q127" s="14"/>
    </row>
    <row r="128" spans="1:17" x14ac:dyDescent="0.25">
      <c r="A128" s="11" t="s">
        <v>4921</v>
      </c>
      <c r="B128" s="13" t="s">
        <v>24</v>
      </c>
      <c r="C128" s="61" t="s">
        <v>60</v>
      </c>
      <c r="D128" s="13" t="s">
        <v>26</v>
      </c>
      <c r="E128" s="14" t="s">
        <v>21</v>
      </c>
      <c r="F128" s="14" t="s">
        <v>11</v>
      </c>
      <c r="G128" s="13"/>
      <c r="H128" s="14">
        <f t="shared" si="4"/>
        <v>10</v>
      </c>
      <c r="I128" s="14">
        <v>10</v>
      </c>
      <c r="J128" s="14">
        <v>5</v>
      </c>
      <c r="K128" s="13" t="s">
        <v>5162</v>
      </c>
      <c r="L128" s="14" t="s">
        <v>110</v>
      </c>
      <c r="M128" s="14">
        <v>900</v>
      </c>
      <c r="N128" s="14">
        <v>6927</v>
      </c>
      <c r="O128" s="14">
        <v>409000</v>
      </c>
      <c r="P128" s="14">
        <v>169270</v>
      </c>
      <c r="Q128" s="14"/>
    </row>
    <row r="129" spans="1:17" ht="22.5" x14ac:dyDescent="0.25">
      <c r="A129" s="11" t="s">
        <v>4921</v>
      </c>
      <c r="B129" s="13" t="s">
        <v>24</v>
      </c>
      <c r="C129" s="61" t="s">
        <v>13</v>
      </c>
      <c r="D129" s="13" t="s">
        <v>511</v>
      </c>
      <c r="E129" s="14" t="s">
        <v>21</v>
      </c>
      <c r="F129" s="14" t="s">
        <v>11</v>
      </c>
      <c r="G129" s="13">
        <v>13</v>
      </c>
      <c r="H129" s="14">
        <f t="shared" si="4"/>
        <v>30</v>
      </c>
      <c r="I129" s="14">
        <v>17</v>
      </c>
      <c r="J129" s="14">
        <v>15</v>
      </c>
      <c r="K129" s="13" t="s">
        <v>5190</v>
      </c>
      <c r="L129" s="14" t="s">
        <v>110</v>
      </c>
      <c r="M129" s="14">
        <v>1224</v>
      </c>
      <c r="N129" s="14">
        <v>4128</v>
      </c>
      <c r="O129" s="14">
        <v>412240</v>
      </c>
      <c r="P129" s="14">
        <v>141280</v>
      </c>
      <c r="Q129" s="14"/>
    </row>
    <row r="130" spans="1:17" ht="22.5" x14ac:dyDescent="0.25">
      <c r="A130" s="11" t="s">
        <v>4921</v>
      </c>
      <c r="B130" s="13" t="s">
        <v>24</v>
      </c>
      <c r="C130" s="61" t="s">
        <v>2221</v>
      </c>
      <c r="D130" s="13" t="s">
        <v>1447</v>
      </c>
      <c r="E130" s="14" t="s">
        <v>21</v>
      </c>
      <c r="F130" s="14" t="s">
        <v>11</v>
      </c>
      <c r="G130" s="13"/>
      <c r="H130" s="14">
        <f t="shared" si="4"/>
        <v>1</v>
      </c>
      <c r="I130" s="14">
        <v>1</v>
      </c>
      <c r="J130" s="14">
        <v>1</v>
      </c>
      <c r="K130" s="13" t="s">
        <v>1309</v>
      </c>
      <c r="L130" s="14" t="s">
        <v>110</v>
      </c>
      <c r="M130" s="14">
        <v>1224</v>
      </c>
      <c r="N130" s="14">
        <v>4128</v>
      </c>
      <c r="O130" s="14">
        <v>412240</v>
      </c>
      <c r="P130" s="14">
        <v>141280</v>
      </c>
      <c r="Q130" s="14"/>
    </row>
    <row r="131" spans="1:17" x14ac:dyDescent="0.25">
      <c r="A131" s="11" t="s">
        <v>4921</v>
      </c>
      <c r="B131" s="13" t="s">
        <v>24</v>
      </c>
      <c r="C131" s="61" t="s">
        <v>1172</v>
      </c>
      <c r="D131" s="13" t="s">
        <v>1173</v>
      </c>
      <c r="E131" s="14" t="s">
        <v>21</v>
      </c>
      <c r="F131" s="14" t="s">
        <v>11</v>
      </c>
      <c r="G131" s="13"/>
      <c r="H131" s="14">
        <f t="shared" si="4"/>
        <v>2</v>
      </c>
      <c r="I131" s="14">
        <v>2</v>
      </c>
      <c r="J131" s="14">
        <v>2</v>
      </c>
      <c r="K131" s="13" t="s">
        <v>5022</v>
      </c>
      <c r="L131" s="14" t="s">
        <v>110</v>
      </c>
      <c r="M131" s="14">
        <v>1224</v>
      </c>
      <c r="N131" s="14">
        <v>4128</v>
      </c>
      <c r="O131" s="14">
        <v>412240</v>
      </c>
      <c r="P131" s="14">
        <v>141280</v>
      </c>
      <c r="Q131" s="14"/>
    </row>
    <row r="132" spans="1:17" x14ac:dyDescent="0.25">
      <c r="A132" s="11" t="s">
        <v>4921</v>
      </c>
      <c r="B132" s="13" t="s">
        <v>24</v>
      </c>
      <c r="C132" s="61" t="s">
        <v>1177</v>
      </c>
      <c r="D132" s="13" t="s">
        <v>1179</v>
      </c>
      <c r="E132" s="14" t="s">
        <v>21</v>
      </c>
      <c r="F132" s="14" t="s">
        <v>11</v>
      </c>
      <c r="G132" s="13"/>
      <c r="H132" s="14">
        <f t="shared" si="4"/>
        <v>4</v>
      </c>
      <c r="I132" s="14">
        <v>4</v>
      </c>
      <c r="J132" s="14">
        <v>1</v>
      </c>
      <c r="K132" s="13" t="s">
        <v>1513</v>
      </c>
      <c r="L132" s="14" t="s">
        <v>110</v>
      </c>
      <c r="M132" s="14">
        <v>1224</v>
      </c>
      <c r="N132" s="14">
        <v>4128</v>
      </c>
      <c r="O132" s="14">
        <v>412240</v>
      </c>
      <c r="P132" s="14">
        <v>141280</v>
      </c>
      <c r="Q132" s="14"/>
    </row>
    <row r="133" spans="1:17" x14ac:dyDescent="0.25">
      <c r="A133" s="11" t="s">
        <v>4921</v>
      </c>
      <c r="B133" s="13" t="s">
        <v>24</v>
      </c>
      <c r="C133" s="61" t="s">
        <v>25</v>
      </c>
      <c r="D133" s="13" t="s">
        <v>26</v>
      </c>
      <c r="E133" s="14" t="s">
        <v>21</v>
      </c>
      <c r="F133" s="14" t="s">
        <v>11</v>
      </c>
      <c r="G133" s="13">
        <v>1</v>
      </c>
      <c r="H133" s="14">
        <f t="shared" si="4"/>
        <v>8</v>
      </c>
      <c r="I133" s="14">
        <v>7</v>
      </c>
      <c r="J133" s="14">
        <v>3</v>
      </c>
      <c r="K133" s="13" t="s">
        <v>4950</v>
      </c>
      <c r="L133" s="14" t="s">
        <v>110</v>
      </c>
      <c r="M133" s="14">
        <v>1046</v>
      </c>
      <c r="N133" s="14">
        <v>6774</v>
      </c>
      <c r="O133" s="14">
        <v>410460</v>
      </c>
      <c r="P133" s="14">
        <v>167740</v>
      </c>
      <c r="Q133" s="14"/>
    </row>
    <row r="134" spans="1:17" x14ac:dyDescent="0.25">
      <c r="A134" s="11" t="s">
        <v>4921</v>
      </c>
      <c r="B134" s="13" t="s">
        <v>24</v>
      </c>
      <c r="C134" s="61" t="s">
        <v>1154</v>
      </c>
      <c r="D134" s="13" t="s">
        <v>121</v>
      </c>
      <c r="E134" s="14" t="s">
        <v>21</v>
      </c>
      <c r="F134" s="14" t="s">
        <v>11</v>
      </c>
      <c r="G134" s="13">
        <v>2</v>
      </c>
      <c r="H134" s="14">
        <f t="shared" si="4"/>
        <v>5</v>
      </c>
      <c r="I134" s="14">
        <v>3</v>
      </c>
      <c r="J134" s="14">
        <v>4</v>
      </c>
      <c r="K134" s="13" t="s">
        <v>5193</v>
      </c>
      <c r="L134" s="14" t="s">
        <v>110</v>
      </c>
      <c r="M134" s="14">
        <v>1196</v>
      </c>
      <c r="N134" s="14">
        <v>6835</v>
      </c>
      <c r="O134" s="14">
        <v>411960</v>
      </c>
      <c r="P134" s="14">
        <v>168350</v>
      </c>
      <c r="Q134" s="14"/>
    </row>
    <row r="135" spans="1:17" ht="22.5" x14ac:dyDescent="0.25">
      <c r="A135" s="11" t="s">
        <v>4921</v>
      </c>
      <c r="B135" s="13" t="s">
        <v>24</v>
      </c>
      <c r="C135" s="61" t="s">
        <v>2367</v>
      </c>
      <c r="D135" s="13" t="s">
        <v>1932</v>
      </c>
      <c r="E135" s="14" t="s">
        <v>21</v>
      </c>
      <c r="F135" s="14" t="s">
        <v>11</v>
      </c>
      <c r="G135" s="13"/>
      <c r="H135" s="14">
        <f t="shared" si="4"/>
        <v>4</v>
      </c>
      <c r="I135" s="14">
        <v>4</v>
      </c>
      <c r="J135" s="14">
        <v>4</v>
      </c>
      <c r="K135" s="13" t="s">
        <v>4913</v>
      </c>
      <c r="L135" s="14" t="s">
        <v>119</v>
      </c>
      <c r="M135" s="14">
        <v>803</v>
      </c>
      <c r="N135" s="14">
        <v>346</v>
      </c>
      <c r="O135" s="14">
        <v>380300</v>
      </c>
      <c r="P135" s="14">
        <v>134600</v>
      </c>
      <c r="Q135" s="14"/>
    </row>
    <row r="136" spans="1:17" ht="22.5" x14ac:dyDescent="0.25">
      <c r="A136" s="11" t="s">
        <v>4921</v>
      </c>
      <c r="B136" s="13" t="s">
        <v>24</v>
      </c>
      <c r="C136" s="61" t="s">
        <v>5135</v>
      </c>
      <c r="D136" s="13" t="s">
        <v>540</v>
      </c>
      <c r="E136" s="14" t="s">
        <v>21</v>
      </c>
      <c r="F136" s="14" t="s">
        <v>11</v>
      </c>
      <c r="G136" s="13"/>
      <c r="H136" s="14">
        <f>G136+I136</f>
        <v>2</v>
      </c>
      <c r="I136" s="14">
        <v>2</v>
      </c>
      <c r="J136" s="14">
        <v>2</v>
      </c>
      <c r="K136" s="13" t="s">
        <v>5166</v>
      </c>
      <c r="L136" s="14" t="s">
        <v>110</v>
      </c>
      <c r="M136" s="14">
        <v>228</v>
      </c>
      <c r="N136" s="14">
        <v>349</v>
      </c>
      <c r="O136" s="14">
        <v>422800</v>
      </c>
      <c r="P136" s="14">
        <v>134900</v>
      </c>
      <c r="Q136" s="14"/>
    </row>
    <row r="137" spans="1:17" ht="33.75" x14ac:dyDescent="0.25">
      <c r="A137" s="11" t="s">
        <v>4921</v>
      </c>
      <c r="B137" s="13" t="s">
        <v>24</v>
      </c>
      <c r="C137" s="61" t="s">
        <v>28</v>
      </c>
      <c r="D137" s="13" t="s">
        <v>3167</v>
      </c>
      <c r="E137" s="14" t="s">
        <v>21</v>
      </c>
      <c r="F137" s="14" t="s">
        <v>11</v>
      </c>
      <c r="G137" s="13">
        <v>32</v>
      </c>
      <c r="H137" s="14">
        <f t="shared" si="4"/>
        <v>32</v>
      </c>
      <c r="J137" s="14">
        <v>20</v>
      </c>
      <c r="K137" s="13" t="s">
        <v>5048</v>
      </c>
      <c r="L137" s="14" t="s">
        <v>110</v>
      </c>
      <c r="M137" s="14">
        <v>86</v>
      </c>
      <c r="N137" s="14">
        <v>714</v>
      </c>
      <c r="O137" s="14">
        <v>408600</v>
      </c>
      <c r="P137" s="14">
        <v>171400</v>
      </c>
      <c r="Q137" s="14"/>
    </row>
    <row r="138" spans="1:17" ht="22.5" x14ac:dyDescent="0.25">
      <c r="A138" s="11" t="s">
        <v>4921</v>
      </c>
      <c r="B138" s="13" t="s">
        <v>24</v>
      </c>
      <c r="C138" s="61" t="s">
        <v>28</v>
      </c>
      <c r="D138" s="13" t="s">
        <v>19</v>
      </c>
      <c r="E138" s="14" t="s">
        <v>21</v>
      </c>
      <c r="F138" s="14" t="s">
        <v>11</v>
      </c>
      <c r="G138" s="13">
        <v>1</v>
      </c>
      <c r="H138" s="14">
        <f t="shared" si="4"/>
        <v>15</v>
      </c>
      <c r="I138" s="14">
        <v>14</v>
      </c>
      <c r="J138" s="14">
        <v>11</v>
      </c>
      <c r="K138" s="13" t="s">
        <v>5027</v>
      </c>
      <c r="L138" s="14" t="s">
        <v>110</v>
      </c>
      <c r="M138" s="14">
        <v>86</v>
      </c>
      <c r="N138" s="14">
        <v>714</v>
      </c>
      <c r="O138" s="14">
        <v>408600</v>
      </c>
      <c r="P138" s="14">
        <v>171400</v>
      </c>
      <c r="Q138" s="14"/>
    </row>
    <row r="139" spans="1:17" x14ac:dyDescent="0.25">
      <c r="A139" s="11" t="s">
        <v>4921</v>
      </c>
      <c r="B139" s="13" t="s">
        <v>24</v>
      </c>
      <c r="C139" s="61" t="s">
        <v>28</v>
      </c>
      <c r="D139" s="13" t="s">
        <v>1207</v>
      </c>
      <c r="E139" s="14" t="s">
        <v>21</v>
      </c>
      <c r="F139" s="14" t="s">
        <v>11</v>
      </c>
      <c r="G139" s="13"/>
      <c r="H139" s="14">
        <f>G139+I139</f>
        <v>2</v>
      </c>
      <c r="I139" s="14">
        <v>2</v>
      </c>
      <c r="J139" s="14">
        <v>2</v>
      </c>
      <c r="K139" s="13" t="s">
        <v>5019</v>
      </c>
      <c r="L139" s="14" t="s">
        <v>110</v>
      </c>
      <c r="M139" s="14">
        <v>86</v>
      </c>
      <c r="N139" s="14">
        <v>714</v>
      </c>
      <c r="O139" s="14">
        <v>408600</v>
      </c>
      <c r="P139" s="14">
        <v>171400</v>
      </c>
      <c r="Q139" s="14"/>
    </row>
    <row r="140" spans="1:17" x14ac:dyDescent="0.25">
      <c r="A140" s="11" t="s">
        <v>4921</v>
      </c>
      <c r="B140" s="13" t="s">
        <v>24</v>
      </c>
      <c r="C140" s="61" t="s">
        <v>5142</v>
      </c>
      <c r="D140" s="13" t="s">
        <v>5143</v>
      </c>
      <c r="E140" s="14" t="s">
        <v>21</v>
      </c>
      <c r="F140" s="14" t="s">
        <v>11</v>
      </c>
      <c r="G140" s="13">
        <v>1</v>
      </c>
      <c r="H140" s="14">
        <f>G140+I140</f>
        <v>1</v>
      </c>
      <c r="J140" s="14">
        <v>1</v>
      </c>
      <c r="K140" s="13" t="s">
        <v>4262</v>
      </c>
      <c r="L140" s="14" t="s">
        <v>110</v>
      </c>
      <c r="M140" s="14">
        <v>1192</v>
      </c>
      <c r="N140" s="14">
        <v>3979</v>
      </c>
      <c r="O140" s="14">
        <v>411920</v>
      </c>
      <c r="P140" s="14">
        <v>139790</v>
      </c>
      <c r="Q140" s="14"/>
    </row>
    <row r="141" spans="1:17" ht="34.5" customHeight="1" x14ac:dyDescent="0.25">
      <c r="A141" s="11" t="s">
        <v>4921</v>
      </c>
      <c r="B141" s="13" t="s">
        <v>24</v>
      </c>
      <c r="C141" s="61" t="s">
        <v>14</v>
      </c>
      <c r="D141" s="13" t="s">
        <v>5186</v>
      </c>
      <c r="E141" s="14" t="s">
        <v>21</v>
      </c>
      <c r="F141" s="14" t="s">
        <v>11</v>
      </c>
      <c r="G141" s="13">
        <v>3</v>
      </c>
      <c r="H141" s="14">
        <f t="shared" si="4"/>
        <v>9</v>
      </c>
      <c r="I141" s="14">
        <v>6</v>
      </c>
      <c r="J141" s="14">
        <v>7</v>
      </c>
      <c r="K141" s="13" t="s">
        <v>5187</v>
      </c>
      <c r="L141" s="14" t="s">
        <v>110</v>
      </c>
      <c r="M141" s="14">
        <v>1506</v>
      </c>
      <c r="N141" s="14">
        <v>4337</v>
      </c>
      <c r="O141" s="14">
        <v>415060</v>
      </c>
      <c r="P141" s="14">
        <v>143370</v>
      </c>
      <c r="Q141" s="14"/>
    </row>
    <row r="142" spans="1:17" ht="56.25" x14ac:dyDescent="0.25">
      <c r="A142" s="11" t="s">
        <v>4921</v>
      </c>
      <c r="B142" s="13" t="s">
        <v>139</v>
      </c>
      <c r="C142" s="61" t="s">
        <v>1124</v>
      </c>
      <c r="D142" s="13" t="s">
        <v>5188</v>
      </c>
      <c r="E142" s="14" t="s">
        <v>272</v>
      </c>
      <c r="F142" s="14" t="s">
        <v>11</v>
      </c>
      <c r="G142" s="13">
        <v>1</v>
      </c>
      <c r="H142" s="14">
        <f t="shared" si="4"/>
        <v>2</v>
      </c>
      <c r="I142" s="14">
        <v>1</v>
      </c>
      <c r="J142" s="14">
        <v>2</v>
      </c>
      <c r="K142" s="13" t="s">
        <v>5189</v>
      </c>
      <c r="L142" s="14" t="s">
        <v>271</v>
      </c>
      <c r="M142" s="14">
        <v>8282</v>
      </c>
      <c r="N142" s="14">
        <v>5620</v>
      </c>
      <c r="O142" s="14">
        <v>482820</v>
      </c>
      <c r="P142" s="14">
        <v>456200</v>
      </c>
      <c r="Q142" s="14"/>
    </row>
    <row r="143" spans="1:17" ht="22.5" x14ac:dyDescent="0.25">
      <c r="A143" s="11" t="s">
        <v>4921</v>
      </c>
      <c r="B143" s="13" t="s">
        <v>139</v>
      </c>
      <c r="C143" s="61" t="s">
        <v>4940</v>
      </c>
      <c r="D143" s="13" t="s">
        <v>453</v>
      </c>
      <c r="E143" s="14" t="s">
        <v>2662</v>
      </c>
      <c r="F143" s="14" t="s">
        <v>11</v>
      </c>
      <c r="G143" s="13"/>
      <c r="H143" s="14">
        <f t="shared" si="4"/>
        <v>4</v>
      </c>
      <c r="I143" s="14">
        <v>4</v>
      </c>
      <c r="J143" s="14">
        <v>4</v>
      </c>
      <c r="K143" s="13" t="s">
        <v>5152</v>
      </c>
      <c r="L143" s="14" t="s">
        <v>137</v>
      </c>
      <c r="M143" s="14">
        <v>2255</v>
      </c>
      <c r="N143" s="14">
        <v>6930</v>
      </c>
      <c r="O143" s="14">
        <v>522550</v>
      </c>
      <c r="P143" s="14">
        <v>469300</v>
      </c>
      <c r="Q143" s="14"/>
    </row>
    <row r="144" spans="1:17" x14ac:dyDescent="0.25">
      <c r="A144" s="11" t="s">
        <v>4921</v>
      </c>
      <c r="B144" s="13" t="s">
        <v>139</v>
      </c>
      <c r="C144" s="61" t="s">
        <v>1834</v>
      </c>
      <c r="D144" s="13" t="s">
        <v>90</v>
      </c>
      <c r="E144" s="14" t="s">
        <v>272</v>
      </c>
      <c r="F144" s="14" t="s">
        <v>11</v>
      </c>
      <c r="G144" s="13">
        <v>1</v>
      </c>
      <c r="H144" s="14">
        <f>G144+I144</f>
        <v>2</v>
      </c>
      <c r="I144" s="14">
        <v>1</v>
      </c>
      <c r="J144" s="14">
        <v>2</v>
      </c>
      <c r="K144" s="13" t="s">
        <v>1588</v>
      </c>
      <c r="L144" s="14" t="s">
        <v>137</v>
      </c>
      <c r="M144" s="14">
        <v>59</v>
      </c>
      <c r="N144" s="14">
        <v>778</v>
      </c>
      <c r="O144" s="14">
        <v>505900</v>
      </c>
      <c r="P144" s="14">
        <v>477800</v>
      </c>
      <c r="Q144" s="14"/>
    </row>
    <row r="145" spans="1:17" x14ac:dyDescent="0.25">
      <c r="A145" s="11" t="s">
        <v>4921</v>
      </c>
      <c r="B145" s="13" t="s">
        <v>139</v>
      </c>
      <c r="C145" s="61" t="s">
        <v>1618</v>
      </c>
      <c r="D145" s="13" t="s">
        <v>90</v>
      </c>
      <c r="E145" s="14" t="s">
        <v>272</v>
      </c>
      <c r="F145" s="14" t="s">
        <v>11</v>
      </c>
      <c r="G145" s="13">
        <v>1</v>
      </c>
      <c r="H145" s="14">
        <f t="shared" si="4"/>
        <v>1</v>
      </c>
      <c r="J145" s="14">
        <v>1</v>
      </c>
      <c r="K145" s="13" t="s">
        <v>846</v>
      </c>
      <c r="L145" s="14" t="s">
        <v>271</v>
      </c>
      <c r="M145" s="14">
        <v>9790</v>
      </c>
      <c r="N145" s="14">
        <v>5755</v>
      </c>
      <c r="O145" s="14">
        <v>497900</v>
      </c>
      <c r="P145" s="14">
        <v>457550</v>
      </c>
      <c r="Q145" s="14"/>
    </row>
    <row r="146" spans="1:17" ht="22.5" x14ac:dyDescent="0.25">
      <c r="A146" s="11" t="s">
        <v>4921</v>
      </c>
      <c r="B146" s="13" t="s">
        <v>139</v>
      </c>
      <c r="C146" s="61" t="s">
        <v>4930</v>
      </c>
      <c r="D146" s="13" t="s">
        <v>278</v>
      </c>
      <c r="E146" s="14" t="s">
        <v>4931</v>
      </c>
      <c r="F146" s="14" t="s">
        <v>11</v>
      </c>
      <c r="G146" s="13"/>
      <c r="H146" s="14">
        <f>G146+I146</f>
        <v>1</v>
      </c>
      <c r="I146" s="14">
        <v>1</v>
      </c>
      <c r="J146" s="14">
        <v>1</v>
      </c>
      <c r="K146" s="13" t="s">
        <v>2530</v>
      </c>
      <c r="L146" s="14" t="s">
        <v>271</v>
      </c>
      <c r="M146" s="14">
        <v>8575</v>
      </c>
      <c r="N146" s="14">
        <v>5734</v>
      </c>
      <c r="O146" s="14">
        <v>485750</v>
      </c>
      <c r="P146" s="14">
        <v>457340</v>
      </c>
      <c r="Q146" s="14"/>
    </row>
    <row r="147" spans="1:17" x14ac:dyDescent="0.25">
      <c r="A147" s="11" t="s">
        <v>4921</v>
      </c>
      <c r="B147" s="13" t="s">
        <v>139</v>
      </c>
      <c r="C147" s="61" t="s">
        <v>556</v>
      </c>
      <c r="D147" s="13" t="s">
        <v>90</v>
      </c>
      <c r="E147" s="14" t="s">
        <v>134</v>
      </c>
      <c r="F147" s="14" t="s">
        <v>11</v>
      </c>
      <c r="G147" s="13"/>
      <c r="H147" s="14">
        <f t="shared" si="4"/>
        <v>3</v>
      </c>
      <c r="I147" s="14">
        <v>3</v>
      </c>
      <c r="J147" s="14">
        <v>2</v>
      </c>
      <c r="K147" s="13" t="s">
        <v>5185</v>
      </c>
      <c r="L147" s="14" t="s">
        <v>137</v>
      </c>
      <c r="M147" s="14">
        <v>12</v>
      </c>
      <c r="N147" s="14">
        <v>565</v>
      </c>
      <c r="O147" s="14">
        <v>501200</v>
      </c>
      <c r="P147" s="14">
        <v>456500</v>
      </c>
      <c r="Q147" s="14"/>
    </row>
    <row r="148" spans="1:17" x14ac:dyDescent="0.25">
      <c r="A148" s="11" t="s">
        <v>4921</v>
      </c>
      <c r="B148" s="13" t="s">
        <v>139</v>
      </c>
      <c r="C148" s="61" t="s">
        <v>135</v>
      </c>
      <c r="D148" s="13" t="s">
        <v>26</v>
      </c>
      <c r="E148" s="14" t="s">
        <v>134</v>
      </c>
      <c r="F148" s="14" t="s">
        <v>11</v>
      </c>
      <c r="G148" s="13"/>
      <c r="H148" s="14">
        <f t="shared" si="4"/>
        <v>4</v>
      </c>
      <c r="I148" s="14">
        <v>4</v>
      </c>
      <c r="J148" s="14">
        <v>4</v>
      </c>
      <c r="K148" s="13" t="s">
        <v>4966</v>
      </c>
      <c r="L148" s="14" t="s">
        <v>137</v>
      </c>
      <c r="M148" s="14">
        <v>560</v>
      </c>
      <c r="N148" s="14">
        <v>6732</v>
      </c>
      <c r="O148" s="14">
        <v>505600</v>
      </c>
      <c r="P148" s="14">
        <v>467320</v>
      </c>
      <c r="Q148" s="14"/>
    </row>
    <row r="149" spans="1:17" ht="45" x14ac:dyDescent="0.25">
      <c r="A149" s="11" t="s">
        <v>4921</v>
      </c>
      <c r="B149" s="13" t="s">
        <v>139</v>
      </c>
      <c r="C149" s="61" t="s">
        <v>454</v>
      </c>
      <c r="D149" s="13" t="s">
        <v>4560</v>
      </c>
      <c r="E149" s="14" t="s">
        <v>455</v>
      </c>
      <c r="F149" s="14" t="s">
        <v>11</v>
      </c>
      <c r="G149" s="13">
        <v>1</v>
      </c>
      <c r="H149" s="14">
        <f t="shared" si="4"/>
        <v>2</v>
      </c>
      <c r="I149" s="14">
        <v>1</v>
      </c>
      <c r="J149" s="14">
        <v>2</v>
      </c>
      <c r="K149" s="13" t="s">
        <v>5051</v>
      </c>
      <c r="L149" s="14" t="s">
        <v>137</v>
      </c>
      <c r="M149" s="14">
        <v>99</v>
      </c>
      <c r="N149" s="14">
        <v>657</v>
      </c>
      <c r="O149" s="14">
        <v>509900</v>
      </c>
      <c r="P149" s="14">
        <v>465700</v>
      </c>
      <c r="Q149" s="14"/>
    </row>
    <row r="150" spans="1:17" ht="22.5" x14ac:dyDescent="0.25">
      <c r="A150" s="11" t="s">
        <v>4921</v>
      </c>
      <c r="B150" s="13" t="s">
        <v>139</v>
      </c>
      <c r="C150" s="61" t="s">
        <v>4932</v>
      </c>
      <c r="D150" s="13" t="s">
        <v>278</v>
      </c>
      <c r="E150" s="14" t="s">
        <v>4932</v>
      </c>
      <c r="F150" s="14" t="s">
        <v>11</v>
      </c>
      <c r="G150" s="13"/>
      <c r="H150" s="14">
        <f>G150+I150</f>
        <v>1</v>
      </c>
      <c r="I150" s="14">
        <v>1</v>
      </c>
      <c r="J150" s="14">
        <v>1</v>
      </c>
      <c r="K150" s="13" t="s">
        <v>2530</v>
      </c>
      <c r="L150" s="14" t="s">
        <v>271</v>
      </c>
      <c r="M150" s="14">
        <v>901</v>
      </c>
      <c r="N150" s="14">
        <v>514</v>
      </c>
      <c r="O150" s="14">
        <v>490100</v>
      </c>
      <c r="P150" s="14">
        <v>451400</v>
      </c>
      <c r="Q150" s="14"/>
    </row>
    <row r="151" spans="1:17" x14ac:dyDescent="0.25">
      <c r="A151" s="11" t="s">
        <v>4921</v>
      </c>
      <c r="B151" s="13" t="s">
        <v>139</v>
      </c>
      <c r="C151" s="61" t="s">
        <v>1371</v>
      </c>
      <c r="D151" s="13" t="s">
        <v>26</v>
      </c>
      <c r="E151" s="14" t="s">
        <v>455</v>
      </c>
      <c r="F151" s="14" t="s">
        <v>11</v>
      </c>
      <c r="G151" s="13"/>
      <c r="H151" s="14">
        <f t="shared" si="4"/>
        <v>8</v>
      </c>
      <c r="I151" s="14">
        <v>8</v>
      </c>
      <c r="J151" s="14">
        <v>6</v>
      </c>
      <c r="K151" s="13" t="s">
        <v>4965</v>
      </c>
      <c r="L151" s="14" t="s">
        <v>137</v>
      </c>
      <c r="M151" s="14">
        <v>29</v>
      </c>
      <c r="N151" s="14">
        <v>761</v>
      </c>
      <c r="O151" s="14">
        <v>502900</v>
      </c>
      <c r="P151" s="14">
        <v>476100</v>
      </c>
      <c r="Q151" s="14"/>
    </row>
    <row r="152" spans="1:17" ht="22.5" x14ac:dyDescent="0.25">
      <c r="A152" s="11" t="s">
        <v>4921</v>
      </c>
      <c r="B152" s="13" t="s">
        <v>139</v>
      </c>
      <c r="C152" s="61" t="s">
        <v>4935</v>
      </c>
      <c r="D152" s="13" t="s">
        <v>278</v>
      </c>
      <c r="E152" s="14" t="s">
        <v>4936</v>
      </c>
      <c r="F152" s="14" t="s">
        <v>11</v>
      </c>
      <c r="G152" s="13"/>
      <c r="H152" s="14">
        <f t="shared" si="4"/>
        <v>2</v>
      </c>
      <c r="I152" s="14">
        <v>2</v>
      </c>
      <c r="J152" s="14">
        <v>2</v>
      </c>
      <c r="K152" s="13" t="s">
        <v>5071</v>
      </c>
      <c r="L152" s="14" t="s">
        <v>137</v>
      </c>
      <c r="M152" s="14">
        <v>616</v>
      </c>
      <c r="N152" s="14">
        <v>7235</v>
      </c>
      <c r="O152" s="14">
        <v>506160</v>
      </c>
      <c r="P152" s="14">
        <v>472350</v>
      </c>
      <c r="Q152" s="14"/>
    </row>
    <row r="153" spans="1:17" ht="22.5" x14ac:dyDescent="0.25">
      <c r="A153" s="11" t="s">
        <v>4921</v>
      </c>
      <c r="B153" s="13" t="s">
        <v>269</v>
      </c>
      <c r="C153" s="61" t="s">
        <v>4933</v>
      </c>
      <c r="D153" s="13" t="s">
        <v>278</v>
      </c>
      <c r="E153" s="13" t="s">
        <v>4934</v>
      </c>
      <c r="F153" s="14" t="s">
        <v>11</v>
      </c>
      <c r="G153" s="13"/>
      <c r="H153" s="14">
        <f>G153+I153</f>
        <v>1</v>
      </c>
      <c r="I153" s="14">
        <v>1</v>
      </c>
      <c r="J153" s="14">
        <v>1</v>
      </c>
      <c r="K153" s="13" t="s">
        <v>2530</v>
      </c>
      <c r="L153" s="14" t="s">
        <v>218</v>
      </c>
      <c r="M153" s="14">
        <v>593</v>
      </c>
      <c r="N153" s="14">
        <v>113</v>
      </c>
      <c r="O153" s="14">
        <v>459300</v>
      </c>
      <c r="P153" s="14">
        <v>511300</v>
      </c>
      <c r="Q153" s="14"/>
    </row>
    <row r="154" spans="1:17" ht="45" x14ac:dyDescent="0.25">
      <c r="A154" s="11" t="s">
        <v>4921</v>
      </c>
      <c r="B154" s="13" t="s">
        <v>269</v>
      </c>
      <c r="C154" s="61" t="s">
        <v>5070</v>
      </c>
      <c r="D154" s="13" t="s">
        <v>3914</v>
      </c>
      <c r="E154" s="14" t="s">
        <v>437</v>
      </c>
      <c r="F154" s="14" t="s">
        <v>11</v>
      </c>
      <c r="G154" s="13"/>
      <c r="H154" s="14">
        <f>G154+I154</f>
        <v>1</v>
      </c>
      <c r="I154" s="14">
        <v>1</v>
      </c>
      <c r="J154" s="14">
        <v>1</v>
      </c>
      <c r="K154" s="13" t="s">
        <v>1583</v>
      </c>
      <c r="L154" s="14" t="s">
        <v>271</v>
      </c>
      <c r="M154" s="14">
        <v>8804</v>
      </c>
      <c r="N154" s="14">
        <v>6688</v>
      </c>
      <c r="O154" s="14">
        <v>488040</v>
      </c>
      <c r="P154" s="14">
        <v>466880</v>
      </c>
      <c r="Q154" s="14"/>
    </row>
    <row r="155" spans="1:17" x14ac:dyDescent="0.25">
      <c r="A155" s="11" t="s">
        <v>4921</v>
      </c>
      <c r="B155" s="13" t="s">
        <v>269</v>
      </c>
      <c r="C155" s="61" t="s">
        <v>270</v>
      </c>
      <c r="D155" s="13" t="s">
        <v>26</v>
      </c>
      <c r="E155" s="14" t="s">
        <v>272</v>
      </c>
      <c r="F155" s="14" t="s">
        <v>11</v>
      </c>
      <c r="G155" s="13"/>
      <c r="H155" s="14">
        <f t="shared" si="4"/>
        <v>3</v>
      </c>
      <c r="I155" s="14">
        <v>3</v>
      </c>
      <c r="J155" s="14">
        <v>1</v>
      </c>
      <c r="K155" s="13" t="s">
        <v>828</v>
      </c>
      <c r="L155" s="14" t="s">
        <v>271</v>
      </c>
      <c r="M155" s="14">
        <v>9382</v>
      </c>
      <c r="N155" s="14">
        <v>7523</v>
      </c>
      <c r="O155" s="14">
        <v>493820</v>
      </c>
      <c r="P155" s="14">
        <v>475230</v>
      </c>
      <c r="Q155" s="14"/>
    </row>
    <row r="156" spans="1:17" ht="33.75" x14ac:dyDescent="0.25">
      <c r="A156" s="11" t="s">
        <v>4921</v>
      </c>
      <c r="B156" s="13" t="s">
        <v>269</v>
      </c>
      <c r="C156" s="61" t="s">
        <v>3500</v>
      </c>
      <c r="D156" s="13" t="s">
        <v>3504</v>
      </c>
      <c r="E156" s="14" t="s">
        <v>437</v>
      </c>
      <c r="F156" s="14" t="s">
        <v>11</v>
      </c>
      <c r="G156" s="13">
        <v>1</v>
      </c>
      <c r="H156" s="14">
        <f t="shared" si="4"/>
        <v>1</v>
      </c>
      <c r="J156" s="14">
        <v>1</v>
      </c>
      <c r="K156" s="13" t="s">
        <v>840</v>
      </c>
      <c r="L156" s="14" t="s">
        <v>271</v>
      </c>
      <c r="M156" s="14">
        <v>8082</v>
      </c>
      <c r="N156" s="14">
        <v>6088</v>
      </c>
      <c r="O156" s="14">
        <v>480820</v>
      </c>
      <c r="P156" s="14">
        <v>460880</v>
      </c>
      <c r="Q156" s="14"/>
    </row>
    <row r="157" spans="1:17" ht="22.5" x14ac:dyDescent="0.25">
      <c r="A157" s="11" t="s">
        <v>4921</v>
      </c>
      <c r="B157" s="13" t="s">
        <v>269</v>
      </c>
      <c r="C157" s="61" t="s">
        <v>2686</v>
      </c>
      <c r="D157" s="13" t="s">
        <v>3496</v>
      </c>
      <c r="E157" s="14" t="s">
        <v>437</v>
      </c>
      <c r="F157" s="14" t="s">
        <v>11</v>
      </c>
      <c r="G157" s="13"/>
      <c r="H157" s="14">
        <f t="shared" si="4"/>
        <v>2</v>
      </c>
      <c r="I157" s="14">
        <v>2</v>
      </c>
      <c r="J157" s="14">
        <v>2</v>
      </c>
      <c r="K157" s="13" t="s">
        <v>4941</v>
      </c>
      <c r="L157" s="14" t="s">
        <v>271</v>
      </c>
      <c r="M157" s="14">
        <v>8082</v>
      </c>
      <c r="N157" s="14">
        <v>6088</v>
      </c>
      <c r="O157" s="14">
        <v>480820</v>
      </c>
      <c r="P157" s="14">
        <v>460880</v>
      </c>
      <c r="Q157" s="14"/>
    </row>
    <row r="158" spans="1:17" ht="23.25" customHeight="1" x14ac:dyDescent="0.25">
      <c r="A158" s="11" t="s">
        <v>4921</v>
      </c>
      <c r="B158" s="13" t="s">
        <v>269</v>
      </c>
      <c r="C158" s="61" t="s">
        <v>4929</v>
      </c>
      <c r="D158" s="13" t="s">
        <v>278</v>
      </c>
      <c r="E158" s="14" t="s">
        <v>437</v>
      </c>
      <c r="F158" s="14" t="s">
        <v>11</v>
      </c>
      <c r="G158" s="13"/>
      <c r="H158" s="14">
        <f>G158+I158</f>
        <v>1</v>
      </c>
      <c r="I158" s="14">
        <v>1</v>
      </c>
      <c r="J158" s="14">
        <v>1</v>
      </c>
      <c r="K158" s="13" t="s">
        <v>2530</v>
      </c>
      <c r="L158" s="14" t="s">
        <v>271</v>
      </c>
      <c r="M158" s="14">
        <v>91</v>
      </c>
      <c r="N158" s="14">
        <v>74</v>
      </c>
      <c r="O158" s="14">
        <v>491000</v>
      </c>
      <c r="P158" s="14">
        <v>474000</v>
      </c>
      <c r="Q158" s="14"/>
    </row>
    <row r="159" spans="1:17" ht="45" x14ac:dyDescent="0.25">
      <c r="A159" s="11" t="s">
        <v>4921</v>
      </c>
      <c r="B159" s="13" t="s">
        <v>269</v>
      </c>
      <c r="C159" s="61" t="s">
        <v>4417</v>
      </c>
      <c r="D159" s="13" t="s">
        <v>4418</v>
      </c>
      <c r="E159" s="14" t="s">
        <v>272</v>
      </c>
      <c r="F159" s="14" t="s">
        <v>11</v>
      </c>
      <c r="G159" s="13">
        <v>1</v>
      </c>
      <c r="H159" s="14">
        <f>G159+I159</f>
        <v>1</v>
      </c>
      <c r="J159" s="14">
        <v>1</v>
      </c>
      <c r="K159" s="13" t="s">
        <v>840</v>
      </c>
      <c r="L159" s="14" t="s">
        <v>271</v>
      </c>
      <c r="M159" s="14">
        <v>8981</v>
      </c>
      <c r="N159" s="14">
        <v>6495</v>
      </c>
      <c r="O159" s="14">
        <v>489810</v>
      </c>
      <c r="P159" s="14">
        <v>464950</v>
      </c>
      <c r="Q159" s="14"/>
    </row>
    <row r="160" spans="1:17" ht="33.75" x14ac:dyDescent="0.25">
      <c r="A160" s="11" t="s">
        <v>4921</v>
      </c>
      <c r="B160" s="13" t="s">
        <v>269</v>
      </c>
      <c r="C160" s="61" t="s">
        <v>3499</v>
      </c>
      <c r="D160" s="13" t="s">
        <v>3504</v>
      </c>
      <c r="E160" s="14" t="s">
        <v>272</v>
      </c>
      <c r="F160" s="14" t="s">
        <v>11</v>
      </c>
      <c r="G160" s="13">
        <v>2</v>
      </c>
      <c r="H160" s="14">
        <f>G160+I160</f>
        <v>2</v>
      </c>
      <c r="J160" s="14">
        <v>1</v>
      </c>
      <c r="K160" s="13" t="s">
        <v>840</v>
      </c>
      <c r="L160" s="14" t="s">
        <v>271</v>
      </c>
      <c r="M160" s="14">
        <v>9305</v>
      </c>
      <c r="N160" s="14">
        <v>7625</v>
      </c>
      <c r="O160" s="14">
        <v>493050</v>
      </c>
      <c r="P160" s="14">
        <v>476250</v>
      </c>
      <c r="Q160" s="14"/>
    </row>
    <row r="161" spans="1:17" ht="56.25" x14ac:dyDescent="0.25">
      <c r="A161" s="11" t="s">
        <v>4921</v>
      </c>
      <c r="B161" s="13" t="s">
        <v>718</v>
      </c>
      <c r="C161" s="61" t="s">
        <v>738</v>
      </c>
      <c r="D161" s="13" t="s">
        <v>5056</v>
      </c>
      <c r="E161" s="14" t="s">
        <v>718</v>
      </c>
      <c r="F161" s="14" t="s">
        <v>739</v>
      </c>
      <c r="G161" s="13">
        <v>2</v>
      </c>
      <c r="H161" s="14">
        <f>G161+I161</f>
        <v>5</v>
      </c>
      <c r="I161" s="14">
        <v>3</v>
      </c>
      <c r="J161" s="14">
        <v>4</v>
      </c>
      <c r="K161" s="13" t="s">
        <v>5057</v>
      </c>
      <c r="L161" s="14" t="s">
        <v>740</v>
      </c>
      <c r="M161" s="14">
        <v>277</v>
      </c>
      <c r="N161" s="14">
        <v>688</v>
      </c>
      <c r="O161" s="14">
        <v>227700</v>
      </c>
      <c r="P161" s="14">
        <v>468800</v>
      </c>
      <c r="Q161" s="14"/>
    </row>
    <row r="162" spans="1:17" ht="22.5" x14ac:dyDescent="0.25">
      <c r="A162" s="11" t="s">
        <v>4921</v>
      </c>
      <c r="B162" s="13" t="s">
        <v>1682</v>
      </c>
      <c r="C162" s="61" t="s">
        <v>4918</v>
      </c>
      <c r="D162" s="13" t="s">
        <v>39</v>
      </c>
      <c r="E162" s="14" t="s">
        <v>4919</v>
      </c>
      <c r="F162" s="14" t="s">
        <v>11</v>
      </c>
      <c r="G162" s="13">
        <v>1</v>
      </c>
      <c r="H162" s="14">
        <f>G162+I162</f>
        <v>1</v>
      </c>
      <c r="J162" s="14">
        <v>1</v>
      </c>
      <c r="K162" s="13" t="s">
        <v>541</v>
      </c>
      <c r="L162" s="14" t="s">
        <v>697</v>
      </c>
      <c r="M162" s="14">
        <v>583</v>
      </c>
      <c r="N162" s="14">
        <v>914</v>
      </c>
      <c r="O162" s="14">
        <v>458300</v>
      </c>
      <c r="P162" s="14">
        <v>91400</v>
      </c>
      <c r="Q162" s="14"/>
    </row>
    <row r="163" spans="1:17" ht="33.75" x14ac:dyDescent="0.25">
      <c r="A163" s="11" t="s">
        <v>4921</v>
      </c>
      <c r="B163" s="13" t="s">
        <v>231</v>
      </c>
      <c r="C163" s="61" t="s">
        <v>2055</v>
      </c>
      <c r="D163" s="13" t="s">
        <v>2056</v>
      </c>
      <c r="E163" s="14" t="s">
        <v>86</v>
      </c>
      <c r="F163" s="14" t="s">
        <v>35</v>
      </c>
      <c r="G163" s="13"/>
      <c r="H163" s="14">
        <f t="shared" si="4"/>
        <v>1</v>
      </c>
      <c r="I163" s="14">
        <v>1</v>
      </c>
      <c r="J163" s="14">
        <v>1</v>
      </c>
      <c r="K163" s="13" t="s">
        <v>4364</v>
      </c>
      <c r="L163" s="14" t="s">
        <v>115</v>
      </c>
      <c r="M163" s="14">
        <v>7792</v>
      </c>
      <c r="N163" s="14">
        <v>1967</v>
      </c>
      <c r="O163" s="14">
        <v>377920</v>
      </c>
      <c r="P163" s="14">
        <v>819670</v>
      </c>
      <c r="Q163" s="14"/>
    </row>
    <row r="164" spans="1:17" ht="22.5" x14ac:dyDescent="0.25">
      <c r="A164" s="11" t="s">
        <v>4921</v>
      </c>
      <c r="B164" s="13" t="s">
        <v>231</v>
      </c>
      <c r="C164" s="61" t="s">
        <v>4046</v>
      </c>
      <c r="D164" s="13" t="s">
        <v>3417</v>
      </c>
      <c r="E164" s="14" t="s">
        <v>232</v>
      </c>
      <c r="F164" s="14" t="s">
        <v>35</v>
      </c>
      <c r="G164" s="13"/>
      <c r="H164" s="14">
        <f t="shared" si="4"/>
        <v>6</v>
      </c>
      <c r="I164" s="14">
        <v>6</v>
      </c>
      <c r="J164" s="14">
        <v>5</v>
      </c>
      <c r="K164" s="13" t="s">
        <v>4967</v>
      </c>
      <c r="L164" s="14" t="s">
        <v>130</v>
      </c>
      <c r="M164" s="14">
        <v>6276</v>
      </c>
      <c r="N164" s="14">
        <v>6737</v>
      </c>
      <c r="O164" s="14">
        <v>362760</v>
      </c>
      <c r="P164" s="14">
        <v>767370</v>
      </c>
      <c r="Q164" s="14"/>
    </row>
    <row r="165" spans="1:17" ht="22.5" x14ac:dyDescent="0.25">
      <c r="A165" s="11" t="s">
        <v>4921</v>
      </c>
      <c r="B165" s="13" t="s">
        <v>231</v>
      </c>
      <c r="C165" s="61" t="s">
        <v>461</v>
      </c>
      <c r="D165" s="13" t="s">
        <v>1090</v>
      </c>
      <c r="E165" s="14" t="s">
        <v>86</v>
      </c>
      <c r="F165" s="14" t="s">
        <v>35</v>
      </c>
      <c r="G165" s="13"/>
      <c r="H165" s="14">
        <f t="shared" si="4"/>
        <v>2</v>
      </c>
      <c r="I165" s="14">
        <v>2</v>
      </c>
      <c r="J165" s="14">
        <v>2</v>
      </c>
      <c r="K165" s="13" t="s">
        <v>5040</v>
      </c>
      <c r="L165" s="14" t="s">
        <v>115</v>
      </c>
      <c r="M165" s="14">
        <v>7477</v>
      </c>
      <c r="N165" s="14">
        <v>2885</v>
      </c>
      <c r="O165" s="14">
        <v>374770</v>
      </c>
      <c r="P165" s="14">
        <v>828850</v>
      </c>
      <c r="Q165" s="14"/>
    </row>
    <row r="166" spans="1:17" ht="22.5" x14ac:dyDescent="0.25">
      <c r="A166" s="11" t="s">
        <v>4921</v>
      </c>
      <c r="B166" s="13" t="s">
        <v>231</v>
      </c>
      <c r="C166" s="61" t="s">
        <v>5169</v>
      </c>
      <c r="D166" s="13" t="s">
        <v>4436</v>
      </c>
      <c r="E166" s="13" t="s">
        <v>5170</v>
      </c>
      <c r="F166" s="14" t="s">
        <v>35</v>
      </c>
      <c r="G166" s="13"/>
      <c r="H166" s="14">
        <f>G166+I166</f>
        <v>1</v>
      </c>
      <c r="I166" s="14">
        <v>1</v>
      </c>
      <c r="J166" s="14">
        <v>1</v>
      </c>
      <c r="K166" s="13" t="s">
        <v>4331</v>
      </c>
      <c r="L166" s="14" t="s">
        <v>115</v>
      </c>
      <c r="M166" s="14">
        <v>68</v>
      </c>
      <c r="N166" s="14">
        <v>64</v>
      </c>
      <c r="O166" s="14">
        <v>368000</v>
      </c>
      <c r="P166" s="14">
        <v>864000</v>
      </c>
      <c r="Q166" s="14"/>
    </row>
    <row r="167" spans="1:17" s="57" customFormat="1" ht="22.5" x14ac:dyDescent="0.25">
      <c r="A167" s="11" t="s">
        <v>4921</v>
      </c>
      <c r="B167" s="55" t="s">
        <v>231</v>
      </c>
      <c r="C167" s="63" t="s">
        <v>5039</v>
      </c>
      <c r="D167" s="55" t="s">
        <v>1090</v>
      </c>
      <c r="E167" s="57" t="s">
        <v>86</v>
      </c>
      <c r="F167" s="57" t="s">
        <v>35</v>
      </c>
      <c r="G167" s="55"/>
      <c r="H167" s="57">
        <f>G167+I167</f>
        <v>1</v>
      </c>
      <c r="I167" s="57">
        <v>1</v>
      </c>
      <c r="J167" s="57">
        <v>1</v>
      </c>
      <c r="K167" s="55" t="s">
        <v>1564</v>
      </c>
      <c r="L167" s="57" t="s">
        <v>115</v>
      </c>
      <c r="M167" s="57">
        <v>5965</v>
      </c>
      <c r="N167" s="57">
        <v>1939</v>
      </c>
      <c r="O167" s="57">
        <v>359650</v>
      </c>
      <c r="P167" s="57">
        <v>819390</v>
      </c>
    </row>
    <row r="168" spans="1:17" x14ac:dyDescent="0.25">
      <c r="A168" s="11" t="s">
        <v>4921</v>
      </c>
      <c r="B168" s="13" t="s">
        <v>231</v>
      </c>
      <c r="C168" s="61" t="s">
        <v>4489</v>
      </c>
      <c r="D168" s="13" t="s">
        <v>4436</v>
      </c>
      <c r="E168" s="14" t="s">
        <v>86</v>
      </c>
      <c r="F168" s="14" t="s">
        <v>35</v>
      </c>
      <c r="G168" s="13"/>
      <c r="H168" s="14">
        <f t="shared" si="4"/>
        <v>1</v>
      </c>
      <c r="I168" s="14">
        <v>1</v>
      </c>
      <c r="J168" s="14">
        <v>1</v>
      </c>
      <c r="K168" s="13" t="s">
        <v>887</v>
      </c>
      <c r="L168" s="14" t="s">
        <v>115</v>
      </c>
      <c r="M168" s="14">
        <v>725</v>
      </c>
      <c r="N168" s="14">
        <v>255</v>
      </c>
      <c r="O168" s="14">
        <v>372500</v>
      </c>
      <c r="P168" s="14">
        <v>825500</v>
      </c>
      <c r="Q168" s="14"/>
    </row>
    <row r="169" spans="1:17" x14ac:dyDescent="0.25">
      <c r="A169" s="11" t="s">
        <v>4921</v>
      </c>
      <c r="B169" s="13" t="s">
        <v>995</v>
      </c>
      <c r="C169" s="61" t="s">
        <v>5171</v>
      </c>
      <c r="D169" s="13" t="s">
        <v>1668</v>
      </c>
      <c r="E169" s="14" t="s">
        <v>167</v>
      </c>
      <c r="F169" s="14" t="s">
        <v>35</v>
      </c>
      <c r="G169" s="13"/>
      <c r="H169" s="14">
        <f>G169+I169</f>
        <v>1</v>
      </c>
      <c r="I169" s="14">
        <v>1</v>
      </c>
      <c r="J169" s="14">
        <v>1</v>
      </c>
      <c r="K169" s="13" t="s">
        <v>4331</v>
      </c>
      <c r="L169" s="14" t="s">
        <v>130</v>
      </c>
      <c r="M169" s="14">
        <v>4671</v>
      </c>
      <c r="N169" s="14">
        <v>6368</v>
      </c>
      <c r="O169" s="14">
        <v>346710</v>
      </c>
      <c r="P169" s="14">
        <v>763680</v>
      </c>
      <c r="Q169" s="14"/>
    </row>
    <row r="170" spans="1:17" ht="22.5" x14ac:dyDescent="0.25">
      <c r="A170" s="11" t="s">
        <v>4921</v>
      </c>
      <c r="B170" s="13" t="s">
        <v>953</v>
      </c>
      <c r="C170" s="61" t="s">
        <v>1019</v>
      </c>
      <c r="D170" s="13" t="s">
        <v>41</v>
      </c>
      <c r="E170" s="14" t="s">
        <v>1017</v>
      </c>
      <c r="F170" s="14" t="s">
        <v>35</v>
      </c>
      <c r="G170" s="13"/>
      <c r="H170" s="14">
        <f>G170+I170</f>
        <v>1</v>
      </c>
      <c r="I170" s="14">
        <v>1</v>
      </c>
      <c r="J170" s="14">
        <v>1</v>
      </c>
      <c r="K170" s="13" t="s">
        <v>887</v>
      </c>
      <c r="L170" s="14" t="s">
        <v>1275</v>
      </c>
      <c r="M170" s="14">
        <v>9296</v>
      </c>
      <c r="N170" s="14">
        <v>3639</v>
      </c>
      <c r="O170" s="14">
        <v>192960</v>
      </c>
      <c r="P170" s="14">
        <v>736390</v>
      </c>
      <c r="Q170" s="14"/>
    </row>
    <row r="171" spans="1:17" ht="33.75" x14ac:dyDescent="0.25">
      <c r="A171" s="11" t="s">
        <v>4921</v>
      </c>
      <c r="B171" s="13" t="s">
        <v>953</v>
      </c>
      <c r="C171" s="61" t="s">
        <v>1021</v>
      </c>
      <c r="D171" s="13" t="s">
        <v>3167</v>
      </c>
      <c r="E171" s="14" t="s">
        <v>1017</v>
      </c>
      <c r="F171" s="14" t="s">
        <v>35</v>
      </c>
      <c r="G171" s="13">
        <v>3</v>
      </c>
      <c r="H171" s="14">
        <f t="shared" ref="H171:H179" si="5">G171+I171</f>
        <v>3</v>
      </c>
      <c r="J171" s="14">
        <v>3</v>
      </c>
      <c r="K171" s="13" t="s">
        <v>5055</v>
      </c>
      <c r="L171" s="14" t="s">
        <v>956</v>
      </c>
      <c r="M171" s="14">
        <v>6926</v>
      </c>
      <c r="N171" s="14">
        <v>4334</v>
      </c>
      <c r="O171" s="14">
        <v>169260</v>
      </c>
      <c r="P171" s="14">
        <v>643340</v>
      </c>
      <c r="Q171" s="14"/>
    </row>
    <row r="172" spans="1:17" x14ac:dyDescent="0.25">
      <c r="A172" s="11" t="s">
        <v>4921</v>
      </c>
      <c r="B172" s="13" t="s">
        <v>953</v>
      </c>
      <c r="C172" s="61" t="s">
        <v>5145</v>
      </c>
      <c r="D172" s="13" t="s">
        <v>5143</v>
      </c>
      <c r="E172" s="14" t="s">
        <v>1030</v>
      </c>
      <c r="F172" s="14" t="s">
        <v>35</v>
      </c>
      <c r="G172" s="13"/>
      <c r="H172" s="14">
        <f t="shared" si="5"/>
        <v>1</v>
      </c>
      <c r="I172" s="14">
        <v>1</v>
      </c>
      <c r="J172" s="14">
        <v>1</v>
      </c>
      <c r="K172" s="13" t="s">
        <v>4741</v>
      </c>
      <c r="L172" s="14" t="s">
        <v>1275</v>
      </c>
      <c r="M172" s="14">
        <v>638</v>
      </c>
      <c r="N172" s="14">
        <v>357</v>
      </c>
      <c r="O172" s="14">
        <v>163800</v>
      </c>
      <c r="P172" s="14">
        <v>735700</v>
      </c>
      <c r="Q172" s="14"/>
    </row>
    <row r="173" spans="1:17" x14ac:dyDescent="0.25">
      <c r="A173" s="11" t="s">
        <v>4921</v>
      </c>
      <c r="B173" s="13" t="s">
        <v>953</v>
      </c>
      <c r="C173" s="61" t="s">
        <v>5168</v>
      </c>
      <c r="D173" s="13" t="s">
        <v>1587</v>
      </c>
      <c r="E173" s="14" t="s">
        <v>1017</v>
      </c>
      <c r="F173" s="14" t="s">
        <v>35</v>
      </c>
      <c r="G173" s="13"/>
      <c r="H173" s="14">
        <f>G173+I173</f>
        <v>1</v>
      </c>
      <c r="I173" s="14">
        <v>1</v>
      </c>
      <c r="J173" s="14">
        <v>1</v>
      </c>
      <c r="K173" s="13" t="s">
        <v>4325</v>
      </c>
      <c r="L173" s="14" t="s">
        <v>1275</v>
      </c>
      <c r="M173" s="14">
        <v>8392</v>
      </c>
      <c r="N173" s="14">
        <v>1416</v>
      </c>
      <c r="O173" s="14">
        <v>183920</v>
      </c>
      <c r="P173" s="14">
        <v>714160</v>
      </c>
      <c r="Q173" s="14"/>
    </row>
    <row r="174" spans="1:17" x14ac:dyDescent="0.25">
      <c r="A174" s="11" t="s">
        <v>4921</v>
      </c>
      <c r="B174" s="13" t="s">
        <v>953</v>
      </c>
      <c r="C174" s="61" t="s">
        <v>5133</v>
      </c>
      <c r="D174" s="13" t="s">
        <v>1856</v>
      </c>
      <c r="E174" s="14" t="s">
        <v>1030</v>
      </c>
      <c r="F174" s="14" t="s">
        <v>35</v>
      </c>
      <c r="G174" s="13"/>
      <c r="H174" s="14">
        <f>G174+I174</f>
        <v>1</v>
      </c>
      <c r="I174" s="14">
        <v>1</v>
      </c>
      <c r="J174" s="14">
        <v>1</v>
      </c>
      <c r="K174" s="13" t="s">
        <v>1593</v>
      </c>
      <c r="L174" s="14" t="s">
        <v>1275</v>
      </c>
      <c r="M174" s="14">
        <v>570</v>
      </c>
      <c r="N174" s="14">
        <v>431</v>
      </c>
      <c r="O174" s="14">
        <v>157000</v>
      </c>
      <c r="P174" s="14">
        <v>743100</v>
      </c>
      <c r="Q174" s="14"/>
    </row>
    <row r="175" spans="1:17" ht="45" x14ac:dyDescent="0.25">
      <c r="A175" s="11" t="s">
        <v>4921</v>
      </c>
      <c r="B175" s="13" t="s">
        <v>394</v>
      </c>
      <c r="C175" s="61" t="s">
        <v>395</v>
      </c>
      <c r="D175" s="13" t="s">
        <v>5014</v>
      </c>
      <c r="E175" s="13" t="s">
        <v>5013</v>
      </c>
      <c r="F175" s="14" t="s">
        <v>35</v>
      </c>
      <c r="G175" s="13"/>
      <c r="H175" s="14">
        <f t="shared" si="5"/>
        <v>1</v>
      </c>
      <c r="I175" s="14">
        <v>1</v>
      </c>
      <c r="J175" s="14">
        <v>1</v>
      </c>
      <c r="K175" s="13" t="s">
        <v>3153</v>
      </c>
      <c r="L175" s="14" t="s">
        <v>398</v>
      </c>
      <c r="M175" s="14">
        <v>2057</v>
      </c>
      <c r="N175" s="14">
        <v>4029</v>
      </c>
      <c r="O175" s="14">
        <v>320570</v>
      </c>
      <c r="P175" s="14">
        <v>640290</v>
      </c>
      <c r="Q175" s="14"/>
    </row>
    <row r="176" spans="1:17" x14ac:dyDescent="0.25">
      <c r="A176" s="11" t="s">
        <v>4921</v>
      </c>
      <c r="B176" s="13" t="s">
        <v>238</v>
      </c>
      <c r="C176" s="61" t="s">
        <v>239</v>
      </c>
      <c r="D176" s="13" t="s">
        <v>26</v>
      </c>
      <c r="E176" s="14" t="s">
        <v>236</v>
      </c>
      <c r="F176" s="14" t="s">
        <v>35</v>
      </c>
      <c r="G176" s="13">
        <v>2</v>
      </c>
      <c r="H176" s="14">
        <f t="shared" si="5"/>
        <v>4</v>
      </c>
      <c r="I176" s="14">
        <v>2</v>
      </c>
      <c r="J176" s="14">
        <v>2</v>
      </c>
      <c r="K176" s="13" t="s">
        <v>2899</v>
      </c>
      <c r="L176" s="14" t="s">
        <v>133</v>
      </c>
      <c r="M176" s="14">
        <v>2601</v>
      </c>
      <c r="N176" s="14">
        <v>4420</v>
      </c>
      <c r="O176" s="14">
        <v>326010</v>
      </c>
      <c r="P176" s="14">
        <v>944200</v>
      </c>
      <c r="Q176" s="14"/>
    </row>
    <row r="177" spans="1:17" x14ac:dyDescent="0.25">
      <c r="A177" s="11" t="s">
        <v>4921</v>
      </c>
      <c r="B177" s="13" t="s">
        <v>238</v>
      </c>
      <c r="C177" s="61" t="s">
        <v>5007</v>
      </c>
      <c r="D177" s="13" t="s">
        <v>26</v>
      </c>
      <c r="E177" s="14" t="s">
        <v>236</v>
      </c>
      <c r="F177" s="14" t="s">
        <v>35</v>
      </c>
      <c r="G177" s="13">
        <v>1</v>
      </c>
      <c r="H177" s="14">
        <f t="shared" si="5"/>
        <v>2</v>
      </c>
      <c r="I177" s="14">
        <v>1</v>
      </c>
      <c r="J177" s="14">
        <v>1</v>
      </c>
      <c r="K177" s="13" t="s">
        <v>1234</v>
      </c>
      <c r="L177" s="14" t="s">
        <v>133</v>
      </c>
      <c r="M177" s="14">
        <v>308</v>
      </c>
      <c r="N177" s="14">
        <v>434</v>
      </c>
      <c r="O177" s="14">
        <v>330800</v>
      </c>
      <c r="P177" s="14">
        <v>943400</v>
      </c>
      <c r="Q177" s="14"/>
    </row>
    <row r="178" spans="1:17" ht="22.5" x14ac:dyDescent="0.25">
      <c r="A178" s="11" t="s">
        <v>4921</v>
      </c>
      <c r="B178" s="13" t="s">
        <v>226</v>
      </c>
      <c r="C178" s="61" t="s">
        <v>5005</v>
      </c>
      <c r="D178" s="13" t="s">
        <v>41</v>
      </c>
      <c r="E178" s="13" t="s">
        <v>3067</v>
      </c>
      <c r="F178" s="14" t="s">
        <v>35</v>
      </c>
      <c r="G178" s="13"/>
      <c r="H178" s="14">
        <f t="shared" si="5"/>
        <v>2</v>
      </c>
      <c r="I178" s="14">
        <v>2</v>
      </c>
      <c r="J178" s="14">
        <v>2</v>
      </c>
      <c r="K178" s="13" t="s">
        <v>1235</v>
      </c>
      <c r="L178" s="14" t="s">
        <v>229</v>
      </c>
      <c r="M178" s="14">
        <v>35243</v>
      </c>
      <c r="N178" s="14">
        <v>78359</v>
      </c>
      <c r="O178" s="14">
        <v>235243</v>
      </c>
      <c r="P178" s="14">
        <v>578359</v>
      </c>
      <c r="Q178" s="14"/>
    </row>
    <row r="179" spans="1:17" ht="22.5" x14ac:dyDescent="0.25">
      <c r="A179" s="11" t="s">
        <v>4921</v>
      </c>
      <c r="B179" s="13" t="s">
        <v>226</v>
      </c>
      <c r="C179" s="61" t="s">
        <v>961</v>
      </c>
      <c r="D179" s="13" t="s">
        <v>26</v>
      </c>
      <c r="E179" s="13" t="s">
        <v>228</v>
      </c>
      <c r="F179" s="14" t="s">
        <v>35</v>
      </c>
      <c r="G179" s="13"/>
      <c r="H179" s="14">
        <f t="shared" si="5"/>
        <v>2</v>
      </c>
      <c r="I179" s="14">
        <v>2</v>
      </c>
      <c r="J179" s="14">
        <v>2</v>
      </c>
      <c r="K179" s="13" t="s">
        <v>5053</v>
      </c>
      <c r="L179" s="14" t="s">
        <v>229</v>
      </c>
      <c r="M179" s="14">
        <v>51820</v>
      </c>
      <c r="N179" s="14">
        <v>54045</v>
      </c>
      <c r="O179" s="14">
        <v>251820</v>
      </c>
      <c r="P179" s="14">
        <v>554045</v>
      </c>
      <c r="Q179" s="14"/>
    </row>
    <row r="180" spans="1:17" ht="22.5" x14ac:dyDescent="0.25">
      <c r="A180" s="11" t="s">
        <v>4921</v>
      </c>
      <c r="B180" s="13" t="s">
        <v>226</v>
      </c>
      <c r="C180" s="61" t="s">
        <v>4956</v>
      </c>
      <c r="D180" s="13" t="s">
        <v>26</v>
      </c>
      <c r="E180" s="13" t="s">
        <v>228</v>
      </c>
      <c r="F180" s="14" t="s">
        <v>35</v>
      </c>
      <c r="G180" s="13"/>
      <c r="H180" s="14">
        <f>G180+I180</f>
        <v>1</v>
      </c>
      <c r="I180" s="14">
        <v>1</v>
      </c>
      <c r="J180" s="14">
        <v>1</v>
      </c>
      <c r="K180" s="13" t="s">
        <v>1180</v>
      </c>
      <c r="L180" s="14" t="s">
        <v>229</v>
      </c>
      <c r="M180" s="14">
        <v>51820</v>
      </c>
      <c r="N180" s="14">
        <v>54045</v>
      </c>
      <c r="O180" s="14">
        <v>251820</v>
      </c>
      <c r="P180" s="14">
        <v>554045</v>
      </c>
      <c r="Q180" s="14"/>
    </row>
    <row r="181" spans="1:17" ht="22.5" x14ac:dyDescent="0.25">
      <c r="A181" s="11" t="s">
        <v>4921</v>
      </c>
      <c r="B181" s="13" t="s">
        <v>226</v>
      </c>
      <c r="C181" s="61" t="s">
        <v>717</v>
      </c>
      <c r="D181" s="13" t="s">
        <v>39</v>
      </c>
      <c r="E181" s="13" t="s">
        <v>228</v>
      </c>
      <c r="F181" s="14" t="s">
        <v>35</v>
      </c>
      <c r="G181" s="13"/>
      <c r="H181" s="14">
        <f t="shared" ref="H181:H218" si="6">G181+I181</f>
        <v>1</v>
      </c>
      <c r="I181" s="14">
        <v>1</v>
      </c>
      <c r="J181" s="14">
        <v>1</v>
      </c>
      <c r="K181" s="13" t="s">
        <v>2292</v>
      </c>
      <c r="L181" s="14" t="s">
        <v>229</v>
      </c>
      <c r="M181" s="14">
        <v>19</v>
      </c>
      <c r="N181" s="14">
        <v>57</v>
      </c>
      <c r="O181" s="14">
        <v>219500</v>
      </c>
      <c r="P181" s="14">
        <v>557500</v>
      </c>
      <c r="Q181" s="14"/>
    </row>
    <row r="182" spans="1:17" ht="33.75" x14ac:dyDescent="0.25">
      <c r="A182" s="11" t="s">
        <v>4921</v>
      </c>
      <c r="B182" s="13" t="s">
        <v>226</v>
      </c>
      <c r="C182" s="61" t="s">
        <v>4957</v>
      </c>
      <c r="D182" s="13" t="s">
        <v>3421</v>
      </c>
      <c r="E182" s="13" t="s">
        <v>228</v>
      </c>
      <c r="F182" s="14" t="s">
        <v>35</v>
      </c>
      <c r="G182" s="13"/>
      <c r="H182" s="14">
        <f>G182+I182</f>
        <v>3</v>
      </c>
      <c r="I182" s="14">
        <v>3</v>
      </c>
      <c r="J182" s="14">
        <v>3</v>
      </c>
      <c r="K182" s="13" t="s">
        <v>4969</v>
      </c>
      <c r="L182" s="14" t="s">
        <v>229</v>
      </c>
      <c r="M182" s="14">
        <v>9688</v>
      </c>
      <c r="N182" s="14">
        <v>6507</v>
      </c>
      <c r="O182" s="14">
        <v>296880</v>
      </c>
      <c r="P182" s="14">
        <v>565070</v>
      </c>
      <c r="Q182" s="14"/>
    </row>
    <row r="183" spans="1:17" ht="33.75" x14ac:dyDescent="0.25">
      <c r="A183" s="11" t="s">
        <v>4921</v>
      </c>
      <c r="B183" s="13" t="s">
        <v>226</v>
      </c>
      <c r="C183" s="61" t="s">
        <v>4958</v>
      </c>
      <c r="D183" s="13" t="s">
        <v>3421</v>
      </c>
      <c r="E183" s="13" t="s">
        <v>228</v>
      </c>
      <c r="F183" s="14" t="s">
        <v>35</v>
      </c>
      <c r="G183" s="13"/>
      <c r="H183" s="14">
        <f t="shared" si="6"/>
        <v>1</v>
      </c>
      <c r="I183" s="14">
        <v>1</v>
      </c>
      <c r="J183" s="14">
        <v>1</v>
      </c>
      <c r="K183" s="13" t="s">
        <v>1180</v>
      </c>
      <c r="L183" s="14" t="s">
        <v>229</v>
      </c>
      <c r="M183" s="14">
        <v>9688</v>
      </c>
      <c r="N183" s="14">
        <v>6507</v>
      </c>
      <c r="O183" s="14">
        <v>296880</v>
      </c>
      <c r="P183" s="14">
        <v>565070</v>
      </c>
      <c r="Q183" s="14"/>
    </row>
    <row r="184" spans="1:17" ht="22.5" x14ac:dyDescent="0.25">
      <c r="A184" s="11" t="s">
        <v>4921</v>
      </c>
      <c r="B184" s="13" t="s">
        <v>226</v>
      </c>
      <c r="C184" s="61" t="s">
        <v>227</v>
      </c>
      <c r="D184" s="13" t="s">
        <v>41</v>
      </c>
      <c r="E184" s="13" t="s">
        <v>228</v>
      </c>
      <c r="F184" s="14" t="s">
        <v>35</v>
      </c>
      <c r="G184" s="13"/>
      <c r="H184" s="14">
        <f t="shared" si="6"/>
        <v>4</v>
      </c>
      <c r="I184" s="14">
        <v>4</v>
      </c>
      <c r="J184" s="14">
        <v>2</v>
      </c>
      <c r="K184" s="13" t="s">
        <v>1184</v>
      </c>
      <c r="L184" s="14" t="s">
        <v>229</v>
      </c>
      <c r="M184" s="14">
        <v>1867</v>
      </c>
      <c r="N184" s="14">
        <v>6100</v>
      </c>
      <c r="O184" s="14">
        <v>218670</v>
      </c>
      <c r="P184" s="14">
        <v>561000</v>
      </c>
      <c r="Q184" s="14"/>
    </row>
    <row r="185" spans="1:17" ht="22.5" x14ac:dyDescent="0.25">
      <c r="A185" s="11" t="s">
        <v>4921</v>
      </c>
      <c r="B185" s="13" t="s">
        <v>226</v>
      </c>
      <c r="C185" s="61" t="s">
        <v>248</v>
      </c>
      <c r="D185" s="13" t="s">
        <v>41</v>
      </c>
      <c r="E185" s="13" t="s">
        <v>228</v>
      </c>
      <c r="F185" s="14" t="s">
        <v>35</v>
      </c>
      <c r="G185" s="13"/>
      <c r="H185" s="14">
        <f t="shared" si="6"/>
        <v>2</v>
      </c>
      <c r="I185" s="14">
        <v>2</v>
      </c>
      <c r="J185" s="14">
        <v>1</v>
      </c>
      <c r="K185" s="13" t="s">
        <v>1180</v>
      </c>
      <c r="L185" s="14" t="s">
        <v>229</v>
      </c>
      <c r="M185" s="14">
        <v>1877</v>
      </c>
      <c r="N185" s="14">
        <v>6093</v>
      </c>
      <c r="O185" s="14">
        <v>218770</v>
      </c>
      <c r="P185" s="14">
        <v>560930</v>
      </c>
      <c r="Q185" s="14"/>
    </row>
    <row r="186" spans="1:17" x14ac:dyDescent="0.25">
      <c r="A186" s="11" t="s">
        <v>4921</v>
      </c>
      <c r="B186" s="13" t="s">
        <v>226</v>
      </c>
      <c r="C186" s="61" t="s">
        <v>5167</v>
      </c>
      <c r="D186" s="13" t="s">
        <v>1668</v>
      </c>
      <c r="E186" s="13" t="s">
        <v>4043</v>
      </c>
      <c r="F186" s="14" t="s">
        <v>35</v>
      </c>
      <c r="G186" s="13"/>
      <c r="H186" s="14">
        <f>G186+I186</f>
        <v>1</v>
      </c>
      <c r="I186" s="14">
        <v>1</v>
      </c>
      <c r="J186" s="14">
        <v>1</v>
      </c>
      <c r="K186" s="13" t="s">
        <v>1706</v>
      </c>
      <c r="L186" s="14" t="s">
        <v>229</v>
      </c>
      <c r="M186" s="14">
        <v>443</v>
      </c>
      <c r="N186" s="14">
        <v>356</v>
      </c>
      <c r="O186" s="14">
        <v>244300</v>
      </c>
      <c r="P186" s="14">
        <v>535600</v>
      </c>
      <c r="Q186" s="14"/>
    </row>
    <row r="187" spans="1:17" ht="22.5" x14ac:dyDescent="0.25">
      <c r="A187" s="11" t="s">
        <v>4921</v>
      </c>
      <c r="B187" s="13" t="s">
        <v>998</v>
      </c>
      <c r="C187" s="61" t="s">
        <v>5052</v>
      </c>
      <c r="D187" s="13" t="s">
        <v>39</v>
      </c>
      <c r="E187" s="13" t="s">
        <v>1001</v>
      </c>
      <c r="F187" s="14" t="s">
        <v>35</v>
      </c>
      <c r="G187" s="13"/>
      <c r="H187" s="14">
        <f>G187+I187</f>
        <v>1</v>
      </c>
      <c r="I187" s="14">
        <v>1</v>
      </c>
      <c r="J187" s="14">
        <v>1</v>
      </c>
      <c r="K187" s="13" t="s">
        <v>2292</v>
      </c>
      <c r="L187" s="14" t="s">
        <v>398</v>
      </c>
      <c r="M187" s="14">
        <v>638</v>
      </c>
      <c r="N187" s="14">
        <v>788</v>
      </c>
      <c r="O187" s="14">
        <v>363800</v>
      </c>
      <c r="P187" s="14">
        <v>678800</v>
      </c>
      <c r="Q187" s="14"/>
    </row>
    <row r="188" spans="1:17" x14ac:dyDescent="0.25">
      <c r="A188" s="11" t="s">
        <v>4921</v>
      </c>
      <c r="B188" s="13" t="s">
        <v>86</v>
      </c>
      <c r="C188" s="61" t="s">
        <v>712</v>
      </c>
      <c r="D188" s="13" t="s">
        <v>713</v>
      </c>
      <c r="E188" s="13" t="s">
        <v>714</v>
      </c>
      <c r="F188" s="14" t="s">
        <v>35</v>
      </c>
      <c r="G188" s="13"/>
      <c r="H188" s="14">
        <f t="shared" si="6"/>
        <v>1</v>
      </c>
      <c r="I188" s="14">
        <v>1</v>
      </c>
      <c r="J188" s="14">
        <v>1</v>
      </c>
      <c r="K188" s="13" t="s">
        <v>1379</v>
      </c>
      <c r="L188" s="14" t="s">
        <v>115</v>
      </c>
      <c r="M188" s="14">
        <v>144</v>
      </c>
      <c r="N188" s="14">
        <v>650</v>
      </c>
      <c r="O188" s="14">
        <v>314400</v>
      </c>
      <c r="P188" s="14">
        <v>865000</v>
      </c>
      <c r="Q188" s="14"/>
    </row>
    <row r="189" spans="1:17" ht="22.5" x14ac:dyDescent="0.25">
      <c r="A189" s="11" t="s">
        <v>4921</v>
      </c>
      <c r="B189" s="13" t="s">
        <v>676</v>
      </c>
      <c r="C189" s="61" t="s">
        <v>1373</v>
      </c>
      <c r="D189" s="13" t="s">
        <v>41</v>
      </c>
      <c r="E189" s="14" t="s">
        <v>428</v>
      </c>
      <c r="F189" s="14" t="s">
        <v>35</v>
      </c>
      <c r="G189" s="13"/>
      <c r="H189" s="14">
        <f t="shared" si="6"/>
        <v>1</v>
      </c>
      <c r="I189" s="14">
        <v>1</v>
      </c>
      <c r="J189" s="14">
        <v>1</v>
      </c>
      <c r="K189" s="13" t="s">
        <v>893</v>
      </c>
      <c r="L189" s="14" t="s">
        <v>429</v>
      </c>
      <c r="M189" s="14">
        <v>1752</v>
      </c>
      <c r="N189" s="14">
        <v>28890</v>
      </c>
      <c r="O189" s="14">
        <v>201752</v>
      </c>
      <c r="P189" s="14">
        <v>628890</v>
      </c>
      <c r="Q189" s="14"/>
    </row>
    <row r="190" spans="1:17" ht="22.5" x14ac:dyDescent="0.25">
      <c r="A190" s="11" t="s">
        <v>4921</v>
      </c>
      <c r="B190" s="13" t="s">
        <v>676</v>
      </c>
      <c r="C190" s="61" t="s">
        <v>748</v>
      </c>
      <c r="D190" s="13" t="s">
        <v>41</v>
      </c>
      <c r="E190" s="14" t="s">
        <v>745</v>
      </c>
      <c r="F190" s="14" t="s">
        <v>35</v>
      </c>
      <c r="G190" s="13"/>
      <c r="H190" s="14">
        <f t="shared" si="6"/>
        <v>2</v>
      </c>
      <c r="I190" s="14">
        <v>2</v>
      </c>
      <c r="J190" s="14">
        <v>2</v>
      </c>
      <c r="K190" s="13" t="s">
        <v>5006</v>
      </c>
      <c r="L190" s="14" t="s">
        <v>116</v>
      </c>
      <c r="M190" s="14">
        <v>80033</v>
      </c>
      <c r="N190" s="14">
        <v>66859</v>
      </c>
      <c r="O190" s="14">
        <v>80033</v>
      </c>
      <c r="P190" s="14">
        <v>866859</v>
      </c>
      <c r="Q190" s="14"/>
    </row>
    <row r="191" spans="1:17" ht="22.5" x14ac:dyDescent="0.25">
      <c r="A191" s="11" t="s">
        <v>4921</v>
      </c>
      <c r="B191" s="13" t="s">
        <v>676</v>
      </c>
      <c r="C191" s="61" t="s">
        <v>5154</v>
      </c>
      <c r="D191" s="13" t="s">
        <v>5156</v>
      </c>
      <c r="E191" s="13" t="s">
        <v>5155</v>
      </c>
      <c r="F191" s="14" t="s">
        <v>35</v>
      </c>
      <c r="G191" s="13"/>
      <c r="H191" s="14">
        <f>G191+I191</f>
        <v>1</v>
      </c>
      <c r="I191" s="14">
        <v>1</v>
      </c>
      <c r="J191" s="14">
        <v>1</v>
      </c>
      <c r="K191" s="13" t="s">
        <v>1690</v>
      </c>
      <c r="L191" s="14" t="s">
        <v>116</v>
      </c>
      <c r="M191" s="14">
        <v>8728</v>
      </c>
      <c r="N191" s="14">
        <v>5390</v>
      </c>
      <c r="O191" s="14">
        <v>87280</v>
      </c>
      <c r="P191" s="14">
        <v>853900</v>
      </c>
      <c r="Q191" s="14"/>
    </row>
    <row r="192" spans="1:17" ht="33.75" x14ac:dyDescent="0.25">
      <c r="A192" s="11" t="s">
        <v>4921</v>
      </c>
      <c r="B192" s="13" t="s">
        <v>4204</v>
      </c>
      <c r="C192" s="61" t="s">
        <v>458</v>
      </c>
      <c r="D192" s="13" t="s">
        <v>2712</v>
      </c>
      <c r="E192" s="14" t="s">
        <v>236</v>
      </c>
      <c r="F192" s="14" t="s">
        <v>35</v>
      </c>
      <c r="G192" s="13"/>
      <c r="H192" s="14">
        <f t="shared" si="6"/>
        <v>2</v>
      </c>
      <c r="I192" s="14">
        <v>2</v>
      </c>
      <c r="J192" s="14">
        <v>2</v>
      </c>
      <c r="K192" s="13" t="s">
        <v>5010</v>
      </c>
      <c r="L192" s="14" t="s">
        <v>460</v>
      </c>
      <c r="M192" s="14">
        <v>7576</v>
      </c>
      <c r="N192" s="14">
        <v>4447</v>
      </c>
      <c r="O192" s="14">
        <v>275760</v>
      </c>
      <c r="P192" s="14">
        <v>844470</v>
      </c>
      <c r="Q192" s="14"/>
    </row>
    <row r="193" spans="1:17" ht="22.5" x14ac:dyDescent="0.25">
      <c r="A193" s="11" t="s">
        <v>4921</v>
      </c>
      <c r="B193" s="13" t="s">
        <v>4204</v>
      </c>
      <c r="C193" s="61" t="s">
        <v>5011</v>
      </c>
      <c r="D193" s="13" t="s">
        <v>41</v>
      </c>
      <c r="E193" s="14" t="s">
        <v>236</v>
      </c>
      <c r="F193" s="14" t="s">
        <v>35</v>
      </c>
      <c r="G193" s="13"/>
      <c r="H193" s="14">
        <f t="shared" si="6"/>
        <v>2</v>
      </c>
      <c r="I193" s="14">
        <v>2</v>
      </c>
      <c r="J193" s="14">
        <v>1</v>
      </c>
      <c r="K193" s="13" t="s">
        <v>2907</v>
      </c>
      <c r="L193" s="14" t="s">
        <v>460</v>
      </c>
      <c r="M193" s="14">
        <v>3830</v>
      </c>
      <c r="N193" s="14">
        <v>3030</v>
      </c>
      <c r="O193" s="14">
        <v>238300</v>
      </c>
      <c r="P193" s="14">
        <v>830300</v>
      </c>
      <c r="Q193" s="14"/>
    </row>
    <row r="194" spans="1:17" ht="22.5" x14ac:dyDescent="0.25">
      <c r="A194" s="11" t="s">
        <v>4921</v>
      </c>
      <c r="B194" s="13" t="s">
        <v>4204</v>
      </c>
      <c r="C194" s="61" t="s">
        <v>1507</v>
      </c>
      <c r="D194" s="13" t="s">
        <v>41</v>
      </c>
      <c r="E194" s="14" t="s">
        <v>746</v>
      </c>
      <c r="F194" s="14" t="s">
        <v>35</v>
      </c>
      <c r="G194" s="13"/>
      <c r="H194" s="14">
        <f t="shared" si="6"/>
        <v>1</v>
      </c>
      <c r="I194" s="14">
        <v>1</v>
      </c>
      <c r="J194" s="14">
        <v>1</v>
      </c>
      <c r="K194" s="13" t="s">
        <v>887</v>
      </c>
      <c r="L194" s="14" t="s">
        <v>120</v>
      </c>
      <c r="M194" s="14">
        <v>3934</v>
      </c>
      <c r="N194" s="14">
        <v>1636</v>
      </c>
      <c r="O194" s="14">
        <v>139340</v>
      </c>
      <c r="P194" s="14">
        <v>816360</v>
      </c>
      <c r="Q194" s="14"/>
    </row>
    <row r="195" spans="1:17" x14ac:dyDescent="0.25">
      <c r="A195" s="11" t="s">
        <v>4921</v>
      </c>
      <c r="B195" s="13" t="s">
        <v>4287</v>
      </c>
      <c r="C195" s="61" t="s">
        <v>5175</v>
      </c>
      <c r="D195" s="13" t="s">
        <v>1587</v>
      </c>
      <c r="E195" s="14" t="s">
        <v>86</v>
      </c>
      <c r="F195" s="14" t="s">
        <v>35</v>
      </c>
      <c r="G195" s="13"/>
      <c r="H195" s="14">
        <f>G195+I195</f>
        <v>1</v>
      </c>
      <c r="I195" s="14">
        <v>1</v>
      </c>
      <c r="J195" s="14">
        <v>1</v>
      </c>
      <c r="K195" s="13" t="s">
        <v>5174</v>
      </c>
      <c r="L195" s="14" t="s">
        <v>115</v>
      </c>
      <c r="M195" s="14">
        <v>2</v>
      </c>
      <c r="N195" s="14">
        <v>46</v>
      </c>
      <c r="O195" s="14">
        <v>302000</v>
      </c>
      <c r="P195" s="14">
        <v>846000</v>
      </c>
      <c r="Q195" s="14"/>
    </row>
    <row r="196" spans="1:17" x14ac:dyDescent="0.25">
      <c r="A196" s="11" t="s">
        <v>4921</v>
      </c>
      <c r="B196" s="13" t="s">
        <v>4287</v>
      </c>
      <c r="C196" s="61" t="s">
        <v>5177</v>
      </c>
      <c r="D196" s="13" t="s">
        <v>1587</v>
      </c>
      <c r="E196" s="14" t="s">
        <v>86</v>
      </c>
      <c r="F196" s="14" t="s">
        <v>35</v>
      </c>
      <c r="G196" s="13"/>
      <c r="H196" s="14">
        <f>G196+I196</f>
        <v>3</v>
      </c>
      <c r="I196" s="14">
        <v>3</v>
      </c>
      <c r="J196" s="14">
        <v>2</v>
      </c>
      <c r="K196" s="13" t="s">
        <v>5180</v>
      </c>
      <c r="L196" s="14" t="s">
        <v>115</v>
      </c>
      <c r="M196" s="14">
        <v>3019</v>
      </c>
      <c r="N196" s="14">
        <v>5859</v>
      </c>
      <c r="O196" s="14">
        <v>330190</v>
      </c>
      <c r="P196" s="14">
        <v>858590</v>
      </c>
      <c r="Q196" s="14"/>
    </row>
    <row r="197" spans="1:17" ht="22.5" x14ac:dyDescent="0.25">
      <c r="A197" s="11" t="s">
        <v>4921</v>
      </c>
      <c r="B197" s="13" t="s">
        <v>34</v>
      </c>
      <c r="C197" s="61" t="s">
        <v>33</v>
      </c>
      <c r="D197" s="13" t="s">
        <v>1278</v>
      </c>
      <c r="E197" s="13" t="s">
        <v>1070</v>
      </c>
      <c r="F197" s="14" t="s">
        <v>35</v>
      </c>
      <c r="G197" s="13">
        <v>4</v>
      </c>
      <c r="H197" s="14">
        <f t="shared" si="6"/>
        <v>4</v>
      </c>
      <c r="J197" s="14">
        <v>4</v>
      </c>
      <c r="K197" s="13" t="s">
        <v>5069</v>
      </c>
      <c r="L197" s="14" t="s">
        <v>114</v>
      </c>
      <c r="M197" s="14">
        <v>57283</v>
      </c>
      <c r="N197" s="14">
        <v>5722</v>
      </c>
      <c r="O197" s="14">
        <v>353283</v>
      </c>
      <c r="P197" s="14">
        <v>1005722</v>
      </c>
      <c r="Q197" s="14"/>
    </row>
    <row r="198" spans="1:17" x14ac:dyDescent="0.25">
      <c r="A198" s="11" t="s">
        <v>4921</v>
      </c>
      <c r="B198" s="13" t="s">
        <v>34</v>
      </c>
      <c r="C198" s="61" t="s">
        <v>2611</v>
      </c>
      <c r="D198" s="13" t="s">
        <v>2612</v>
      </c>
      <c r="E198" s="14" t="s">
        <v>2613</v>
      </c>
      <c r="F198" s="14" t="s">
        <v>35</v>
      </c>
      <c r="G198" s="13"/>
      <c r="H198" s="14">
        <f t="shared" si="6"/>
        <v>2</v>
      </c>
      <c r="I198" s="14">
        <v>2</v>
      </c>
      <c r="J198" s="14">
        <v>2</v>
      </c>
      <c r="K198" s="13" t="s">
        <v>4127</v>
      </c>
      <c r="L198" s="14" t="s">
        <v>114</v>
      </c>
      <c r="M198" s="14">
        <v>243</v>
      </c>
      <c r="N198" s="14">
        <v>4</v>
      </c>
      <c r="O198" s="14">
        <v>324300</v>
      </c>
      <c r="P198" s="14">
        <v>1000400</v>
      </c>
      <c r="Q198" s="14"/>
    </row>
    <row r="199" spans="1:17" ht="22.5" x14ac:dyDescent="0.25">
      <c r="A199" s="11" t="s">
        <v>4921</v>
      </c>
      <c r="B199" s="13" t="s">
        <v>34</v>
      </c>
      <c r="C199" s="61" t="s">
        <v>1328</v>
      </c>
      <c r="D199" s="13" t="s">
        <v>41</v>
      </c>
      <c r="E199" s="14" t="s">
        <v>156</v>
      </c>
      <c r="F199" s="14" t="s">
        <v>35</v>
      </c>
      <c r="G199" s="13"/>
      <c r="H199" s="14">
        <f t="shared" si="6"/>
        <v>1</v>
      </c>
      <c r="I199" s="14">
        <v>1</v>
      </c>
      <c r="J199" s="14">
        <v>1</v>
      </c>
      <c r="K199" s="13" t="s">
        <v>2886</v>
      </c>
      <c r="L199" s="14" t="s">
        <v>114</v>
      </c>
      <c r="M199" s="14">
        <v>5091</v>
      </c>
      <c r="N199" s="14">
        <v>5183</v>
      </c>
      <c r="O199" s="14">
        <v>350910</v>
      </c>
      <c r="P199" s="14">
        <v>1051830</v>
      </c>
      <c r="Q199" s="14"/>
    </row>
    <row r="200" spans="1:17" ht="22.5" x14ac:dyDescent="0.25">
      <c r="A200" s="11" t="s">
        <v>4921</v>
      </c>
      <c r="B200" s="13" t="s">
        <v>34</v>
      </c>
      <c r="C200" s="61" t="s">
        <v>2136</v>
      </c>
      <c r="D200" s="13" t="s">
        <v>41</v>
      </c>
      <c r="E200" s="14" t="s">
        <v>33</v>
      </c>
      <c r="F200" s="14" t="s">
        <v>35</v>
      </c>
      <c r="G200" s="13"/>
      <c r="H200" s="14">
        <f t="shared" si="6"/>
        <v>7</v>
      </c>
      <c r="I200" s="14">
        <v>7</v>
      </c>
      <c r="J200" s="14">
        <v>4</v>
      </c>
      <c r="K200" s="13" t="s">
        <v>5009</v>
      </c>
      <c r="L200" s="14" t="s">
        <v>114</v>
      </c>
      <c r="M200" s="14">
        <v>3182</v>
      </c>
      <c r="N200" s="14">
        <v>1277</v>
      </c>
      <c r="O200" s="14">
        <v>331820</v>
      </c>
      <c r="P200" s="14">
        <v>1012770</v>
      </c>
      <c r="Q200" s="14"/>
    </row>
    <row r="201" spans="1:17" x14ac:dyDescent="0.25">
      <c r="A201" s="11" t="s">
        <v>4921</v>
      </c>
      <c r="B201" s="13" t="s">
        <v>34</v>
      </c>
      <c r="C201" s="61" t="s">
        <v>1056</v>
      </c>
      <c r="D201" s="13" t="s">
        <v>753</v>
      </c>
      <c r="E201" s="14" t="s">
        <v>469</v>
      </c>
      <c r="F201" s="14" t="s">
        <v>35</v>
      </c>
      <c r="G201" s="13"/>
      <c r="H201" s="14">
        <f t="shared" si="6"/>
        <v>1</v>
      </c>
      <c r="I201" s="14">
        <v>1</v>
      </c>
      <c r="J201" s="14">
        <v>1</v>
      </c>
      <c r="K201" s="13" t="s">
        <v>1234</v>
      </c>
      <c r="L201" s="14" t="s">
        <v>114</v>
      </c>
      <c r="M201" s="14">
        <v>3722</v>
      </c>
      <c r="N201" s="14">
        <v>3048</v>
      </c>
      <c r="O201" s="14">
        <v>337220</v>
      </c>
      <c r="P201" s="14">
        <v>1030480</v>
      </c>
      <c r="Q201" s="14"/>
    </row>
    <row r="202" spans="1:17" x14ac:dyDescent="0.25">
      <c r="A202" s="11" t="s">
        <v>4921</v>
      </c>
      <c r="B202" s="13" t="s">
        <v>34</v>
      </c>
      <c r="C202" s="61" t="s">
        <v>37</v>
      </c>
      <c r="D202" s="13" t="s">
        <v>8</v>
      </c>
      <c r="E202" s="14" t="s">
        <v>33</v>
      </c>
      <c r="F202" s="14" t="s">
        <v>35</v>
      </c>
      <c r="G202" s="13"/>
      <c r="H202" s="14">
        <f t="shared" si="6"/>
        <v>1</v>
      </c>
      <c r="I202" s="14">
        <v>1</v>
      </c>
      <c r="J202" s="14">
        <v>1</v>
      </c>
      <c r="K202" s="13" t="s">
        <v>3084</v>
      </c>
      <c r="L202" s="14" t="s">
        <v>114</v>
      </c>
      <c r="M202" s="14">
        <v>2945</v>
      </c>
      <c r="N202" s="14">
        <v>1335</v>
      </c>
      <c r="O202" s="14">
        <v>329450</v>
      </c>
      <c r="P202" s="14">
        <v>1013350</v>
      </c>
      <c r="Q202" s="14"/>
    </row>
    <row r="203" spans="1:17" ht="33.75" x14ac:dyDescent="0.25">
      <c r="A203" s="11" t="s">
        <v>4921</v>
      </c>
      <c r="B203" s="13" t="s">
        <v>34</v>
      </c>
      <c r="C203" s="61" t="s">
        <v>468</v>
      </c>
      <c r="D203" s="13" t="s">
        <v>4475</v>
      </c>
      <c r="E203" s="14" t="s">
        <v>469</v>
      </c>
      <c r="F203" s="14" t="s">
        <v>35</v>
      </c>
      <c r="G203" s="13">
        <v>3</v>
      </c>
      <c r="H203" s="14">
        <f t="shared" si="6"/>
        <v>9</v>
      </c>
      <c r="I203" s="14">
        <v>6</v>
      </c>
      <c r="J203" s="14">
        <v>8</v>
      </c>
      <c r="K203" s="13" t="s">
        <v>5160</v>
      </c>
      <c r="L203" s="14" t="s">
        <v>114</v>
      </c>
      <c r="M203" s="14">
        <v>4398</v>
      </c>
      <c r="N203" s="14">
        <v>3224</v>
      </c>
      <c r="O203" s="14">
        <v>343980</v>
      </c>
      <c r="P203" s="14">
        <v>1032240</v>
      </c>
      <c r="Q203" s="14"/>
    </row>
    <row r="204" spans="1:17" ht="33.75" x14ac:dyDescent="0.25">
      <c r="A204" s="11" t="s">
        <v>4921</v>
      </c>
      <c r="B204" s="13" t="s">
        <v>34</v>
      </c>
      <c r="C204" s="61" t="s">
        <v>38</v>
      </c>
      <c r="D204" s="13" t="s">
        <v>5059</v>
      </c>
      <c r="E204" s="14" t="s">
        <v>33</v>
      </c>
      <c r="F204" s="14" t="s">
        <v>35</v>
      </c>
      <c r="G204" s="13">
        <v>6</v>
      </c>
      <c r="H204" s="14">
        <f t="shared" si="6"/>
        <v>18</v>
      </c>
      <c r="I204" s="14">
        <v>12</v>
      </c>
      <c r="J204" s="14">
        <v>11</v>
      </c>
      <c r="K204" s="13" t="s">
        <v>5161</v>
      </c>
      <c r="L204" s="14" t="s">
        <v>114</v>
      </c>
      <c r="M204" s="14">
        <v>2312</v>
      </c>
      <c r="N204" s="14">
        <v>1874</v>
      </c>
      <c r="O204" s="14">
        <v>323120</v>
      </c>
      <c r="P204" s="14">
        <v>1018740</v>
      </c>
      <c r="Q204" s="14"/>
    </row>
    <row r="205" spans="1:17" x14ac:dyDescent="0.25">
      <c r="A205" s="11" t="s">
        <v>4921</v>
      </c>
      <c r="B205" s="13" t="s">
        <v>34</v>
      </c>
      <c r="C205" s="61" t="s">
        <v>5012</v>
      </c>
      <c r="D205" s="13" t="s">
        <v>39</v>
      </c>
      <c r="E205" s="14" t="s">
        <v>33</v>
      </c>
      <c r="F205" s="14" t="s">
        <v>35</v>
      </c>
      <c r="G205" s="13"/>
      <c r="H205" s="14">
        <f>G205+I205</f>
        <v>1</v>
      </c>
      <c r="I205" s="14">
        <v>1</v>
      </c>
      <c r="J205" s="14">
        <v>1</v>
      </c>
      <c r="K205" s="13" t="s">
        <v>1243</v>
      </c>
      <c r="L205" s="14" t="s">
        <v>114</v>
      </c>
      <c r="M205" s="14">
        <v>2312</v>
      </c>
      <c r="N205" s="14">
        <v>1874</v>
      </c>
      <c r="O205" s="14">
        <v>323120</v>
      </c>
      <c r="P205" s="14">
        <v>1018740</v>
      </c>
      <c r="Q205" s="14"/>
    </row>
    <row r="206" spans="1:17" ht="33.75" x14ac:dyDescent="0.25">
      <c r="A206" s="11" t="s">
        <v>4921</v>
      </c>
      <c r="B206" s="13" t="s">
        <v>34</v>
      </c>
      <c r="C206" s="61" t="s">
        <v>1415</v>
      </c>
      <c r="D206" s="13" t="s">
        <v>4144</v>
      </c>
      <c r="E206" s="13" t="s">
        <v>33</v>
      </c>
      <c r="F206" s="14" t="s">
        <v>35</v>
      </c>
      <c r="G206" s="13">
        <v>2</v>
      </c>
      <c r="H206" s="14">
        <f t="shared" si="6"/>
        <v>2</v>
      </c>
      <c r="J206" s="14">
        <v>2</v>
      </c>
      <c r="K206" s="13" t="s">
        <v>5054</v>
      </c>
      <c r="L206" s="14" t="s">
        <v>114</v>
      </c>
      <c r="M206" s="14">
        <v>2829</v>
      </c>
      <c r="N206" s="14">
        <v>1172</v>
      </c>
      <c r="O206" s="14">
        <v>328290</v>
      </c>
      <c r="P206" s="14">
        <v>1011720</v>
      </c>
      <c r="Q206" s="14"/>
    </row>
    <row r="207" spans="1:17" ht="22.5" x14ac:dyDescent="0.25">
      <c r="A207" s="11" t="s">
        <v>4921</v>
      </c>
      <c r="B207" s="13" t="s">
        <v>99</v>
      </c>
      <c r="C207" s="61" t="s">
        <v>523</v>
      </c>
      <c r="D207" s="13" t="s">
        <v>41</v>
      </c>
      <c r="E207" s="13" t="s">
        <v>974</v>
      </c>
      <c r="F207" s="14" t="s">
        <v>35</v>
      </c>
      <c r="G207" s="13"/>
      <c r="H207" s="14">
        <f t="shared" si="6"/>
        <v>1</v>
      </c>
      <c r="I207" s="14">
        <v>1</v>
      </c>
      <c r="J207" s="14">
        <v>1</v>
      </c>
      <c r="K207" s="13" t="s">
        <v>1234</v>
      </c>
      <c r="L207" s="14" t="s">
        <v>526</v>
      </c>
      <c r="M207" s="14">
        <v>21300</v>
      </c>
      <c r="N207" s="14">
        <v>33017</v>
      </c>
      <c r="O207" s="14">
        <v>121300</v>
      </c>
      <c r="P207" s="14">
        <v>933017</v>
      </c>
      <c r="Q207" s="14"/>
    </row>
    <row r="208" spans="1:17" x14ac:dyDescent="0.25">
      <c r="A208" s="11" t="s">
        <v>4921</v>
      </c>
      <c r="B208" s="13" t="s">
        <v>99</v>
      </c>
      <c r="C208" s="61" t="s">
        <v>97</v>
      </c>
      <c r="D208" s="13" t="s">
        <v>39</v>
      </c>
      <c r="E208" s="14" t="s">
        <v>98</v>
      </c>
      <c r="F208" s="14" t="s">
        <v>35</v>
      </c>
      <c r="G208" s="13"/>
      <c r="H208" s="14">
        <f t="shared" si="6"/>
        <v>11</v>
      </c>
      <c r="I208" s="14">
        <v>11</v>
      </c>
      <c r="J208" s="14">
        <v>7</v>
      </c>
      <c r="K208" s="13" t="s">
        <v>5196</v>
      </c>
      <c r="L208" s="14" t="s">
        <v>116</v>
      </c>
      <c r="M208" s="14">
        <v>9753</v>
      </c>
      <c r="N208" s="14">
        <v>9123</v>
      </c>
      <c r="O208" s="14">
        <v>97530</v>
      </c>
      <c r="P208" s="14">
        <v>891230</v>
      </c>
      <c r="Q208" s="14"/>
    </row>
    <row r="209" spans="1:17" ht="22.5" x14ac:dyDescent="0.25">
      <c r="A209" s="11" t="s">
        <v>4921</v>
      </c>
      <c r="B209" s="13" t="s">
        <v>170</v>
      </c>
      <c r="C209" s="61" t="s">
        <v>4230</v>
      </c>
      <c r="D209" s="13" t="s">
        <v>4231</v>
      </c>
      <c r="E209" s="14" t="s">
        <v>167</v>
      </c>
      <c r="F209" s="14" t="s">
        <v>35</v>
      </c>
      <c r="G209" s="13"/>
      <c r="H209" s="14">
        <f>G209+I209</f>
        <v>1</v>
      </c>
      <c r="I209" s="14">
        <v>1</v>
      </c>
      <c r="J209" s="14">
        <v>1</v>
      </c>
      <c r="K209" s="13" t="s">
        <v>1535</v>
      </c>
      <c r="L209" s="14" t="s">
        <v>169</v>
      </c>
      <c r="M209" s="14">
        <v>7975</v>
      </c>
      <c r="N209" s="14">
        <v>4726</v>
      </c>
      <c r="O209" s="14">
        <v>279750</v>
      </c>
      <c r="P209" s="14">
        <v>747260</v>
      </c>
      <c r="Q209" s="14"/>
    </row>
    <row r="210" spans="1:17" ht="22.5" x14ac:dyDescent="0.25">
      <c r="A210" s="11" t="s">
        <v>4921</v>
      </c>
      <c r="B210" s="13" t="s">
        <v>170</v>
      </c>
      <c r="C210" s="61" t="s">
        <v>4892</v>
      </c>
      <c r="D210" s="13" t="s">
        <v>4893</v>
      </c>
      <c r="E210" s="14" t="s">
        <v>167</v>
      </c>
      <c r="F210" s="14" t="s">
        <v>35</v>
      </c>
      <c r="G210" s="13"/>
      <c r="H210" s="14">
        <f>G210+I210</f>
        <v>2</v>
      </c>
      <c r="I210" s="14">
        <v>2</v>
      </c>
      <c r="J210" s="14">
        <v>2</v>
      </c>
      <c r="K210" s="13" t="s">
        <v>5041</v>
      </c>
      <c r="L210" s="14" t="s">
        <v>169</v>
      </c>
      <c r="M210" s="14">
        <v>745</v>
      </c>
      <c r="N210" s="14">
        <v>469</v>
      </c>
      <c r="O210" s="14">
        <v>274500</v>
      </c>
      <c r="P210" s="14">
        <v>746900</v>
      </c>
      <c r="Q210" s="14"/>
    </row>
    <row r="211" spans="1:17" x14ac:dyDescent="0.25">
      <c r="A211" s="11" t="s">
        <v>4921</v>
      </c>
      <c r="B211" s="13" t="s">
        <v>170</v>
      </c>
      <c r="C211" s="61" t="s">
        <v>1418</v>
      </c>
      <c r="D211" s="13" t="s">
        <v>39</v>
      </c>
      <c r="E211" s="14" t="s">
        <v>167</v>
      </c>
      <c r="F211" s="14" t="s">
        <v>35</v>
      </c>
      <c r="G211" s="13"/>
      <c r="H211" s="14">
        <f t="shared" si="6"/>
        <v>1</v>
      </c>
      <c r="I211" s="14">
        <v>1</v>
      </c>
      <c r="J211" s="14">
        <v>1</v>
      </c>
      <c r="K211" s="13" t="s">
        <v>2292</v>
      </c>
      <c r="L211" s="14" t="s">
        <v>169</v>
      </c>
      <c r="M211" s="14">
        <v>922</v>
      </c>
      <c r="N211" s="14">
        <v>533</v>
      </c>
      <c r="O211" s="14">
        <v>292200</v>
      </c>
      <c r="P211" s="14">
        <v>753300</v>
      </c>
      <c r="Q211" s="14"/>
    </row>
    <row r="212" spans="1:17" ht="22.5" x14ac:dyDescent="0.25">
      <c r="A212" s="11" t="s">
        <v>4921</v>
      </c>
      <c r="B212" s="13" t="s">
        <v>170</v>
      </c>
      <c r="C212" s="61" t="s">
        <v>2792</v>
      </c>
      <c r="D212" s="13" t="s">
        <v>4939</v>
      </c>
      <c r="E212" s="14" t="s">
        <v>2793</v>
      </c>
      <c r="F212" s="14" t="s">
        <v>35</v>
      </c>
      <c r="G212" s="13"/>
      <c r="H212" s="14">
        <f t="shared" si="6"/>
        <v>1</v>
      </c>
      <c r="I212" s="14">
        <v>1</v>
      </c>
      <c r="J212" s="14">
        <v>1</v>
      </c>
      <c r="K212" s="13" t="s">
        <v>2752</v>
      </c>
      <c r="L212" s="14" t="s">
        <v>130</v>
      </c>
      <c r="M212" s="14">
        <v>813</v>
      </c>
      <c r="N212" s="14">
        <v>2495</v>
      </c>
      <c r="O212" s="14">
        <v>308130</v>
      </c>
      <c r="P212" s="14">
        <v>724950</v>
      </c>
      <c r="Q212" s="14"/>
    </row>
    <row r="213" spans="1:17" x14ac:dyDescent="0.25">
      <c r="A213" s="11" t="s">
        <v>4921</v>
      </c>
      <c r="B213" s="13" t="s">
        <v>170</v>
      </c>
      <c r="C213" s="61" t="s">
        <v>168</v>
      </c>
      <c r="D213" s="13" t="s">
        <v>151</v>
      </c>
      <c r="E213" s="14" t="s">
        <v>167</v>
      </c>
      <c r="F213" s="14" t="s">
        <v>35</v>
      </c>
      <c r="G213" s="13"/>
      <c r="H213" s="14">
        <f t="shared" si="6"/>
        <v>1</v>
      </c>
      <c r="I213" s="14">
        <v>1</v>
      </c>
      <c r="J213" s="14">
        <v>1</v>
      </c>
      <c r="K213" s="13" t="s">
        <v>842</v>
      </c>
      <c r="L213" s="14" t="s">
        <v>169</v>
      </c>
      <c r="M213" s="14">
        <v>562</v>
      </c>
      <c r="N213" s="14">
        <v>377</v>
      </c>
      <c r="O213" s="14">
        <v>256200</v>
      </c>
      <c r="P213" s="14">
        <v>737700</v>
      </c>
      <c r="Q213" s="14"/>
    </row>
    <row r="214" spans="1:17" ht="22.5" x14ac:dyDescent="0.25">
      <c r="A214" s="11" t="s">
        <v>4921</v>
      </c>
      <c r="B214" s="13" t="s">
        <v>170</v>
      </c>
      <c r="C214" s="61" t="s">
        <v>275</v>
      </c>
      <c r="D214" s="13" t="s">
        <v>278</v>
      </c>
      <c r="E214" s="14" t="s">
        <v>167</v>
      </c>
      <c r="F214" s="14" t="s">
        <v>35</v>
      </c>
      <c r="G214" s="13"/>
      <c r="H214" s="14">
        <f t="shared" si="6"/>
        <v>4</v>
      </c>
      <c r="I214" s="14">
        <v>4</v>
      </c>
      <c r="J214" s="14">
        <v>4</v>
      </c>
      <c r="K214" s="13" t="s">
        <v>4960</v>
      </c>
      <c r="L214" s="14" t="s">
        <v>169</v>
      </c>
      <c r="M214" s="14">
        <v>9287</v>
      </c>
      <c r="N214" s="14">
        <v>5337</v>
      </c>
      <c r="O214" s="14">
        <v>292870</v>
      </c>
      <c r="P214" s="14">
        <v>753370</v>
      </c>
      <c r="Q214" s="14"/>
    </row>
    <row r="215" spans="1:17" x14ac:dyDescent="0.25">
      <c r="A215" s="11" t="s">
        <v>4921</v>
      </c>
      <c r="B215" s="13" t="s">
        <v>319</v>
      </c>
      <c r="C215" s="61" t="s">
        <v>2657</v>
      </c>
      <c r="D215" s="13" t="s">
        <v>39</v>
      </c>
      <c r="E215" s="14" t="s">
        <v>2658</v>
      </c>
      <c r="F215" s="14" t="s">
        <v>35</v>
      </c>
      <c r="G215" s="13"/>
      <c r="H215" s="14">
        <f t="shared" si="6"/>
        <v>1</v>
      </c>
      <c r="I215" s="14">
        <v>1</v>
      </c>
      <c r="J215" s="14">
        <v>1</v>
      </c>
      <c r="K215" s="13" t="s">
        <v>1241</v>
      </c>
      <c r="L215" s="14" t="s">
        <v>318</v>
      </c>
      <c r="M215" s="14">
        <v>586</v>
      </c>
      <c r="N215" s="14">
        <v>652</v>
      </c>
      <c r="O215" s="14">
        <v>458600</v>
      </c>
      <c r="P215" s="14">
        <v>1165200</v>
      </c>
      <c r="Q215" s="14"/>
    </row>
    <row r="216" spans="1:17" x14ac:dyDescent="0.25">
      <c r="A216" s="11" t="s">
        <v>4921</v>
      </c>
      <c r="B216" s="13" t="s">
        <v>319</v>
      </c>
      <c r="C216" s="61" t="s">
        <v>2554</v>
      </c>
      <c r="D216" s="13" t="s">
        <v>39</v>
      </c>
      <c r="E216" s="14" t="s">
        <v>319</v>
      </c>
      <c r="F216" s="14" t="s">
        <v>35</v>
      </c>
      <c r="G216" s="13"/>
      <c r="H216" s="14">
        <f t="shared" si="6"/>
        <v>1</v>
      </c>
      <c r="I216" s="14">
        <v>1</v>
      </c>
      <c r="J216" s="14">
        <v>1</v>
      </c>
      <c r="K216" s="13" t="s">
        <v>2901</v>
      </c>
      <c r="L216" s="14" t="s">
        <v>318</v>
      </c>
      <c r="M216" s="14">
        <v>398</v>
      </c>
      <c r="N216" s="14">
        <v>95</v>
      </c>
      <c r="O216" s="14">
        <v>439800</v>
      </c>
      <c r="P216" s="14">
        <v>1109500</v>
      </c>
      <c r="Q216" s="14"/>
    </row>
    <row r="217" spans="1:17" x14ac:dyDescent="0.25">
      <c r="A217" s="11" t="s">
        <v>4921</v>
      </c>
      <c r="B217" s="13" t="s">
        <v>319</v>
      </c>
      <c r="C217" s="61" t="s">
        <v>2614</v>
      </c>
      <c r="D217" s="13" t="s">
        <v>39</v>
      </c>
      <c r="E217" s="14" t="s">
        <v>2615</v>
      </c>
      <c r="F217" s="14" t="s">
        <v>35</v>
      </c>
      <c r="G217" s="13"/>
      <c r="H217" s="14">
        <f>G217+I217</f>
        <v>3</v>
      </c>
      <c r="I217" s="14">
        <v>3</v>
      </c>
      <c r="J217" s="14">
        <v>1</v>
      </c>
      <c r="K217" s="13" t="s">
        <v>2901</v>
      </c>
      <c r="L217" s="14" t="s">
        <v>318</v>
      </c>
      <c r="M217" s="14">
        <v>285</v>
      </c>
      <c r="N217" s="14">
        <v>502</v>
      </c>
      <c r="O217" s="14">
        <v>428500</v>
      </c>
      <c r="P217" s="14">
        <v>1150200</v>
      </c>
      <c r="Q217" s="14"/>
    </row>
    <row r="218" spans="1:17" x14ac:dyDescent="0.25">
      <c r="A218" s="11" t="s">
        <v>4921</v>
      </c>
      <c r="B218" s="13" t="s">
        <v>743</v>
      </c>
      <c r="C218" s="61" t="s">
        <v>1680</v>
      </c>
      <c r="D218" s="13" t="s">
        <v>1668</v>
      </c>
      <c r="E218" s="14" t="s">
        <v>236</v>
      </c>
      <c r="F218" s="14" t="s">
        <v>35</v>
      </c>
      <c r="G218" s="13">
        <v>1</v>
      </c>
      <c r="H218" s="14">
        <f t="shared" si="6"/>
        <v>3</v>
      </c>
      <c r="I218" s="14">
        <v>2</v>
      </c>
      <c r="J218" s="14">
        <v>3</v>
      </c>
      <c r="K218" s="13" t="s">
        <v>5176</v>
      </c>
      <c r="L218" s="14" t="s">
        <v>460</v>
      </c>
      <c r="M218" s="14">
        <v>6336</v>
      </c>
      <c r="N218" s="14">
        <v>9214</v>
      </c>
      <c r="O218" s="14">
        <v>263360</v>
      </c>
      <c r="P218" s="14">
        <v>892140</v>
      </c>
      <c r="Q218" s="14"/>
    </row>
    <row r="219" spans="1:17" ht="22.5" x14ac:dyDescent="0.25">
      <c r="A219" s="11" t="s">
        <v>4921</v>
      </c>
      <c r="B219" s="13" t="s">
        <v>186</v>
      </c>
      <c r="C219" s="61" t="s">
        <v>4944</v>
      </c>
      <c r="D219" s="13" t="s">
        <v>4945</v>
      </c>
      <c r="E219" s="13" t="s">
        <v>4946</v>
      </c>
      <c r="F219" s="14" t="s">
        <v>56</v>
      </c>
      <c r="G219" s="13"/>
      <c r="H219" s="14">
        <f>G219+I219</f>
        <v>1</v>
      </c>
      <c r="I219" s="14">
        <v>1</v>
      </c>
      <c r="J219" s="14">
        <v>1</v>
      </c>
      <c r="K219" s="13" t="s">
        <v>842</v>
      </c>
      <c r="L219" s="14" t="s">
        <v>189</v>
      </c>
      <c r="M219" s="14">
        <v>600</v>
      </c>
      <c r="N219" s="14">
        <v>7989</v>
      </c>
      <c r="O219" s="14">
        <v>306000</v>
      </c>
      <c r="P219" s="14">
        <v>379890</v>
      </c>
      <c r="Q219" s="14"/>
    </row>
    <row r="220" spans="1:17" x14ac:dyDescent="0.25">
      <c r="A220" s="11" t="s">
        <v>4921</v>
      </c>
      <c r="B220" s="13" t="s">
        <v>186</v>
      </c>
      <c r="C220" s="61" t="s">
        <v>5045</v>
      </c>
      <c r="D220" s="13" t="s">
        <v>3320</v>
      </c>
      <c r="E220" s="14" t="s">
        <v>554</v>
      </c>
      <c r="F220" s="14" t="s">
        <v>56</v>
      </c>
      <c r="G220" s="13"/>
      <c r="H220" s="14">
        <f>G220+I220</f>
        <v>1</v>
      </c>
      <c r="I220" s="14">
        <v>1</v>
      </c>
      <c r="J220" s="14">
        <v>1</v>
      </c>
      <c r="K220" s="13" t="s">
        <v>3149</v>
      </c>
      <c r="L220" s="14" t="s">
        <v>189</v>
      </c>
      <c r="M220" s="14">
        <v>863</v>
      </c>
      <c r="N220" s="14">
        <v>8008</v>
      </c>
      <c r="O220" s="14">
        <v>308630</v>
      </c>
      <c r="P220" s="14">
        <v>380080</v>
      </c>
      <c r="Q220" s="14"/>
    </row>
    <row r="221" spans="1:17" ht="22.5" x14ac:dyDescent="0.25">
      <c r="A221" s="11" t="s">
        <v>4921</v>
      </c>
      <c r="B221" s="13" t="s">
        <v>186</v>
      </c>
      <c r="C221" s="61" t="s">
        <v>4947</v>
      </c>
      <c r="D221" s="13" t="s">
        <v>4945</v>
      </c>
      <c r="E221" s="13" t="s">
        <v>4946</v>
      </c>
      <c r="F221" s="14" t="s">
        <v>56</v>
      </c>
      <c r="G221" s="13"/>
      <c r="H221" s="14">
        <f>G221+I221</f>
        <v>1</v>
      </c>
      <c r="I221" s="14">
        <v>1</v>
      </c>
      <c r="J221" s="14">
        <v>1</v>
      </c>
      <c r="K221" s="13" t="s">
        <v>842</v>
      </c>
      <c r="L221" s="14" t="s">
        <v>189</v>
      </c>
      <c r="M221" s="14">
        <v>75</v>
      </c>
      <c r="N221" s="14">
        <v>811</v>
      </c>
      <c r="O221" s="14">
        <v>307500</v>
      </c>
      <c r="P221" s="14">
        <v>381100</v>
      </c>
      <c r="Q221" s="14"/>
    </row>
    <row r="222" spans="1:17" x14ac:dyDescent="0.25">
      <c r="A222" s="11" t="s">
        <v>4921</v>
      </c>
      <c r="B222" s="13" t="s">
        <v>55</v>
      </c>
      <c r="C222" s="61" t="s">
        <v>976</v>
      </c>
      <c r="D222" s="13" t="s">
        <v>151</v>
      </c>
      <c r="E222" s="13" t="s">
        <v>58</v>
      </c>
      <c r="F222" s="14" t="s">
        <v>56</v>
      </c>
      <c r="G222" s="13">
        <v>2</v>
      </c>
      <c r="H222" s="14">
        <f t="shared" ref="H222:H228" si="7">G222+I222</f>
        <v>2</v>
      </c>
      <c r="J222" s="14">
        <v>2</v>
      </c>
      <c r="K222" s="13" t="s">
        <v>4757</v>
      </c>
      <c r="L222" s="14" t="s">
        <v>153</v>
      </c>
      <c r="M222" s="14">
        <v>145</v>
      </c>
      <c r="N222" s="14">
        <v>325</v>
      </c>
      <c r="O222" s="14">
        <v>214500</v>
      </c>
      <c r="P222" s="14">
        <v>232500</v>
      </c>
      <c r="Q222" s="14"/>
    </row>
    <row r="223" spans="1:17" x14ac:dyDescent="0.25">
      <c r="A223" s="11" t="s">
        <v>4921</v>
      </c>
      <c r="B223" s="13" t="s">
        <v>55</v>
      </c>
      <c r="C223" s="61" t="s">
        <v>3469</v>
      </c>
      <c r="D223" s="13" t="s">
        <v>220</v>
      </c>
      <c r="E223" s="14" t="s">
        <v>221</v>
      </c>
      <c r="F223" s="14" t="s">
        <v>56</v>
      </c>
      <c r="G223" s="13"/>
      <c r="H223" s="14">
        <f t="shared" si="7"/>
        <v>1</v>
      </c>
      <c r="I223" s="14">
        <v>1</v>
      </c>
      <c r="J223" s="14">
        <v>1</v>
      </c>
      <c r="K223" s="13" t="s">
        <v>866</v>
      </c>
      <c r="L223" s="14" t="s">
        <v>153</v>
      </c>
      <c r="M223" s="14">
        <v>63</v>
      </c>
      <c r="N223" s="14">
        <v>391</v>
      </c>
      <c r="O223" s="14">
        <v>206300</v>
      </c>
      <c r="P223" s="14">
        <v>239100</v>
      </c>
      <c r="Q223" s="14"/>
    </row>
    <row r="224" spans="1:17" x14ac:dyDescent="0.25">
      <c r="A224" s="11" t="s">
        <v>4921</v>
      </c>
      <c r="B224" s="13" t="s">
        <v>55</v>
      </c>
      <c r="C224" s="61" t="s">
        <v>182</v>
      </c>
      <c r="D224" s="13" t="s">
        <v>39</v>
      </c>
      <c r="E224" s="14" t="s">
        <v>183</v>
      </c>
      <c r="F224" s="14" t="s">
        <v>56</v>
      </c>
      <c r="G224" s="13"/>
      <c r="H224" s="14">
        <f>G224+I224</f>
        <v>2</v>
      </c>
      <c r="I224" s="14">
        <v>2</v>
      </c>
      <c r="J224" s="14">
        <v>2</v>
      </c>
      <c r="K224" s="13" t="s">
        <v>4955</v>
      </c>
      <c r="L224" s="14" t="s">
        <v>184</v>
      </c>
      <c r="M224" s="14">
        <v>7373</v>
      </c>
      <c r="N224" s="14">
        <v>2509</v>
      </c>
      <c r="O224" s="14">
        <v>173730</v>
      </c>
      <c r="P224" s="14">
        <v>225090</v>
      </c>
      <c r="Q224" s="14"/>
    </row>
    <row r="225" spans="1:17" ht="22.5" x14ac:dyDescent="0.25">
      <c r="A225" s="11" t="s">
        <v>4921</v>
      </c>
      <c r="B225" s="13" t="s">
        <v>55</v>
      </c>
      <c r="C225" s="61" t="s">
        <v>734</v>
      </c>
      <c r="D225" s="13" t="s">
        <v>41</v>
      </c>
      <c r="E225" s="14" t="s">
        <v>57</v>
      </c>
      <c r="F225" s="14" t="s">
        <v>56</v>
      </c>
      <c r="G225" s="13"/>
      <c r="H225" s="14">
        <f t="shared" si="7"/>
        <v>1</v>
      </c>
      <c r="I225" s="14">
        <v>1</v>
      </c>
      <c r="J225" s="14">
        <v>1</v>
      </c>
      <c r="K225" s="13" t="s">
        <v>849</v>
      </c>
      <c r="L225" s="14" t="s">
        <v>153</v>
      </c>
      <c r="M225" s="14">
        <v>998</v>
      </c>
      <c r="N225" s="14">
        <v>3698</v>
      </c>
      <c r="O225" s="14">
        <v>209980</v>
      </c>
      <c r="P225" s="14">
        <v>236980</v>
      </c>
      <c r="Q225" s="14"/>
    </row>
    <row r="226" spans="1:17" x14ac:dyDescent="0.25">
      <c r="A226" s="11" t="s">
        <v>4921</v>
      </c>
      <c r="B226" s="13" t="s">
        <v>55</v>
      </c>
      <c r="C226" s="61" t="s">
        <v>58</v>
      </c>
      <c r="D226" s="13" t="s">
        <v>151</v>
      </c>
      <c r="E226" s="14" t="s">
        <v>57</v>
      </c>
      <c r="F226" s="14" t="s">
        <v>56</v>
      </c>
      <c r="G226" s="13"/>
      <c r="H226" s="14">
        <f t="shared" si="7"/>
        <v>1</v>
      </c>
      <c r="I226" s="14">
        <v>1</v>
      </c>
      <c r="J226" s="14">
        <v>1</v>
      </c>
      <c r="K226" s="13" t="s">
        <v>1521</v>
      </c>
      <c r="L226" s="14" t="s">
        <v>153</v>
      </c>
      <c r="M226" s="14">
        <v>211</v>
      </c>
      <c r="N226" s="14">
        <v>326</v>
      </c>
      <c r="O226" s="14">
        <v>211100</v>
      </c>
      <c r="P226" s="14">
        <v>232600</v>
      </c>
      <c r="Q226" s="14"/>
    </row>
    <row r="227" spans="1:17" x14ac:dyDescent="0.25">
      <c r="A227" s="11" t="s">
        <v>4921</v>
      </c>
      <c r="B227" s="13" t="s">
        <v>593</v>
      </c>
      <c r="C227" s="61" t="s">
        <v>622</v>
      </c>
      <c r="D227" s="13" t="s">
        <v>39</v>
      </c>
      <c r="E227" s="14" t="s">
        <v>623</v>
      </c>
      <c r="F227" s="14" t="s">
        <v>56</v>
      </c>
      <c r="G227" s="13"/>
      <c r="H227" s="14">
        <f t="shared" si="7"/>
        <v>1</v>
      </c>
      <c r="I227" s="14">
        <v>1</v>
      </c>
      <c r="J227" s="14">
        <v>1</v>
      </c>
      <c r="K227" s="13" t="s">
        <v>842</v>
      </c>
      <c r="L227" s="14" t="s">
        <v>596</v>
      </c>
      <c r="M227" s="14">
        <v>868</v>
      </c>
      <c r="N227" s="14">
        <v>773</v>
      </c>
      <c r="O227" s="14">
        <v>286800</v>
      </c>
      <c r="P227" s="14">
        <v>177300</v>
      </c>
      <c r="Q227" s="14"/>
    </row>
    <row r="228" spans="1:17" ht="22.5" x14ac:dyDescent="0.25">
      <c r="A228" s="11" t="s">
        <v>4921</v>
      </c>
      <c r="B228" s="13" t="s">
        <v>593</v>
      </c>
      <c r="C228" s="61" t="s">
        <v>402</v>
      </c>
      <c r="D228" s="13" t="s">
        <v>3842</v>
      </c>
      <c r="E228" s="14" t="s">
        <v>623</v>
      </c>
      <c r="F228" s="14" t="s">
        <v>56</v>
      </c>
      <c r="G228" s="13"/>
      <c r="H228" s="14">
        <f t="shared" si="7"/>
        <v>3</v>
      </c>
      <c r="I228" s="14">
        <v>3</v>
      </c>
      <c r="J228" s="14">
        <v>2</v>
      </c>
      <c r="K228" s="13" t="s">
        <v>4136</v>
      </c>
      <c r="L228" s="14" t="s">
        <v>596</v>
      </c>
      <c r="M228" s="14">
        <v>8325</v>
      </c>
      <c r="N228" s="14">
        <v>7960</v>
      </c>
      <c r="O228" s="14">
        <v>283250</v>
      </c>
      <c r="P228" s="14">
        <v>179600</v>
      </c>
      <c r="Q228" s="14"/>
    </row>
    <row r="229" spans="1:17" ht="22.5" x14ac:dyDescent="0.25">
      <c r="A229" s="11" t="s">
        <v>4921</v>
      </c>
      <c r="B229" s="13" t="s">
        <v>593</v>
      </c>
      <c r="C229" s="61" t="s">
        <v>1793</v>
      </c>
      <c r="D229" s="13" t="s">
        <v>41</v>
      </c>
      <c r="E229" s="13" t="s">
        <v>1794</v>
      </c>
      <c r="F229" s="14" t="s">
        <v>56</v>
      </c>
      <c r="G229" s="13"/>
      <c r="H229" s="14">
        <f t="shared" ref="H229:H250" si="8">G229+I229</f>
        <v>1</v>
      </c>
      <c r="I229" s="14">
        <v>1</v>
      </c>
      <c r="J229" s="14">
        <v>1</v>
      </c>
      <c r="K229" s="13" t="s">
        <v>1396</v>
      </c>
      <c r="L229" s="14" t="s">
        <v>119</v>
      </c>
      <c r="M229" s="14">
        <v>811</v>
      </c>
      <c r="N229" s="14">
        <v>7378</v>
      </c>
      <c r="O229" s="14">
        <v>308110</v>
      </c>
      <c r="P229" s="14">
        <v>173780</v>
      </c>
      <c r="Q229" s="14"/>
    </row>
    <row r="230" spans="1:17" ht="22.5" x14ac:dyDescent="0.25">
      <c r="A230" s="11" t="s">
        <v>4921</v>
      </c>
      <c r="B230" s="13" t="s">
        <v>593</v>
      </c>
      <c r="C230" s="61" t="s">
        <v>2604</v>
      </c>
      <c r="D230" s="13" t="s">
        <v>41</v>
      </c>
      <c r="E230" s="13" t="s">
        <v>1793</v>
      </c>
      <c r="F230" s="14" t="s">
        <v>56</v>
      </c>
      <c r="G230" s="13"/>
      <c r="H230" s="14">
        <f t="shared" si="8"/>
        <v>1</v>
      </c>
      <c r="I230" s="14">
        <v>1</v>
      </c>
      <c r="J230" s="14">
        <v>1</v>
      </c>
      <c r="K230" s="13" t="s">
        <v>863</v>
      </c>
      <c r="L230" s="14" t="s">
        <v>119</v>
      </c>
      <c r="M230" s="14">
        <v>92</v>
      </c>
      <c r="N230" s="14">
        <v>733</v>
      </c>
      <c r="O230" s="14">
        <v>309200</v>
      </c>
      <c r="P230" s="14">
        <v>173300</v>
      </c>
      <c r="Q230" s="14"/>
    </row>
    <row r="231" spans="1:17" ht="33.75" x14ac:dyDescent="0.25">
      <c r="A231" s="11" t="s">
        <v>4921</v>
      </c>
      <c r="B231" s="13" t="s">
        <v>161</v>
      </c>
      <c r="C231" s="61" t="s">
        <v>423</v>
      </c>
      <c r="D231" s="13" t="s">
        <v>3397</v>
      </c>
      <c r="E231" s="14" t="s">
        <v>301</v>
      </c>
      <c r="F231" s="14" t="s">
        <v>56</v>
      </c>
      <c r="G231" s="13"/>
      <c r="H231" s="14">
        <f t="shared" si="8"/>
        <v>2</v>
      </c>
      <c r="I231" s="14">
        <v>2</v>
      </c>
      <c r="J231" s="14">
        <v>2</v>
      </c>
      <c r="K231" s="13" t="s">
        <v>5003</v>
      </c>
      <c r="L231" s="14" t="s">
        <v>164</v>
      </c>
      <c r="M231" s="14">
        <v>50761</v>
      </c>
      <c r="N231" s="14">
        <v>70185</v>
      </c>
      <c r="O231" s="14">
        <v>250761</v>
      </c>
      <c r="P231" s="14">
        <v>370185</v>
      </c>
      <c r="Q231" s="14"/>
    </row>
    <row r="232" spans="1:17" x14ac:dyDescent="0.25">
      <c r="A232" s="11" t="s">
        <v>4921</v>
      </c>
      <c r="B232" s="13" t="s">
        <v>161</v>
      </c>
      <c r="C232" s="61" t="s">
        <v>223</v>
      </c>
      <c r="D232" s="13" t="s">
        <v>220</v>
      </c>
      <c r="E232" s="14" t="s">
        <v>225</v>
      </c>
      <c r="F232" s="14" t="s">
        <v>56</v>
      </c>
      <c r="G232" s="13"/>
      <c r="H232" s="14">
        <f t="shared" si="8"/>
        <v>2</v>
      </c>
      <c r="I232" s="14">
        <v>2</v>
      </c>
      <c r="J232" s="14">
        <v>2</v>
      </c>
      <c r="K232" s="13" t="s">
        <v>4959</v>
      </c>
      <c r="L232" s="14" t="s">
        <v>164</v>
      </c>
      <c r="M232" s="14">
        <v>5886</v>
      </c>
      <c r="N232" s="14">
        <v>2284</v>
      </c>
      <c r="O232" s="14">
        <v>258860</v>
      </c>
      <c r="P232" s="14">
        <v>322840</v>
      </c>
      <c r="Q232" s="14"/>
    </row>
    <row r="233" spans="1:17" ht="22.5" x14ac:dyDescent="0.25">
      <c r="A233" s="11" t="s">
        <v>4921</v>
      </c>
      <c r="B233" s="13" t="s">
        <v>161</v>
      </c>
      <c r="C233" s="61" t="s">
        <v>162</v>
      </c>
      <c r="D233" s="13" t="s">
        <v>825</v>
      </c>
      <c r="E233" s="14" t="s">
        <v>826</v>
      </c>
      <c r="F233" s="14" t="s">
        <v>56</v>
      </c>
      <c r="G233" s="13"/>
      <c r="H233" s="14">
        <f t="shared" si="8"/>
        <v>3</v>
      </c>
      <c r="I233" s="14">
        <v>3</v>
      </c>
      <c r="J233" s="14">
        <v>3</v>
      </c>
      <c r="K233" s="13" t="s">
        <v>5065</v>
      </c>
      <c r="L233" s="14" t="s">
        <v>164</v>
      </c>
      <c r="M233" s="14">
        <v>717</v>
      </c>
      <c r="N233" s="14">
        <v>749</v>
      </c>
      <c r="O233" s="14">
        <v>271700</v>
      </c>
      <c r="P233" s="14">
        <v>374900</v>
      </c>
      <c r="Q233" s="14"/>
    </row>
    <row r="234" spans="1:17" x14ac:dyDescent="0.25">
      <c r="A234" s="11" t="s">
        <v>4921</v>
      </c>
      <c r="B234" s="13" t="s">
        <v>161</v>
      </c>
      <c r="C234" s="61" t="s">
        <v>181</v>
      </c>
      <c r="D234" s="13" t="s">
        <v>1940</v>
      </c>
      <c r="E234" s="14" t="s">
        <v>246</v>
      </c>
      <c r="F234" s="14" t="s">
        <v>56</v>
      </c>
      <c r="G234" s="13"/>
      <c r="H234" s="14">
        <f t="shared" si="8"/>
        <v>2</v>
      </c>
      <c r="I234" s="14">
        <v>2</v>
      </c>
      <c r="J234" s="14">
        <v>2</v>
      </c>
      <c r="K234" s="13" t="s">
        <v>4176</v>
      </c>
      <c r="L234" s="14" t="s">
        <v>164</v>
      </c>
      <c r="M234" s="14">
        <v>5938</v>
      </c>
      <c r="N234" s="14">
        <v>7104</v>
      </c>
      <c r="O234" s="14">
        <v>259380</v>
      </c>
      <c r="P234" s="14">
        <v>371040</v>
      </c>
      <c r="Q234" s="14"/>
    </row>
    <row r="235" spans="1:17" x14ac:dyDescent="0.25">
      <c r="A235" s="11" t="s">
        <v>4921</v>
      </c>
      <c r="B235" s="13" t="s">
        <v>161</v>
      </c>
      <c r="C235" s="61" t="s">
        <v>181</v>
      </c>
      <c r="D235" s="13" t="s">
        <v>39</v>
      </c>
      <c r="E235" s="14" t="s">
        <v>246</v>
      </c>
      <c r="F235" s="14" t="s">
        <v>56</v>
      </c>
      <c r="G235" s="13"/>
      <c r="H235" s="14">
        <f t="shared" si="8"/>
        <v>1</v>
      </c>
      <c r="I235" s="14">
        <v>1</v>
      </c>
      <c r="J235" s="14">
        <v>1</v>
      </c>
      <c r="K235" s="13" t="s">
        <v>476</v>
      </c>
      <c r="L235" s="14" t="s">
        <v>164</v>
      </c>
      <c r="M235" s="14">
        <v>5938</v>
      </c>
      <c r="N235" s="14">
        <v>7104</v>
      </c>
      <c r="O235" s="14">
        <v>259380</v>
      </c>
      <c r="P235" s="14">
        <v>371040</v>
      </c>
      <c r="Q235" s="14"/>
    </row>
    <row r="236" spans="1:17" s="57" customFormat="1" ht="22.5" x14ac:dyDescent="0.25">
      <c r="A236" s="11" t="s">
        <v>4921</v>
      </c>
      <c r="B236" s="55" t="s">
        <v>161</v>
      </c>
      <c r="C236" s="63" t="s">
        <v>4942</v>
      </c>
      <c r="D236" s="13" t="s">
        <v>825</v>
      </c>
      <c r="E236" s="57" t="s">
        <v>3171</v>
      </c>
      <c r="F236" s="57" t="s">
        <v>56</v>
      </c>
      <c r="G236" s="55"/>
      <c r="H236" s="57">
        <f>G236+I236</f>
        <v>3</v>
      </c>
      <c r="I236" s="57">
        <v>3</v>
      </c>
      <c r="J236" s="57">
        <v>3</v>
      </c>
      <c r="K236" s="55" t="s">
        <v>4948</v>
      </c>
      <c r="L236" s="57" t="s">
        <v>164</v>
      </c>
      <c r="M236" s="57">
        <v>2339</v>
      </c>
      <c r="N236" s="57">
        <v>2991</v>
      </c>
      <c r="O236" s="57">
        <v>223390</v>
      </c>
      <c r="P236" s="57">
        <v>329910</v>
      </c>
    </row>
    <row r="237" spans="1:17" ht="22.5" x14ac:dyDescent="0.25">
      <c r="A237" s="11" t="s">
        <v>4921</v>
      </c>
      <c r="B237" s="13" t="s">
        <v>66</v>
      </c>
      <c r="C237" s="61" t="s">
        <v>242</v>
      </c>
      <c r="D237" s="13" t="s">
        <v>41</v>
      </c>
      <c r="E237" s="14" t="s">
        <v>244</v>
      </c>
      <c r="F237" s="14" t="s">
        <v>56</v>
      </c>
      <c r="G237" s="13"/>
      <c r="H237" s="14">
        <f t="shared" si="8"/>
        <v>1</v>
      </c>
      <c r="I237" s="14">
        <v>1</v>
      </c>
      <c r="J237" s="14">
        <v>1</v>
      </c>
      <c r="K237" s="13" t="s">
        <v>877</v>
      </c>
      <c r="L237" s="14" t="s">
        <v>113</v>
      </c>
      <c r="M237" s="14">
        <v>1505</v>
      </c>
      <c r="N237" s="14">
        <v>3156</v>
      </c>
      <c r="O237" s="14">
        <v>315050</v>
      </c>
      <c r="P237" s="14">
        <v>231560</v>
      </c>
      <c r="Q237" s="14"/>
    </row>
    <row r="238" spans="1:17" ht="22.5" x14ac:dyDescent="0.25">
      <c r="A238" s="11" t="s">
        <v>4921</v>
      </c>
      <c r="B238" s="13" t="s">
        <v>66</v>
      </c>
      <c r="C238" s="61" t="s">
        <v>273</v>
      </c>
      <c r="D238" s="13" t="s">
        <v>41</v>
      </c>
      <c r="E238" s="14" t="s">
        <v>274</v>
      </c>
      <c r="F238" s="14" t="s">
        <v>56</v>
      </c>
      <c r="G238" s="13"/>
      <c r="H238" s="14">
        <f t="shared" si="8"/>
        <v>2</v>
      </c>
      <c r="I238" s="14">
        <v>2</v>
      </c>
      <c r="J238" s="14">
        <v>2</v>
      </c>
      <c r="K238" s="13" t="s">
        <v>2548</v>
      </c>
      <c r="L238" s="14" t="s">
        <v>113</v>
      </c>
      <c r="M238" s="14">
        <v>1819</v>
      </c>
      <c r="N238" s="14">
        <v>2905</v>
      </c>
      <c r="O238" s="14">
        <v>318190</v>
      </c>
      <c r="P238" s="14">
        <v>229050</v>
      </c>
      <c r="Q238" s="14"/>
    </row>
    <row r="239" spans="1:17" ht="22.5" x14ac:dyDescent="0.25">
      <c r="A239" s="11" t="s">
        <v>4921</v>
      </c>
      <c r="B239" s="13" t="s">
        <v>778</v>
      </c>
      <c r="C239" s="61" t="s">
        <v>779</v>
      </c>
      <c r="D239" s="13" t="s">
        <v>780</v>
      </c>
      <c r="E239" s="14" t="s">
        <v>1023</v>
      </c>
      <c r="F239" s="13" t="s">
        <v>776</v>
      </c>
      <c r="G239" s="13"/>
      <c r="H239" s="14">
        <f t="shared" si="8"/>
        <v>1</v>
      </c>
      <c r="I239" s="14">
        <v>1</v>
      </c>
      <c r="J239" s="14">
        <v>1</v>
      </c>
      <c r="K239" s="13" t="s">
        <v>887</v>
      </c>
      <c r="L239" s="14" t="s">
        <v>781</v>
      </c>
      <c r="M239" s="14">
        <v>215</v>
      </c>
      <c r="N239" s="14">
        <v>1830</v>
      </c>
      <c r="Q239" s="14"/>
    </row>
    <row r="240" spans="1:17" ht="22.5" x14ac:dyDescent="0.25">
      <c r="A240" s="11" t="s">
        <v>4921</v>
      </c>
      <c r="B240" s="13" t="s">
        <v>778</v>
      </c>
      <c r="C240" s="61" t="s">
        <v>1405</v>
      </c>
      <c r="D240" s="13" t="s">
        <v>4736</v>
      </c>
      <c r="E240" s="14" t="s">
        <v>1406</v>
      </c>
      <c r="F240" s="13" t="s">
        <v>776</v>
      </c>
      <c r="G240" s="13"/>
      <c r="H240" s="14">
        <f t="shared" si="8"/>
        <v>1</v>
      </c>
      <c r="I240" s="14">
        <v>1</v>
      </c>
      <c r="J240" s="14">
        <v>1</v>
      </c>
      <c r="K240" s="13" t="s">
        <v>893</v>
      </c>
      <c r="L240" s="14" t="s">
        <v>781</v>
      </c>
      <c r="M240" s="14">
        <v>1908</v>
      </c>
      <c r="N240" s="14">
        <v>4180</v>
      </c>
      <c r="O240" s="65"/>
      <c r="P240" s="65"/>
      <c r="Q240" s="14"/>
    </row>
    <row r="241" spans="1:17" ht="45" x14ac:dyDescent="0.25">
      <c r="A241" s="11" t="s">
        <v>4921</v>
      </c>
      <c r="B241" s="13" t="s">
        <v>778</v>
      </c>
      <c r="C241" s="61" t="s">
        <v>777</v>
      </c>
      <c r="D241" s="13" t="s">
        <v>4473</v>
      </c>
      <c r="E241" s="14" t="s">
        <v>778</v>
      </c>
      <c r="F241" s="13" t="s">
        <v>776</v>
      </c>
      <c r="G241" s="13"/>
      <c r="H241" s="14">
        <f t="shared" si="8"/>
        <v>1</v>
      </c>
      <c r="I241" s="14">
        <v>1</v>
      </c>
      <c r="J241" s="14">
        <v>1</v>
      </c>
      <c r="K241" s="13" t="s">
        <v>1262</v>
      </c>
      <c r="L241" s="14" t="s">
        <v>782</v>
      </c>
      <c r="M241" s="14">
        <v>2478</v>
      </c>
      <c r="N241" s="14">
        <v>8284</v>
      </c>
      <c r="Q241" s="14"/>
    </row>
    <row r="242" spans="1:17" ht="22.5" x14ac:dyDescent="0.25">
      <c r="A242" s="11" t="s">
        <v>4921</v>
      </c>
      <c r="B242" s="13" t="s">
        <v>778</v>
      </c>
      <c r="C242" s="61" t="s">
        <v>1287</v>
      </c>
      <c r="D242" s="13" t="s">
        <v>151</v>
      </c>
      <c r="E242" s="14" t="s">
        <v>778</v>
      </c>
      <c r="F242" s="13" t="s">
        <v>776</v>
      </c>
      <c r="G242" s="13"/>
      <c r="H242" s="14">
        <f t="shared" si="8"/>
        <v>1</v>
      </c>
      <c r="I242" s="14">
        <v>1</v>
      </c>
      <c r="J242" s="14">
        <v>1</v>
      </c>
      <c r="K242" s="13" t="s">
        <v>842</v>
      </c>
      <c r="L242" s="14" t="s">
        <v>781</v>
      </c>
      <c r="M242" s="14">
        <v>135</v>
      </c>
      <c r="N242" s="14">
        <v>510</v>
      </c>
      <c r="Q242" s="14"/>
    </row>
    <row r="243" spans="1:17" ht="22.5" x14ac:dyDescent="0.25">
      <c r="A243" s="11" t="s">
        <v>4921</v>
      </c>
      <c r="B243" s="13" t="s">
        <v>778</v>
      </c>
      <c r="C243" s="61" t="s">
        <v>943</v>
      </c>
      <c r="D243" s="13" t="s">
        <v>151</v>
      </c>
      <c r="E243" s="14" t="s">
        <v>778</v>
      </c>
      <c r="F243" s="13" t="s">
        <v>776</v>
      </c>
      <c r="G243" s="13"/>
      <c r="H243" s="14">
        <f t="shared" si="8"/>
        <v>2</v>
      </c>
      <c r="I243" s="14">
        <v>2</v>
      </c>
      <c r="J243" s="14">
        <v>2</v>
      </c>
      <c r="K243" s="13" t="s">
        <v>4962</v>
      </c>
      <c r="L243" s="14" t="s">
        <v>781</v>
      </c>
      <c r="M243" s="14">
        <v>193</v>
      </c>
      <c r="N243" s="14">
        <v>268</v>
      </c>
      <c r="Q243" s="14"/>
    </row>
    <row r="244" spans="1:17" ht="22.5" x14ac:dyDescent="0.25">
      <c r="A244" s="11" t="s">
        <v>4921</v>
      </c>
      <c r="B244" s="13" t="s">
        <v>1444</v>
      </c>
      <c r="C244" s="61" t="s">
        <v>1445</v>
      </c>
      <c r="D244" s="13" t="s">
        <v>780</v>
      </c>
      <c r="E244" s="14" t="s">
        <v>1444</v>
      </c>
      <c r="F244" s="13" t="s">
        <v>776</v>
      </c>
      <c r="G244" s="13"/>
      <c r="H244" s="14">
        <f t="shared" si="8"/>
        <v>1</v>
      </c>
      <c r="I244" s="14">
        <v>1</v>
      </c>
      <c r="J244" s="14">
        <v>1</v>
      </c>
      <c r="K244" s="13" t="s">
        <v>887</v>
      </c>
      <c r="L244" s="14" t="s">
        <v>992</v>
      </c>
      <c r="M244" s="14">
        <v>905</v>
      </c>
      <c r="N244" s="14">
        <v>178</v>
      </c>
      <c r="O244" s="65"/>
      <c r="P244" s="65"/>
      <c r="Q244" s="14"/>
    </row>
    <row r="245" spans="1:17" ht="33.75" x14ac:dyDescent="0.25">
      <c r="A245" s="11" t="s">
        <v>4921</v>
      </c>
      <c r="B245" s="13" t="s">
        <v>1631</v>
      </c>
      <c r="C245" s="61" t="s">
        <v>1398</v>
      </c>
      <c r="D245" s="13" t="s">
        <v>4569</v>
      </c>
      <c r="E245" s="14" t="s">
        <v>1292</v>
      </c>
      <c r="F245" s="13" t="s">
        <v>776</v>
      </c>
      <c r="G245" s="13">
        <v>1</v>
      </c>
      <c r="H245" s="14">
        <f t="shared" si="8"/>
        <v>1</v>
      </c>
      <c r="J245" s="14">
        <v>1</v>
      </c>
      <c r="K245" s="13" t="s">
        <v>2178</v>
      </c>
      <c r="L245" s="14" t="s">
        <v>782</v>
      </c>
      <c r="M245" s="14">
        <v>531</v>
      </c>
      <c r="N245" s="14">
        <v>448</v>
      </c>
      <c r="O245" s="65"/>
      <c r="P245" s="65"/>
      <c r="Q245" s="14"/>
    </row>
    <row r="246" spans="1:17" ht="22.5" x14ac:dyDescent="0.25">
      <c r="A246" s="11" t="s">
        <v>4921</v>
      </c>
      <c r="B246" s="13" t="s">
        <v>1968</v>
      </c>
      <c r="C246" s="61" t="s">
        <v>4898</v>
      </c>
      <c r="D246" s="13" t="s">
        <v>39</v>
      </c>
      <c r="E246" s="14" t="s">
        <v>1968</v>
      </c>
      <c r="F246" s="13" t="s">
        <v>776</v>
      </c>
      <c r="G246" s="13"/>
      <c r="H246" s="14">
        <f>G246+I246</f>
        <v>1</v>
      </c>
      <c r="I246" s="14">
        <v>1</v>
      </c>
      <c r="J246" s="14">
        <v>1</v>
      </c>
      <c r="K246" s="13" t="s">
        <v>31</v>
      </c>
      <c r="L246" s="14" t="s">
        <v>1348</v>
      </c>
      <c r="M246" s="14">
        <v>927</v>
      </c>
      <c r="N246" s="14">
        <v>123</v>
      </c>
      <c r="O246" s="65"/>
      <c r="P246" s="65"/>
      <c r="Q246" s="14"/>
    </row>
    <row r="247" spans="1:17" ht="22.5" x14ac:dyDescent="0.25">
      <c r="A247" s="11" t="s">
        <v>4921</v>
      </c>
      <c r="B247" s="13" t="s">
        <v>1099</v>
      </c>
      <c r="C247" s="61" t="s">
        <v>1291</v>
      </c>
      <c r="D247" s="13" t="s">
        <v>8</v>
      </c>
      <c r="E247" s="14" t="s">
        <v>1292</v>
      </c>
      <c r="F247" s="13" t="s">
        <v>776</v>
      </c>
      <c r="G247" s="13"/>
      <c r="H247" s="14">
        <f t="shared" si="8"/>
        <v>1</v>
      </c>
      <c r="I247" s="14">
        <v>1</v>
      </c>
      <c r="J247" s="14">
        <v>1</v>
      </c>
      <c r="K247" s="13" t="s">
        <v>1552</v>
      </c>
      <c r="L247" s="14" t="s">
        <v>782</v>
      </c>
      <c r="M247" s="14">
        <v>481</v>
      </c>
      <c r="N247" s="14">
        <v>404</v>
      </c>
      <c r="Q247" s="14"/>
    </row>
    <row r="248" spans="1:17" ht="22.5" x14ac:dyDescent="0.25">
      <c r="A248" s="11" t="s">
        <v>4921</v>
      </c>
      <c r="B248" s="13" t="s">
        <v>1099</v>
      </c>
      <c r="C248" s="61" t="s">
        <v>1292</v>
      </c>
      <c r="D248" s="13" t="s">
        <v>39</v>
      </c>
      <c r="E248" s="14" t="s">
        <v>1292</v>
      </c>
      <c r="F248" s="13" t="s">
        <v>776</v>
      </c>
      <c r="G248" s="13"/>
      <c r="H248" s="14">
        <f t="shared" si="8"/>
        <v>2</v>
      </c>
      <c r="I248" s="14">
        <v>2</v>
      </c>
      <c r="J248" s="14">
        <v>2</v>
      </c>
      <c r="K248" s="13" t="s">
        <v>4755</v>
      </c>
      <c r="L248" s="14" t="s">
        <v>782</v>
      </c>
      <c r="M248" s="14">
        <v>486</v>
      </c>
      <c r="N248" s="14">
        <v>450</v>
      </c>
      <c r="O248" s="65"/>
      <c r="P248" s="65"/>
      <c r="Q248" s="14"/>
    </row>
    <row r="249" spans="1:17" ht="22.5" x14ac:dyDescent="0.25">
      <c r="A249" s="11" t="s">
        <v>4921</v>
      </c>
      <c r="B249" s="13" t="s">
        <v>1099</v>
      </c>
      <c r="C249" s="61" t="s">
        <v>4961</v>
      </c>
      <c r="D249" s="13" t="s">
        <v>780</v>
      </c>
      <c r="E249" s="14" t="s">
        <v>4896</v>
      </c>
      <c r="F249" s="13" t="s">
        <v>776</v>
      </c>
      <c r="G249" s="13"/>
      <c r="H249" s="14">
        <f>G249+I249</f>
        <v>1</v>
      </c>
      <c r="I249" s="14">
        <v>1</v>
      </c>
      <c r="J249" s="14">
        <v>1</v>
      </c>
      <c r="K249" s="13" t="s">
        <v>2178</v>
      </c>
      <c r="L249" s="14" t="s">
        <v>782</v>
      </c>
      <c r="M249" s="14">
        <v>629</v>
      </c>
      <c r="N249" s="14">
        <v>495</v>
      </c>
      <c r="O249" s="65"/>
      <c r="P249" s="65"/>
      <c r="Q249" s="14"/>
    </row>
    <row r="250" spans="1:17" ht="22.5" x14ac:dyDescent="0.25">
      <c r="A250" s="11" t="s">
        <v>4921</v>
      </c>
      <c r="B250" s="13" t="s">
        <v>1264</v>
      </c>
      <c r="C250" s="61" t="s">
        <v>1362</v>
      </c>
      <c r="D250" s="13" t="s">
        <v>39</v>
      </c>
      <c r="E250" s="14" t="s">
        <v>1363</v>
      </c>
      <c r="F250" s="13" t="s">
        <v>776</v>
      </c>
      <c r="G250" s="13"/>
      <c r="H250" s="14">
        <f t="shared" si="8"/>
        <v>4</v>
      </c>
      <c r="I250" s="14">
        <v>4</v>
      </c>
      <c r="J250" s="14">
        <v>2</v>
      </c>
      <c r="K250" s="13" t="s">
        <v>5149</v>
      </c>
      <c r="L250" s="14" t="s">
        <v>992</v>
      </c>
      <c r="M250" s="14">
        <v>743</v>
      </c>
      <c r="N250" s="14">
        <v>837</v>
      </c>
      <c r="Q250" s="14"/>
    </row>
    <row r="251" spans="1:17" ht="22.5" x14ac:dyDescent="0.25">
      <c r="A251" s="11" t="s">
        <v>4921</v>
      </c>
      <c r="B251" s="13" t="s">
        <v>1264</v>
      </c>
      <c r="C251" s="61" t="s">
        <v>4424</v>
      </c>
      <c r="D251" s="13" t="s">
        <v>780</v>
      </c>
      <c r="E251" s="14" t="s">
        <v>1264</v>
      </c>
      <c r="F251" s="13" t="s">
        <v>776</v>
      </c>
      <c r="G251" s="13"/>
      <c r="H251" s="14">
        <f>G251+I251</f>
        <v>1</v>
      </c>
      <c r="I251" s="14">
        <v>1</v>
      </c>
      <c r="J251" s="14">
        <v>1</v>
      </c>
      <c r="K251" s="13" t="s">
        <v>1195</v>
      </c>
      <c r="L251" s="14" t="s">
        <v>992</v>
      </c>
      <c r="M251" s="14">
        <v>510</v>
      </c>
      <c r="N251" s="14">
        <v>904</v>
      </c>
      <c r="O251" s="65"/>
      <c r="P251" s="65"/>
      <c r="Q251" s="14"/>
    </row>
    <row r="252" spans="1:17" x14ac:dyDescent="0.25">
      <c r="A252" s="11" t="s">
        <v>4921</v>
      </c>
      <c r="B252" s="13" t="s">
        <v>1248</v>
      </c>
      <c r="C252" s="61" t="s">
        <v>2460</v>
      </c>
      <c r="D252" s="13" t="s">
        <v>2099</v>
      </c>
      <c r="E252" s="14" t="s">
        <v>2461</v>
      </c>
      <c r="F252" s="13" t="s">
        <v>773</v>
      </c>
      <c r="G252" s="13"/>
      <c r="H252" s="14">
        <f t="shared" ref="H252:H293" si="9">G252+I252</f>
        <v>1</v>
      </c>
      <c r="I252" s="14">
        <v>1</v>
      </c>
      <c r="J252" s="14">
        <v>1</v>
      </c>
      <c r="K252" s="13" t="s">
        <v>1706</v>
      </c>
      <c r="L252" s="14" t="s">
        <v>2381</v>
      </c>
      <c r="M252" s="14">
        <v>931</v>
      </c>
      <c r="N252" s="14">
        <v>348</v>
      </c>
      <c r="O252" s="65"/>
      <c r="P252" s="65"/>
      <c r="Q252" s="14"/>
    </row>
    <row r="253" spans="1:17" x14ac:dyDescent="0.25">
      <c r="A253" s="11" t="s">
        <v>4921</v>
      </c>
      <c r="B253" s="13" t="s">
        <v>793</v>
      </c>
      <c r="C253" s="61" t="s">
        <v>1369</v>
      </c>
      <c r="D253" s="13" t="s">
        <v>39</v>
      </c>
      <c r="E253" s="14" t="s">
        <v>2356</v>
      </c>
      <c r="F253" s="13" t="s">
        <v>773</v>
      </c>
      <c r="G253" s="13"/>
      <c r="H253" s="14">
        <f t="shared" si="9"/>
        <v>1</v>
      </c>
      <c r="I253" s="14">
        <v>1</v>
      </c>
      <c r="J253" s="14">
        <v>1</v>
      </c>
      <c r="K253" s="13" t="s">
        <v>4895</v>
      </c>
      <c r="L253" s="14" t="s">
        <v>798</v>
      </c>
      <c r="M253" s="14">
        <v>269</v>
      </c>
      <c r="N253" s="14">
        <v>394</v>
      </c>
      <c r="Q253" s="14"/>
    </row>
    <row r="254" spans="1:17" x14ac:dyDescent="0.25">
      <c r="A254" s="11" t="s">
        <v>4921</v>
      </c>
      <c r="B254" s="13" t="s">
        <v>1666</v>
      </c>
      <c r="C254" s="61" t="s">
        <v>1667</v>
      </c>
      <c r="D254" s="13" t="s">
        <v>1668</v>
      </c>
      <c r="E254" s="14" t="s">
        <v>1670</v>
      </c>
      <c r="F254" s="13" t="s">
        <v>773</v>
      </c>
      <c r="G254" s="13"/>
      <c r="H254" s="14">
        <f t="shared" si="9"/>
        <v>1</v>
      </c>
      <c r="I254" s="14">
        <v>1</v>
      </c>
      <c r="J254" s="14">
        <v>1</v>
      </c>
      <c r="K254" s="13" t="s">
        <v>1706</v>
      </c>
      <c r="L254" s="14" t="s">
        <v>1160</v>
      </c>
      <c r="M254" s="14">
        <v>399</v>
      </c>
      <c r="N254" s="14">
        <v>563</v>
      </c>
      <c r="Q254" s="14"/>
    </row>
    <row r="255" spans="1:17" x14ac:dyDescent="0.25">
      <c r="A255" s="11" t="s">
        <v>4921</v>
      </c>
      <c r="B255" s="13" t="s">
        <v>878</v>
      </c>
      <c r="C255" s="61" t="s">
        <v>5182</v>
      </c>
      <c r="D255" s="13" t="s">
        <v>4436</v>
      </c>
      <c r="E255" s="14" t="s">
        <v>878</v>
      </c>
      <c r="F255" s="13" t="s">
        <v>773</v>
      </c>
      <c r="G255" s="13"/>
      <c r="H255" s="14">
        <f>G255+I255</f>
        <v>1</v>
      </c>
      <c r="I255" s="14">
        <v>1</v>
      </c>
      <c r="J255" s="14">
        <v>1</v>
      </c>
      <c r="K255" s="13" t="s">
        <v>5183</v>
      </c>
      <c r="L255" s="14" t="s">
        <v>1973</v>
      </c>
      <c r="M255" s="14">
        <v>668</v>
      </c>
      <c r="N255" s="14">
        <v>12</v>
      </c>
      <c r="O255" s="65"/>
      <c r="P255" s="65"/>
      <c r="Q255" s="14"/>
    </row>
    <row r="256" spans="1:17" x14ac:dyDescent="0.25">
      <c r="A256" s="11" t="s">
        <v>4921</v>
      </c>
      <c r="B256" s="13" t="s">
        <v>804</v>
      </c>
      <c r="C256" s="61" t="s">
        <v>1397</v>
      </c>
      <c r="D256" s="13" t="s">
        <v>39</v>
      </c>
      <c r="E256" s="14" t="s">
        <v>804</v>
      </c>
      <c r="F256" s="13" t="s">
        <v>773</v>
      </c>
      <c r="G256" s="13"/>
      <c r="H256" s="14">
        <f>G256+I256</f>
        <v>4</v>
      </c>
      <c r="I256" s="14">
        <v>4</v>
      </c>
      <c r="J256" s="14">
        <v>4</v>
      </c>
      <c r="K256" s="13" t="s">
        <v>5158</v>
      </c>
      <c r="L256" s="14" t="s">
        <v>808</v>
      </c>
      <c r="M256" s="14">
        <v>647</v>
      </c>
      <c r="N256" s="14">
        <v>415</v>
      </c>
      <c r="Q256" s="14"/>
    </row>
    <row r="257" spans="1:17" x14ac:dyDescent="0.25">
      <c r="A257" s="11" t="s">
        <v>4921</v>
      </c>
      <c r="B257" s="13" t="s">
        <v>804</v>
      </c>
      <c r="C257" s="61" t="s">
        <v>5151</v>
      </c>
      <c r="D257" s="13" t="s">
        <v>39</v>
      </c>
      <c r="E257" s="14" t="s">
        <v>804</v>
      </c>
      <c r="F257" s="13" t="s">
        <v>773</v>
      </c>
      <c r="G257" s="13"/>
      <c r="H257" s="14">
        <f>G257+I257</f>
        <v>1</v>
      </c>
      <c r="I257" s="14">
        <v>1</v>
      </c>
      <c r="J257" s="14">
        <v>1</v>
      </c>
      <c r="K257" s="13" t="s">
        <v>1673</v>
      </c>
      <c r="L257" s="14" t="s">
        <v>808</v>
      </c>
      <c r="M257" s="14">
        <v>647</v>
      </c>
      <c r="N257" s="14">
        <v>415</v>
      </c>
      <c r="Q257" s="14"/>
    </row>
    <row r="258" spans="1:17" x14ac:dyDescent="0.25">
      <c r="A258" s="11" t="s">
        <v>4921</v>
      </c>
      <c r="B258" s="13" t="s">
        <v>785</v>
      </c>
      <c r="C258" s="61" t="s">
        <v>5181</v>
      </c>
      <c r="D258" s="13" t="s">
        <v>1668</v>
      </c>
      <c r="E258" s="14" t="s">
        <v>1986</v>
      </c>
      <c r="F258" s="13" t="s">
        <v>773</v>
      </c>
      <c r="G258" s="13"/>
      <c r="H258" s="14">
        <f>G258+I258</f>
        <v>1</v>
      </c>
      <c r="I258" s="14">
        <v>1</v>
      </c>
      <c r="J258" s="14">
        <v>1</v>
      </c>
      <c r="K258" s="13" t="s">
        <v>4332</v>
      </c>
      <c r="L258" s="14" t="s">
        <v>802</v>
      </c>
      <c r="M258" s="14">
        <v>240</v>
      </c>
      <c r="N258" s="14">
        <v>192</v>
      </c>
      <c r="O258" s="65"/>
      <c r="P258" s="65"/>
      <c r="Q258" s="14"/>
    </row>
    <row r="259" spans="1:17" x14ac:dyDescent="0.25">
      <c r="A259" s="11" t="s">
        <v>4921</v>
      </c>
      <c r="B259" s="13" t="s">
        <v>785</v>
      </c>
      <c r="C259" s="61" t="s">
        <v>1204</v>
      </c>
      <c r="D259" s="13" t="s">
        <v>1207</v>
      </c>
      <c r="E259" s="14" t="s">
        <v>1205</v>
      </c>
      <c r="F259" s="13" t="s">
        <v>773</v>
      </c>
      <c r="G259" s="13"/>
      <c r="H259" s="14">
        <f t="shared" si="9"/>
        <v>1</v>
      </c>
      <c r="I259" s="14">
        <v>1</v>
      </c>
      <c r="J259" s="14">
        <v>1</v>
      </c>
      <c r="K259" s="13" t="s">
        <v>2178</v>
      </c>
      <c r="L259" s="14" t="s">
        <v>802</v>
      </c>
      <c r="M259" s="14">
        <v>97</v>
      </c>
      <c r="N259" s="14">
        <v>381</v>
      </c>
      <c r="Q259" s="14"/>
    </row>
    <row r="260" spans="1:17" x14ac:dyDescent="0.25">
      <c r="A260" s="11" t="s">
        <v>4921</v>
      </c>
      <c r="B260" s="13" t="s">
        <v>785</v>
      </c>
      <c r="C260" s="61" t="s">
        <v>2374</v>
      </c>
      <c r="D260" s="13" t="s">
        <v>780</v>
      </c>
      <c r="E260" s="14" t="s">
        <v>2373</v>
      </c>
      <c r="F260" s="13" t="s">
        <v>773</v>
      </c>
      <c r="G260" s="13"/>
      <c r="H260" s="14">
        <f t="shared" si="9"/>
        <v>3</v>
      </c>
      <c r="I260" s="14">
        <v>3</v>
      </c>
      <c r="J260" s="14">
        <v>1</v>
      </c>
      <c r="K260" s="13" t="s">
        <v>32</v>
      </c>
      <c r="L260" s="14" t="s">
        <v>2377</v>
      </c>
      <c r="M260" s="14">
        <v>984</v>
      </c>
      <c r="N260" s="14">
        <v>406</v>
      </c>
      <c r="O260" s="65"/>
      <c r="P260" s="65"/>
      <c r="Q260" s="14"/>
    </row>
    <row r="261" spans="1:17" ht="22.5" x14ac:dyDescent="0.25">
      <c r="A261" s="11" t="s">
        <v>4921</v>
      </c>
      <c r="B261" s="13" t="s">
        <v>795</v>
      </c>
      <c r="C261" s="61" t="s">
        <v>4171</v>
      </c>
      <c r="D261" s="13" t="s">
        <v>41</v>
      </c>
      <c r="E261" s="14" t="s">
        <v>797</v>
      </c>
      <c r="F261" s="13" t="s">
        <v>773</v>
      </c>
      <c r="G261" s="13"/>
      <c r="H261" s="14">
        <f t="shared" si="9"/>
        <v>1</v>
      </c>
      <c r="I261" s="14">
        <v>1</v>
      </c>
      <c r="J261" s="14">
        <v>1</v>
      </c>
      <c r="K261" s="13" t="s">
        <v>1229</v>
      </c>
      <c r="L261" s="14" t="s">
        <v>798</v>
      </c>
      <c r="M261" s="14">
        <v>109</v>
      </c>
      <c r="N261" s="14">
        <v>620</v>
      </c>
      <c r="Q261" s="14"/>
    </row>
    <row r="262" spans="1:17" ht="22.5" x14ac:dyDescent="0.25">
      <c r="A262" s="11" t="s">
        <v>4921</v>
      </c>
      <c r="B262" s="13" t="s">
        <v>795</v>
      </c>
      <c r="C262" s="61" t="s">
        <v>2724</v>
      </c>
      <c r="D262" s="13" t="s">
        <v>41</v>
      </c>
      <c r="E262" s="14" t="s">
        <v>797</v>
      </c>
      <c r="F262" s="13" t="s">
        <v>773</v>
      </c>
      <c r="G262" s="13"/>
      <c r="H262" s="14">
        <f t="shared" si="9"/>
        <v>1</v>
      </c>
      <c r="I262" s="14">
        <v>1</v>
      </c>
      <c r="J262" s="14">
        <v>1</v>
      </c>
      <c r="K262" s="13" t="s">
        <v>1222</v>
      </c>
      <c r="L262" s="14" t="s">
        <v>798</v>
      </c>
      <c r="M262" s="14">
        <v>109</v>
      </c>
      <c r="N262" s="14">
        <v>620</v>
      </c>
      <c r="Q262" s="14"/>
    </row>
    <row r="263" spans="1:17" ht="33.75" x14ac:dyDescent="0.25">
      <c r="A263" s="11" t="s">
        <v>4921</v>
      </c>
      <c r="B263" s="13" t="s">
        <v>795</v>
      </c>
      <c r="C263" s="61" t="s">
        <v>983</v>
      </c>
      <c r="D263" s="13" t="s">
        <v>4255</v>
      </c>
      <c r="E263" s="14" t="s">
        <v>797</v>
      </c>
      <c r="F263" s="13" t="s">
        <v>773</v>
      </c>
      <c r="G263" s="13">
        <v>1</v>
      </c>
      <c r="H263" s="14">
        <f t="shared" si="9"/>
        <v>10</v>
      </c>
      <c r="I263" s="14">
        <v>9</v>
      </c>
      <c r="J263" s="14">
        <v>4</v>
      </c>
      <c r="K263" s="13" t="s">
        <v>5008</v>
      </c>
      <c r="L263" s="14" t="s">
        <v>667</v>
      </c>
      <c r="M263" s="14">
        <v>996</v>
      </c>
      <c r="N263" s="14">
        <v>735</v>
      </c>
      <c r="Q263" s="14"/>
    </row>
    <row r="264" spans="1:17" ht="22.5" x14ac:dyDescent="0.25">
      <c r="A264" s="11" t="s">
        <v>4921</v>
      </c>
      <c r="B264" s="13" t="s">
        <v>795</v>
      </c>
      <c r="C264" s="61" t="s">
        <v>5002</v>
      </c>
      <c r="D264" s="13" t="s">
        <v>800</v>
      </c>
      <c r="E264" s="14" t="s">
        <v>797</v>
      </c>
      <c r="F264" s="13" t="s">
        <v>773</v>
      </c>
      <c r="G264" s="13"/>
      <c r="H264" s="14">
        <f t="shared" si="9"/>
        <v>1</v>
      </c>
      <c r="I264" s="14">
        <v>1</v>
      </c>
      <c r="J264" s="14">
        <v>1</v>
      </c>
      <c r="K264" s="13" t="s">
        <v>2193</v>
      </c>
      <c r="L264" s="14" t="s">
        <v>667</v>
      </c>
      <c r="M264" s="14">
        <v>585</v>
      </c>
      <c r="N264" s="14">
        <v>775</v>
      </c>
      <c r="Q264" s="14"/>
    </row>
    <row r="265" spans="1:17" ht="22.5" x14ac:dyDescent="0.25">
      <c r="A265" s="11" t="s">
        <v>4921</v>
      </c>
      <c r="B265" s="13" t="s">
        <v>795</v>
      </c>
      <c r="C265" s="61" t="s">
        <v>796</v>
      </c>
      <c r="D265" s="13" t="s">
        <v>800</v>
      </c>
      <c r="E265" s="14" t="s">
        <v>797</v>
      </c>
      <c r="F265" s="13" t="s">
        <v>773</v>
      </c>
      <c r="G265" s="13">
        <v>3</v>
      </c>
      <c r="H265" s="14">
        <f t="shared" si="9"/>
        <v>13</v>
      </c>
      <c r="I265" s="14">
        <v>10</v>
      </c>
      <c r="J265" s="14">
        <v>9</v>
      </c>
      <c r="K265" s="13" t="s">
        <v>5164</v>
      </c>
      <c r="L265" s="14" t="s">
        <v>798</v>
      </c>
      <c r="M265" s="14">
        <v>6</v>
      </c>
      <c r="N265" s="14">
        <v>727</v>
      </c>
      <c r="Q265" s="14"/>
    </row>
    <row r="266" spans="1:17" x14ac:dyDescent="0.25">
      <c r="A266" s="11" t="s">
        <v>4921</v>
      </c>
      <c r="B266" s="13" t="s">
        <v>1677</v>
      </c>
      <c r="C266" s="61" t="s">
        <v>5173</v>
      </c>
      <c r="D266" s="13" t="s">
        <v>1668</v>
      </c>
      <c r="E266" s="14" t="s">
        <v>3759</v>
      </c>
      <c r="F266" s="14" t="s">
        <v>773</v>
      </c>
      <c r="G266" s="13"/>
      <c r="H266" s="14">
        <f>G266+I266</f>
        <v>1</v>
      </c>
      <c r="I266" s="14">
        <v>1</v>
      </c>
      <c r="J266" s="14">
        <v>1</v>
      </c>
      <c r="K266" s="13" t="s">
        <v>5174</v>
      </c>
      <c r="L266" s="14" t="s">
        <v>667</v>
      </c>
      <c r="M266" s="14">
        <v>58</v>
      </c>
      <c r="N266" s="14">
        <v>45</v>
      </c>
      <c r="Q266" s="14"/>
    </row>
    <row r="267" spans="1:17" ht="45" x14ac:dyDescent="0.25">
      <c r="A267" s="11" t="s">
        <v>4921</v>
      </c>
      <c r="B267" s="13" t="s">
        <v>772</v>
      </c>
      <c r="C267" s="61" t="s">
        <v>801</v>
      </c>
      <c r="D267" s="13" t="s">
        <v>4501</v>
      </c>
      <c r="E267" s="14" t="s">
        <v>772</v>
      </c>
      <c r="F267" s="14" t="s">
        <v>773</v>
      </c>
      <c r="G267" s="13">
        <v>1</v>
      </c>
      <c r="H267" s="14">
        <f t="shared" si="9"/>
        <v>1</v>
      </c>
      <c r="J267" s="14">
        <v>1</v>
      </c>
      <c r="K267" s="13" t="s">
        <v>2206</v>
      </c>
      <c r="L267" s="14" t="s">
        <v>802</v>
      </c>
      <c r="M267" s="14">
        <v>755</v>
      </c>
      <c r="N267" s="14">
        <v>115</v>
      </c>
      <c r="Q267" s="14"/>
    </row>
    <row r="268" spans="1:17" ht="45" x14ac:dyDescent="0.25">
      <c r="A268" s="11" t="s">
        <v>4921</v>
      </c>
      <c r="B268" s="13" t="s">
        <v>772</v>
      </c>
      <c r="C268" s="61" t="s">
        <v>801</v>
      </c>
      <c r="D268" s="13" t="s">
        <v>3873</v>
      </c>
      <c r="E268" s="14" t="s">
        <v>772</v>
      </c>
      <c r="F268" s="14" t="s">
        <v>773</v>
      </c>
      <c r="G268" s="13"/>
      <c r="H268" s="14">
        <f t="shared" si="9"/>
        <v>1</v>
      </c>
      <c r="I268" s="14">
        <v>1</v>
      </c>
      <c r="J268" s="14">
        <v>1</v>
      </c>
      <c r="K268" s="13" t="s">
        <v>2193</v>
      </c>
      <c r="L268" s="14" t="s">
        <v>802</v>
      </c>
      <c r="M268" s="14">
        <v>755</v>
      </c>
      <c r="N268" s="14">
        <v>115</v>
      </c>
      <c r="Q268" s="14"/>
    </row>
    <row r="269" spans="1:17" ht="22.5" x14ac:dyDescent="0.25">
      <c r="A269" s="11" t="s">
        <v>4921</v>
      </c>
      <c r="B269" s="13" t="s">
        <v>772</v>
      </c>
      <c r="C269" s="61" t="s">
        <v>806</v>
      </c>
      <c r="D269" s="13" t="s">
        <v>800</v>
      </c>
      <c r="E269" s="14" t="s">
        <v>1220</v>
      </c>
      <c r="F269" s="14" t="s">
        <v>773</v>
      </c>
      <c r="G269" s="13"/>
      <c r="H269" s="14">
        <f t="shared" si="9"/>
        <v>1</v>
      </c>
      <c r="I269" s="14">
        <v>1</v>
      </c>
      <c r="J269" s="14">
        <v>1</v>
      </c>
      <c r="K269" s="13" t="s">
        <v>2193</v>
      </c>
      <c r="L269" s="14" t="s">
        <v>802</v>
      </c>
      <c r="M269" s="14">
        <v>663</v>
      </c>
      <c r="N269" s="14">
        <v>337</v>
      </c>
      <c r="Q269" s="14"/>
    </row>
    <row r="270" spans="1:17" ht="16.5" customHeight="1" x14ac:dyDescent="0.25">
      <c r="A270" s="11" t="s">
        <v>4921</v>
      </c>
      <c r="B270" s="13" t="s">
        <v>772</v>
      </c>
      <c r="C270" s="62" t="s">
        <v>1225</v>
      </c>
      <c r="D270" s="13" t="s">
        <v>780</v>
      </c>
      <c r="E270" s="14" t="s">
        <v>1220</v>
      </c>
      <c r="F270" s="14" t="s">
        <v>773</v>
      </c>
      <c r="G270" s="13"/>
      <c r="H270" s="14">
        <f t="shared" si="9"/>
        <v>1</v>
      </c>
      <c r="I270" s="14">
        <v>1</v>
      </c>
      <c r="J270" s="14">
        <v>1</v>
      </c>
      <c r="K270" s="13" t="s">
        <v>877</v>
      </c>
      <c r="L270" s="14" t="s">
        <v>802</v>
      </c>
      <c r="M270" s="14">
        <v>663</v>
      </c>
      <c r="N270" s="14">
        <v>545</v>
      </c>
      <c r="Q270" s="14"/>
    </row>
    <row r="271" spans="1:17" ht="22.5" x14ac:dyDescent="0.25">
      <c r="A271" s="11" t="s">
        <v>4921</v>
      </c>
      <c r="C271" s="61" t="s">
        <v>1892</v>
      </c>
      <c r="F271" s="14" t="s">
        <v>874</v>
      </c>
      <c r="G271" s="13">
        <v>102</v>
      </c>
      <c r="H271" s="14">
        <f t="shared" si="9"/>
        <v>102</v>
      </c>
      <c r="J271" s="14">
        <v>41</v>
      </c>
      <c r="K271" s="13" t="s">
        <v>5210</v>
      </c>
      <c r="Q271" s="14"/>
    </row>
    <row r="272" spans="1:17" x14ac:dyDescent="0.25">
      <c r="A272" s="11" t="s">
        <v>4921</v>
      </c>
      <c r="C272" s="61" t="s">
        <v>489</v>
      </c>
      <c r="F272" s="14" t="s">
        <v>874</v>
      </c>
      <c r="G272" s="13">
        <v>17</v>
      </c>
      <c r="H272" s="14">
        <f t="shared" si="9"/>
        <v>17</v>
      </c>
      <c r="J272" s="14">
        <v>12</v>
      </c>
      <c r="K272" s="13" t="s">
        <v>5215</v>
      </c>
      <c r="Q272" s="14"/>
    </row>
    <row r="273" spans="1:17" ht="33.75" x14ac:dyDescent="0.25">
      <c r="A273" s="11" t="s">
        <v>4921</v>
      </c>
      <c r="C273" s="61" t="s">
        <v>679</v>
      </c>
      <c r="F273" s="14" t="s">
        <v>11</v>
      </c>
      <c r="G273" s="13">
        <v>64</v>
      </c>
      <c r="H273" s="14">
        <f t="shared" si="9"/>
        <v>64</v>
      </c>
      <c r="J273" s="14">
        <v>38</v>
      </c>
      <c r="K273" s="13" t="s">
        <v>5211</v>
      </c>
      <c r="Q273" s="14"/>
    </row>
    <row r="274" spans="1:17" x14ac:dyDescent="0.25">
      <c r="A274" s="11" t="s">
        <v>4921</v>
      </c>
      <c r="C274" s="61" t="s">
        <v>4040</v>
      </c>
      <c r="F274" s="14" t="s">
        <v>11</v>
      </c>
      <c r="G274" s="13">
        <v>1</v>
      </c>
      <c r="H274" s="14">
        <f>G274+I274</f>
        <v>1</v>
      </c>
      <c r="J274" s="14">
        <v>1</v>
      </c>
      <c r="K274" s="13" t="s">
        <v>902</v>
      </c>
      <c r="Q274" s="14"/>
    </row>
    <row r="275" spans="1:17" x14ac:dyDescent="0.25">
      <c r="A275" s="11" t="s">
        <v>4921</v>
      </c>
      <c r="C275" s="61" t="s">
        <v>265</v>
      </c>
      <c r="F275" s="14" t="s">
        <v>874</v>
      </c>
      <c r="G275" s="13">
        <v>14</v>
      </c>
      <c r="H275" s="14">
        <f t="shared" si="9"/>
        <v>14</v>
      </c>
      <c r="J275" s="14">
        <v>11</v>
      </c>
      <c r="K275" s="13" t="s">
        <v>5214</v>
      </c>
      <c r="Q275" s="14"/>
    </row>
    <row r="276" spans="1:17" x14ac:dyDescent="0.25">
      <c r="A276" s="11" t="s">
        <v>4921</v>
      </c>
      <c r="C276" s="61" t="s">
        <v>303</v>
      </c>
      <c r="F276" s="14" t="s">
        <v>11</v>
      </c>
      <c r="G276" s="13">
        <v>8</v>
      </c>
      <c r="H276" s="14">
        <f t="shared" si="9"/>
        <v>8</v>
      </c>
      <c r="J276" s="14">
        <v>7</v>
      </c>
      <c r="K276" s="13" t="s">
        <v>4997</v>
      </c>
      <c r="Q276" s="14"/>
    </row>
    <row r="277" spans="1:17" x14ac:dyDescent="0.25">
      <c r="A277" s="11" t="s">
        <v>4921</v>
      </c>
      <c r="C277" s="61" t="s">
        <v>841</v>
      </c>
      <c r="F277" s="14" t="s">
        <v>11</v>
      </c>
      <c r="G277" s="13">
        <v>13</v>
      </c>
      <c r="H277" s="14">
        <f t="shared" si="9"/>
        <v>13</v>
      </c>
      <c r="J277" s="14">
        <v>11</v>
      </c>
      <c r="K277" s="13" t="s">
        <v>5216</v>
      </c>
      <c r="Q277" s="14"/>
    </row>
    <row r="278" spans="1:17" ht="22.5" x14ac:dyDescent="0.25">
      <c r="A278" s="11" t="s">
        <v>4921</v>
      </c>
      <c r="C278" s="61" t="s">
        <v>302</v>
      </c>
      <c r="F278" s="14" t="s">
        <v>35</v>
      </c>
      <c r="G278" s="13">
        <v>30</v>
      </c>
      <c r="H278" s="14">
        <f t="shared" si="9"/>
        <v>30</v>
      </c>
      <c r="J278" s="14">
        <v>22</v>
      </c>
      <c r="K278" s="13" t="s">
        <v>5212</v>
      </c>
      <c r="Q278" s="14"/>
    </row>
    <row r="279" spans="1:17" x14ac:dyDescent="0.25">
      <c r="A279" s="11" t="s">
        <v>4921</v>
      </c>
      <c r="C279" s="61" t="s">
        <v>1832</v>
      </c>
      <c r="F279" s="14" t="s">
        <v>874</v>
      </c>
      <c r="G279" s="13">
        <v>16</v>
      </c>
      <c r="H279" s="14">
        <f t="shared" si="9"/>
        <v>16</v>
      </c>
      <c r="J279" s="14">
        <v>9</v>
      </c>
      <c r="K279" s="13" t="s">
        <v>4998</v>
      </c>
      <c r="Q279" s="14"/>
    </row>
    <row r="280" spans="1:17" x14ac:dyDescent="0.25">
      <c r="A280" s="11" t="s">
        <v>4921</v>
      </c>
      <c r="C280" s="61" t="s">
        <v>680</v>
      </c>
      <c r="F280" s="14" t="s">
        <v>35</v>
      </c>
      <c r="G280" s="13">
        <v>4</v>
      </c>
      <c r="H280" s="14">
        <f t="shared" si="9"/>
        <v>4</v>
      </c>
      <c r="J280" s="14">
        <v>3</v>
      </c>
      <c r="K280" s="13" t="s">
        <v>4990</v>
      </c>
      <c r="Q280" s="14"/>
    </row>
    <row r="281" spans="1:17" x14ac:dyDescent="0.25">
      <c r="A281" s="11" t="s">
        <v>4921</v>
      </c>
      <c r="C281" s="61" t="s">
        <v>1893</v>
      </c>
      <c r="F281" s="14" t="s">
        <v>874</v>
      </c>
      <c r="G281" s="13">
        <v>6</v>
      </c>
      <c r="H281" s="14">
        <f t="shared" si="9"/>
        <v>6</v>
      </c>
      <c r="J281" s="14">
        <v>5</v>
      </c>
      <c r="K281" s="13" t="s">
        <v>5110</v>
      </c>
      <c r="Q281" s="14"/>
    </row>
    <row r="282" spans="1:17" x14ac:dyDescent="0.25">
      <c r="A282" s="11" t="s">
        <v>4921</v>
      </c>
      <c r="C282" s="61" t="s">
        <v>1894</v>
      </c>
      <c r="E282" s="14" t="s">
        <v>2644</v>
      </c>
      <c r="F282" s="14" t="s">
        <v>874</v>
      </c>
      <c r="G282" s="13">
        <v>11</v>
      </c>
      <c r="H282" s="14">
        <f t="shared" si="9"/>
        <v>11</v>
      </c>
      <c r="J282" s="14">
        <v>10</v>
      </c>
      <c r="K282" s="13" t="s">
        <v>5213</v>
      </c>
      <c r="Q282" s="14"/>
    </row>
    <row r="283" spans="1:17" ht="22.5" x14ac:dyDescent="0.25">
      <c r="A283" s="11" t="s">
        <v>4921</v>
      </c>
      <c r="B283" s="13" t="s">
        <v>532</v>
      </c>
      <c r="C283" s="61" t="s">
        <v>4927</v>
      </c>
      <c r="F283" s="14" t="s">
        <v>11</v>
      </c>
      <c r="G283" s="13">
        <v>1</v>
      </c>
      <c r="H283" s="14">
        <f>G283+I283</f>
        <v>1</v>
      </c>
      <c r="J283" s="14">
        <v>1</v>
      </c>
      <c r="K283" s="13" t="s">
        <v>459</v>
      </c>
      <c r="Q283" s="14"/>
    </row>
    <row r="284" spans="1:17" x14ac:dyDescent="0.25">
      <c r="A284" s="11" t="s">
        <v>4921</v>
      </c>
      <c r="B284" s="13" t="s">
        <v>411</v>
      </c>
      <c r="D284" s="13" t="s">
        <v>1940</v>
      </c>
      <c r="F284" s="14" t="s">
        <v>11</v>
      </c>
      <c r="G284" s="13">
        <v>1</v>
      </c>
      <c r="H284" s="14">
        <f t="shared" si="9"/>
        <v>1</v>
      </c>
      <c r="J284" s="14">
        <v>1</v>
      </c>
      <c r="K284" s="13" t="s">
        <v>1309</v>
      </c>
      <c r="Q284" s="14"/>
    </row>
    <row r="285" spans="1:17" x14ac:dyDescent="0.25">
      <c r="A285" s="11" t="s">
        <v>4921</v>
      </c>
      <c r="B285" s="13" t="s">
        <v>411</v>
      </c>
      <c r="C285" s="61" t="s">
        <v>5108</v>
      </c>
      <c r="F285" s="14" t="s">
        <v>11</v>
      </c>
      <c r="G285" s="13">
        <v>1</v>
      </c>
      <c r="H285" s="14">
        <f>G285+I285</f>
        <v>1</v>
      </c>
      <c r="J285" s="14">
        <v>1</v>
      </c>
      <c r="K285" s="13" t="s">
        <v>1309</v>
      </c>
      <c r="Q285" s="14"/>
    </row>
    <row r="286" spans="1:17" x14ac:dyDescent="0.25">
      <c r="A286" s="11" t="s">
        <v>4921</v>
      </c>
      <c r="B286" s="13" t="s">
        <v>297</v>
      </c>
      <c r="D286" s="13" t="s">
        <v>1940</v>
      </c>
      <c r="F286" s="14" t="s">
        <v>11</v>
      </c>
      <c r="G286" s="13">
        <v>12</v>
      </c>
      <c r="H286" s="14">
        <f t="shared" si="9"/>
        <v>12</v>
      </c>
      <c r="J286" s="14">
        <v>12</v>
      </c>
      <c r="K286" s="13" t="s">
        <v>5098</v>
      </c>
      <c r="Q286" s="14"/>
    </row>
    <row r="287" spans="1:17" x14ac:dyDescent="0.25">
      <c r="A287" s="11" t="s">
        <v>4921</v>
      </c>
      <c r="B287" s="13" t="s">
        <v>76</v>
      </c>
      <c r="D287" s="13" t="s">
        <v>1940</v>
      </c>
      <c r="F287" s="14" t="s">
        <v>11</v>
      </c>
      <c r="G287" s="13">
        <v>1</v>
      </c>
      <c r="H287" s="14">
        <f t="shared" si="9"/>
        <v>1</v>
      </c>
      <c r="J287" s="14">
        <v>1</v>
      </c>
      <c r="K287" s="13" t="s">
        <v>1639</v>
      </c>
      <c r="Q287" s="14"/>
    </row>
    <row r="288" spans="1:17" x14ac:dyDescent="0.25">
      <c r="A288" s="11" t="s">
        <v>4921</v>
      </c>
      <c r="B288" s="13" t="s">
        <v>1424</v>
      </c>
      <c r="D288" s="13" t="s">
        <v>1940</v>
      </c>
      <c r="F288" s="14" t="s">
        <v>11</v>
      </c>
      <c r="G288" s="13">
        <v>1</v>
      </c>
      <c r="H288" s="14">
        <f t="shared" si="9"/>
        <v>1</v>
      </c>
      <c r="J288" s="14">
        <v>1</v>
      </c>
      <c r="K288" s="13" t="s">
        <v>4215</v>
      </c>
      <c r="Q288" s="14"/>
    </row>
    <row r="289" spans="1:17" ht="22.5" x14ac:dyDescent="0.25">
      <c r="A289" s="11" t="s">
        <v>4921</v>
      </c>
      <c r="B289" s="13" t="s">
        <v>42</v>
      </c>
      <c r="C289" s="61" t="s">
        <v>42</v>
      </c>
      <c r="D289" s="13" t="s">
        <v>1940</v>
      </c>
      <c r="F289" s="14" t="s">
        <v>11</v>
      </c>
      <c r="G289" s="13">
        <v>16</v>
      </c>
      <c r="H289" s="14">
        <f t="shared" si="9"/>
        <v>16</v>
      </c>
      <c r="J289" s="14">
        <v>15</v>
      </c>
      <c r="K289" s="13" t="s">
        <v>5217</v>
      </c>
      <c r="Q289" s="14"/>
    </row>
    <row r="290" spans="1:17" ht="22.5" x14ac:dyDescent="0.25">
      <c r="A290" s="11" t="s">
        <v>4921</v>
      </c>
      <c r="B290" s="13" t="s">
        <v>42</v>
      </c>
      <c r="C290" s="61" t="s">
        <v>5113</v>
      </c>
      <c r="D290" s="13" t="s">
        <v>5114</v>
      </c>
      <c r="F290" s="14" t="s">
        <v>11</v>
      </c>
      <c r="G290" s="13">
        <v>1</v>
      </c>
      <c r="H290" s="14">
        <f>G290+I290</f>
        <v>1</v>
      </c>
      <c r="J290" s="14">
        <v>1</v>
      </c>
      <c r="K290" s="13" t="s">
        <v>2317</v>
      </c>
      <c r="Q290" s="14"/>
    </row>
    <row r="291" spans="1:17" x14ac:dyDescent="0.25">
      <c r="A291" s="11" t="s">
        <v>4921</v>
      </c>
      <c r="B291" s="13" t="s">
        <v>42</v>
      </c>
      <c r="C291" s="61" t="s">
        <v>4924</v>
      </c>
      <c r="F291" s="14" t="s">
        <v>11</v>
      </c>
      <c r="G291" s="13">
        <v>1</v>
      </c>
      <c r="H291" s="14">
        <f>G291+I291</f>
        <v>1</v>
      </c>
      <c r="J291" s="14">
        <v>1</v>
      </c>
      <c r="K291" s="13" t="s">
        <v>2486</v>
      </c>
      <c r="Q291" s="14"/>
    </row>
    <row r="292" spans="1:17" x14ac:dyDescent="0.25">
      <c r="A292" s="11" t="s">
        <v>4921</v>
      </c>
      <c r="B292" s="13" t="s">
        <v>42</v>
      </c>
      <c r="C292" s="61" t="s">
        <v>4906</v>
      </c>
      <c r="E292" s="14" t="s">
        <v>323</v>
      </c>
      <c r="F292" s="14" t="s">
        <v>11</v>
      </c>
      <c r="G292" s="13">
        <v>1</v>
      </c>
      <c r="H292" s="14">
        <f>G292+I292</f>
        <v>1</v>
      </c>
      <c r="J292" s="14">
        <v>1</v>
      </c>
      <c r="K292" s="13" t="s">
        <v>459</v>
      </c>
      <c r="Q292" s="14"/>
    </row>
    <row r="293" spans="1:17" x14ac:dyDescent="0.25">
      <c r="A293" s="11" t="s">
        <v>4921</v>
      </c>
      <c r="B293" s="13" t="s">
        <v>10</v>
      </c>
      <c r="D293" s="13" t="s">
        <v>1940</v>
      </c>
      <c r="E293" s="14" t="s">
        <v>326</v>
      </c>
      <c r="F293" s="14" t="s">
        <v>11</v>
      </c>
      <c r="G293" s="13">
        <v>11</v>
      </c>
      <c r="H293" s="14">
        <f t="shared" si="9"/>
        <v>11</v>
      </c>
      <c r="J293" s="14">
        <v>7</v>
      </c>
      <c r="K293" s="13" t="s">
        <v>5218</v>
      </c>
      <c r="Q293" s="14"/>
    </row>
    <row r="294" spans="1:17" x14ac:dyDescent="0.25">
      <c r="A294" s="11" t="s">
        <v>4921</v>
      </c>
      <c r="B294" s="13" t="s">
        <v>10</v>
      </c>
      <c r="E294" s="14" t="s">
        <v>716</v>
      </c>
      <c r="F294" s="14" t="s">
        <v>11</v>
      </c>
      <c r="G294" s="13">
        <v>4</v>
      </c>
      <c r="H294" s="14">
        <f t="shared" ref="H294:H307" si="10">G294+I294</f>
        <v>4</v>
      </c>
      <c r="J294" s="14">
        <v>4</v>
      </c>
      <c r="K294" s="13" t="s">
        <v>5205</v>
      </c>
      <c r="Q294" s="14"/>
    </row>
    <row r="295" spans="1:17" x14ac:dyDescent="0.25">
      <c r="A295" s="11" t="s">
        <v>4921</v>
      </c>
      <c r="B295" s="13" t="s">
        <v>10</v>
      </c>
      <c r="E295" s="14" t="s">
        <v>708</v>
      </c>
      <c r="F295" s="14" t="s">
        <v>11</v>
      </c>
      <c r="G295" s="13">
        <v>1</v>
      </c>
      <c r="H295" s="14">
        <f t="shared" si="10"/>
        <v>1</v>
      </c>
      <c r="J295" s="14">
        <v>1</v>
      </c>
      <c r="K295" s="13" t="s">
        <v>842</v>
      </c>
      <c r="Q295" s="14"/>
    </row>
    <row r="296" spans="1:17" x14ac:dyDescent="0.25">
      <c r="A296" s="11" t="s">
        <v>4921</v>
      </c>
      <c r="B296" s="13" t="s">
        <v>10</v>
      </c>
      <c r="C296" s="61" t="s">
        <v>5112</v>
      </c>
      <c r="F296" s="14" t="s">
        <v>11</v>
      </c>
      <c r="G296" s="13">
        <v>1</v>
      </c>
      <c r="H296" s="14">
        <f>G296+I296</f>
        <v>1</v>
      </c>
      <c r="J296" s="14">
        <v>1</v>
      </c>
      <c r="K296" s="13" t="s">
        <v>1552</v>
      </c>
      <c r="Q296" s="14"/>
    </row>
    <row r="297" spans="1:17" x14ac:dyDescent="0.25">
      <c r="A297" s="11" t="s">
        <v>4921</v>
      </c>
      <c r="B297" s="13" t="s">
        <v>10</v>
      </c>
      <c r="C297" s="61" t="s">
        <v>5037</v>
      </c>
      <c r="F297" s="14" t="s">
        <v>11</v>
      </c>
      <c r="G297" s="13">
        <v>1</v>
      </c>
      <c r="H297" s="14">
        <f>G297+I297</f>
        <v>1</v>
      </c>
      <c r="J297" s="14">
        <v>1</v>
      </c>
      <c r="K297" s="13" t="s">
        <v>1552</v>
      </c>
      <c r="Q297" s="14"/>
    </row>
    <row r="298" spans="1:17" x14ac:dyDescent="0.25">
      <c r="A298" s="11" t="s">
        <v>4921</v>
      </c>
      <c r="B298" s="13" t="s">
        <v>126</v>
      </c>
      <c r="D298" s="13" t="s">
        <v>1940</v>
      </c>
      <c r="F298" s="14" t="s">
        <v>11</v>
      </c>
      <c r="G298" s="13">
        <v>4</v>
      </c>
      <c r="H298" s="14">
        <f t="shared" si="10"/>
        <v>4</v>
      </c>
      <c r="J298" s="14">
        <v>4</v>
      </c>
      <c r="K298" s="13" t="s">
        <v>5200</v>
      </c>
      <c r="Q298" s="14"/>
    </row>
    <row r="299" spans="1:17" x14ac:dyDescent="0.25">
      <c r="A299" s="11" t="s">
        <v>4921</v>
      </c>
      <c r="B299" s="13" t="s">
        <v>126</v>
      </c>
      <c r="C299" s="61" t="s">
        <v>1584</v>
      </c>
      <c r="E299" s="14" t="s">
        <v>1137</v>
      </c>
      <c r="F299" s="14" t="s">
        <v>11</v>
      </c>
      <c r="G299" s="13">
        <v>2</v>
      </c>
      <c r="H299" s="14">
        <f t="shared" si="10"/>
        <v>2</v>
      </c>
      <c r="J299" s="14">
        <v>2</v>
      </c>
      <c r="K299" s="13" t="s">
        <v>5201</v>
      </c>
      <c r="Q299" s="14"/>
    </row>
    <row r="300" spans="1:17" x14ac:dyDescent="0.25">
      <c r="A300" s="11" t="s">
        <v>4921</v>
      </c>
      <c r="B300" s="13" t="s">
        <v>126</v>
      </c>
      <c r="C300" s="61" t="s">
        <v>5044</v>
      </c>
      <c r="D300" s="13" t="s">
        <v>3320</v>
      </c>
      <c r="F300" s="14" t="s">
        <v>11</v>
      </c>
      <c r="G300" s="13"/>
      <c r="H300" s="14">
        <f>G300+I300</f>
        <v>1</v>
      </c>
      <c r="I300" s="14">
        <v>1</v>
      </c>
      <c r="J300" s="14">
        <v>1</v>
      </c>
      <c r="K300" s="13" t="s">
        <v>3149</v>
      </c>
      <c r="Q300" s="14"/>
    </row>
    <row r="301" spans="1:17" x14ac:dyDescent="0.25">
      <c r="A301" s="11" t="s">
        <v>4921</v>
      </c>
      <c r="B301" s="13" t="s">
        <v>191</v>
      </c>
      <c r="D301" s="13" t="s">
        <v>1940</v>
      </c>
      <c r="F301" s="14" t="s">
        <v>11</v>
      </c>
      <c r="G301" s="13">
        <v>8</v>
      </c>
      <c r="H301" s="14">
        <f t="shared" si="10"/>
        <v>8</v>
      </c>
      <c r="J301" s="14">
        <v>7</v>
      </c>
      <c r="K301" s="13" t="s">
        <v>5204</v>
      </c>
      <c r="Q301" s="14"/>
    </row>
    <row r="302" spans="1:17" x14ac:dyDescent="0.25">
      <c r="A302" s="11" t="s">
        <v>4921</v>
      </c>
      <c r="B302" s="13" t="s">
        <v>191</v>
      </c>
      <c r="C302" s="61" t="s">
        <v>43</v>
      </c>
      <c r="E302" s="14" t="s">
        <v>43</v>
      </c>
      <c r="F302" s="14" t="s">
        <v>11</v>
      </c>
      <c r="G302" s="13">
        <v>1</v>
      </c>
      <c r="H302" s="14">
        <f t="shared" si="10"/>
        <v>1</v>
      </c>
      <c r="J302" s="14">
        <v>1</v>
      </c>
      <c r="K302" s="13" t="s">
        <v>3084</v>
      </c>
      <c r="Q302" s="14"/>
    </row>
    <row r="303" spans="1:17" x14ac:dyDescent="0.25">
      <c r="A303" s="11" t="s">
        <v>4921</v>
      </c>
      <c r="B303" s="13" t="s">
        <v>191</v>
      </c>
      <c r="C303" s="61" t="s">
        <v>5060</v>
      </c>
      <c r="D303" s="13" t="s">
        <v>3320</v>
      </c>
      <c r="F303" s="14" t="s">
        <v>11</v>
      </c>
      <c r="G303" s="13">
        <v>1</v>
      </c>
      <c r="H303" s="14">
        <f>G303+I303</f>
        <v>1</v>
      </c>
      <c r="J303" s="14">
        <v>1</v>
      </c>
      <c r="K303" s="13" t="s">
        <v>4215</v>
      </c>
      <c r="Q303" s="14"/>
    </row>
    <row r="304" spans="1:17" ht="22.5" x14ac:dyDescent="0.25">
      <c r="A304" s="11" t="s">
        <v>4921</v>
      </c>
      <c r="B304" s="13" t="s">
        <v>68</v>
      </c>
      <c r="C304" s="61" t="s">
        <v>68</v>
      </c>
      <c r="D304" s="13" t="s">
        <v>1940</v>
      </c>
      <c r="F304" s="14" t="s">
        <v>11</v>
      </c>
      <c r="G304" s="13">
        <v>18</v>
      </c>
      <c r="H304" s="14">
        <f t="shared" si="10"/>
        <v>18</v>
      </c>
      <c r="J304" s="14">
        <v>15</v>
      </c>
      <c r="K304" s="13" t="s">
        <v>5206</v>
      </c>
      <c r="Q304" s="14"/>
    </row>
    <row r="305" spans="1:17" x14ac:dyDescent="0.25">
      <c r="A305" s="11" t="s">
        <v>4921</v>
      </c>
      <c r="B305" s="13" t="s">
        <v>68</v>
      </c>
      <c r="C305" s="61" t="s">
        <v>118</v>
      </c>
      <c r="F305" s="14" t="s">
        <v>11</v>
      </c>
      <c r="G305" s="13">
        <v>1</v>
      </c>
      <c r="H305" s="14">
        <f>G305+I305</f>
        <v>1</v>
      </c>
      <c r="J305" s="14">
        <v>1</v>
      </c>
      <c r="K305" s="13" t="s">
        <v>2503</v>
      </c>
      <c r="Q305" s="14"/>
    </row>
    <row r="306" spans="1:17" x14ac:dyDescent="0.25">
      <c r="A306" s="11" t="s">
        <v>4921</v>
      </c>
      <c r="B306" s="13" t="s">
        <v>68</v>
      </c>
      <c r="C306" s="61" t="s">
        <v>1865</v>
      </c>
      <c r="F306" s="14" t="s">
        <v>11</v>
      </c>
      <c r="G306" s="13"/>
      <c r="H306" s="14">
        <f t="shared" si="10"/>
        <v>1</v>
      </c>
      <c r="I306" s="14">
        <v>1</v>
      </c>
      <c r="J306" s="14">
        <v>1</v>
      </c>
      <c r="K306" s="13" t="s">
        <v>486</v>
      </c>
      <c r="Q306" s="14"/>
    </row>
    <row r="307" spans="1:17" x14ac:dyDescent="0.25">
      <c r="A307" s="11" t="s">
        <v>4921</v>
      </c>
      <c r="B307" s="13" t="s">
        <v>674</v>
      </c>
      <c r="D307" s="13" t="s">
        <v>1940</v>
      </c>
      <c r="F307" s="14" t="s">
        <v>11</v>
      </c>
      <c r="G307" s="13">
        <v>1</v>
      </c>
      <c r="H307" s="14">
        <f t="shared" si="10"/>
        <v>1</v>
      </c>
      <c r="J307" s="14">
        <v>1</v>
      </c>
      <c r="K307" s="13" t="s">
        <v>2752</v>
      </c>
      <c r="Q307" s="14"/>
    </row>
    <row r="308" spans="1:17" x14ac:dyDescent="0.25">
      <c r="A308" s="11" t="s">
        <v>4921</v>
      </c>
      <c r="B308" s="13" t="s">
        <v>327</v>
      </c>
      <c r="C308" s="61" t="s">
        <v>282</v>
      </c>
      <c r="D308" s="13" t="s">
        <v>1940</v>
      </c>
      <c r="F308" s="14" t="s">
        <v>11</v>
      </c>
      <c r="G308" s="13">
        <v>9</v>
      </c>
      <c r="H308" s="14">
        <f>G308+I308</f>
        <v>9</v>
      </c>
      <c r="J308" s="14">
        <v>9</v>
      </c>
      <c r="K308" s="13" t="s">
        <v>5199</v>
      </c>
      <c r="Q308" s="14"/>
    </row>
    <row r="309" spans="1:17" x14ac:dyDescent="0.25">
      <c r="A309" s="11" t="s">
        <v>4921</v>
      </c>
      <c r="B309" s="13" t="s">
        <v>209</v>
      </c>
      <c r="D309" s="13" t="s">
        <v>1940</v>
      </c>
      <c r="F309" s="14" t="s">
        <v>11</v>
      </c>
      <c r="G309" s="13">
        <v>4</v>
      </c>
      <c r="H309" s="14">
        <f t="shared" ref="H309:H381" si="11">G309+I309</f>
        <v>4</v>
      </c>
      <c r="J309" s="14">
        <v>4</v>
      </c>
      <c r="K309" s="13" t="s">
        <v>5116</v>
      </c>
      <c r="Q309" s="14"/>
    </row>
    <row r="310" spans="1:17" x14ac:dyDescent="0.25">
      <c r="A310" s="11" t="s">
        <v>4921</v>
      </c>
      <c r="B310" s="13" t="s">
        <v>64</v>
      </c>
      <c r="D310" s="13" t="s">
        <v>1940</v>
      </c>
      <c r="F310" s="14" t="s">
        <v>11</v>
      </c>
      <c r="G310" s="13">
        <v>7</v>
      </c>
      <c r="H310" s="14">
        <f t="shared" si="11"/>
        <v>7</v>
      </c>
      <c r="J310" s="14">
        <v>6</v>
      </c>
      <c r="K310" s="13" t="s">
        <v>4992</v>
      </c>
      <c r="Q310" s="14"/>
    </row>
    <row r="311" spans="1:17" x14ac:dyDescent="0.25">
      <c r="A311" s="11" t="s">
        <v>4921</v>
      </c>
      <c r="B311" s="13" t="s">
        <v>261</v>
      </c>
      <c r="D311" s="13" t="s">
        <v>1940</v>
      </c>
      <c r="F311" s="14" t="s">
        <v>11</v>
      </c>
      <c r="G311" s="13">
        <v>4</v>
      </c>
      <c r="H311" s="14">
        <f>G311+I311</f>
        <v>4</v>
      </c>
      <c r="J311" s="14">
        <v>4</v>
      </c>
      <c r="K311" s="13" t="s">
        <v>4999</v>
      </c>
      <c r="Q311" s="14"/>
    </row>
    <row r="312" spans="1:17" x14ac:dyDescent="0.25">
      <c r="A312" s="11" t="s">
        <v>4921</v>
      </c>
      <c r="B312" s="13" t="s">
        <v>261</v>
      </c>
      <c r="C312" s="61" t="s">
        <v>4901</v>
      </c>
      <c r="F312" s="14" t="s">
        <v>11</v>
      </c>
      <c r="G312" s="13">
        <v>1</v>
      </c>
      <c r="H312" s="14">
        <f>G312+I312</f>
        <v>1</v>
      </c>
      <c r="J312" s="14">
        <v>1</v>
      </c>
      <c r="K312" s="13" t="s">
        <v>44</v>
      </c>
      <c r="Q312" s="14"/>
    </row>
    <row r="313" spans="1:17" x14ac:dyDescent="0.25">
      <c r="A313" s="11" t="s">
        <v>4921</v>
      </c>
      <c r="B313" s="13" t="s">
        <v>261</v>
      </c>
      <c r="C313" s="61" t="s">
        <v>4926</v>
      </c>
      <c r="F313" s="14" t="s">
        <v>11</v>
      </c>
      <c r="G313" s="13">
        <v>1</v>
      </c>
      <c r="H313" s="14">
        <f>G313+I313</f>
        <v>1</v>
      </c>
      <c r="J313" s="14">
        <v>1</v>
      </c>
      <c r="K313" s="13" t="s">
        <v>488</v>
      </c>
      <c r="Q313" s="14"/>
    </row>
    <row r="314" spans="1:17" x14ac:dyDescent="0.25">
      <c r="A314" s="11" t="s">
        <v>4921</v>
      </c>
      <c r="B314" s="13" t="s">
        <v>1933</v>
      </c>
      <c r="C314" s="61" t="s">
        <v>4859</v>
      </c>
      <c r="F314" s="14" t="s">
        <v>11</v>
      </c>
      <c r="G314" s="13">
        <v>1</v>
      </c>
      <c r="H314" s="14">
        <f t="shared" si="11"/>
        <v>1</v>
      </c>
      <c r="J314" s="14">
        <v>1</v>
      </c>
      <c r="K314" s="13" t="s">
        <v>842</v>
      </c>
      <c r="Q314" s="14"/>
    </row>
    <row r="315" spans="1:17" ht="22.5" x14ac:dyDescent="0.25">
      <c r="A315" s="11" t="s">
        <v>4921</v>
      </c>
      <c r="B315" s="13" t="s">
        <v>1933</v>
      </c>
      <c r="C315" s="62" t="s">
        <v>4980</v>
      </c>
      <c r="E315" s="61" t="s">
        <v>4859</v>
      </c>
      <c r="F315" s="14" t="s">
        <v>11</v>
      </c>
      <c r="G315" s="13">
        <v>1</v>
      </c>
      <c r="H315" s="14">
        <f>G315+I315</f>
        <v>1</v>
      </c>
      <c r="J315" s="14">
        <v>1</v>
      </c>
      <c r="K315" s="13" t="s">
        <v>842</v>
      </c>
      <c r="Q315" s="14"/>
    </row>
    <row r="316" spans="1:17" x14ac:dyDescent="0.25">
      <c r="A316" s="11" t="s">
        <v>4921</v>
      </c>
      <c r="B316" s="13" t="s">
        <v>328</v>
      </c>
      <c r="D316" s="13" t="s">
        <v>1940</v>
      </c>
      <c r="F316" s="14" t="s">
        <v>11</v>
      </c>
      <c r="G316" s="13">
        <v>10</v>
      </c>
      <c r="H316" s="14">
        <f>G316+I316</f>
        <v>10</v>
      </c>
      <c r="J316" s="14">
        <v>6</v>
      </c>
      <c r="K316" s="13" t="s">
        <v>5202</v>
      </c>
      <c r="Q316" s="14"/>
    </row>
    <row r="317" spans="1:17" x14ac:dyDescent="0.25">
      <c r="A317" s="11" t="s">
        <v>4921</v>
      </c>
      <c r="B317" s="13" t="s">
        <v>328</v>
      </c>
      <c r="C317" s="61" t="s">
        <v>419</v>
      </c>
      <c r="F317" s="14" t="s">
        <v>11</v>
      </c>
      <c r="G317" s="13">
        <v>2</v>
      </c>
      <c r="H317" s="14">
        <f>G317+I317</f>
        <v>2</v>
      </c>
      <c r="J317" s="14">
        <v>2</v>
      </c>
      <c r="K317" s="13" t="s">
        <v>4941</v>
      </c>
      <c r="Q317" s="14"/>
    </row>
    <row r="318" spans="1:17" x14ac:dyDescent="0.25">
      <c r="A318" s="11" t="s">
        <v>4921</v>
      </c>
      <c r="B318" s="13" t="s">
        <v>2391</v>
      </c>
      <c r="C318" s="61" t="s">
        <v>4671</v>
      </c>
      <c r="D318" s="13" t="s">
        <v>3762</v>
      </c>
      <c r="F318" s="14" t="s">
        <v>11</v>
      </c>
      <c r="G318" s="13">
        <v>1</v>
      </c>
      <c r="H318" s="14">
        <f t="shared" si="11"/>
        <v>1</v>
      </c>
      <c r="J318" s="14">
        <v>1</v>
      </c>
      <c r="K318" s="13" t="s">
        <v>4887</v>
      </c>
      <c r="Q318" s="14"/>
    </row>
    <row r="319" spans="1:17" x14ac:dyDescent="0.25">
      <c r="A319" s="11" t="s">
        <v>4921</v>
      </c>
      <c r="B319" s="13" t="s">
        <v>2674</v>
      </c>
      <c r="D319" s="13" t="s">
        <v>1940</v>
      </c>
      <c r="F319" s="14" t="s">
        <v>11</v>
      </c>
      <c r="G319" s="13">
        <v>1</v>
      </c>
      <c r="H319" s="14">
        <f t="shared" si="11"/>
        <v>1</v>
      </c>
      <c r="J319" s="14">
        <v>1</v>
      </c>
      <c r="K319" s="13" t="s">
        <v>414</v>
      </c>
      <c r="Q319" s="14"/>
    </row>
    <row r="320" spans="1:17" x14ac:dyDescent="0.25">
      <c r="A320" s="11" t="s">
        <v>4921</v>
      </c>
      <c r="B320" s="13" t="s">
        <v>78</v>
      </c>
      <c r="D320" s="13" t="s">
        <v>1940</v>
      </c>
      <c r="F320" s="14" t="s">
        <v>11</v>
      </c>
      <c r="G320" s="13">
        <v>5</v>
      </c>
      <c r="H320" s="14">
        <f t="shared" si="11"/>
        <v>5</v>
      </c>
      <c r="J320" s="14">
        <v>4</v>
      </c>
      <c r="K320" s="13" t="s">
        <v>5115</v>
      </c>
      <c r="Q320" s="14"/>
    </row>
    <row r="321" spans="1:17" x14ac:dyDescent="0.25">
      <c r="A321" s="11" t="s">
        <v>4921</v>
      </c>
      <c r="B321" s="13" t="s">
        <v>78</v>
      </c>
      <c r="C321" s="61" t="s">
        <v>2029</v>
      </c>
      <c r="E321" s="14" t="s">
        <v>683</v>
      </c>
      <c r="F321" s="14" t="s">
        <v>11</v>
      </c>
      <c r="G321" s="13">
        <v>1</v>
      </c>
      <c r="H321" s="14">
        <f t="shared" si="11"/>
        <v>1</v>
      </c>
      <c r="J321" s="14">
        <v>1</v>
      </c>
      <c r="K321" s="13" t="s">
        <v>488</v>
      </c>
      <c r="Q321" s="14"/>
    </row>
    <row r="322" spans="1:17" x14ac:dyDescent="0.25">
      <c r="A322" s="11" t="s">
        <v>4921</v>
      </c>
      <c r="B322" s="13" t="s">
        <v>2617</v>
      </c>
      <c r="D322" s="13" t="s">
        <v>1940</v>
      </c>
      <c r="F322" s="14" t="s">
        <v>11</v>
      </c>
      <c r="G322" s="13">
        <v>1</v>
      </c>
      <c r="H322" s="14">
        <f t="shared" si="11"/>
        <v>1</v>
      </c>
      <c r="J322" s="14">
        <v>1</v>
      </c>
      <c r="K322" s="13" t="s">
        <v>1690</v>
      </c>
      <c r="Q322" s="14"/>
    </row>
    <row r="323" spans="1:17" x14ac:dyDescent="0.25">
      <c r="A323" s="11" t="s">
        <v>4921</v>
      </c>
      <c r="B323" s="13" t="s">
        <v>46</v>
      </c>
      <c r="D323" s="13" t="s">
        <v>1940</v>
      </c>
      <c r="F323" s="14" t="s">
        <v>11</v>
      </c>
      <c r="G323" s="13">
        <v>3</v>
      </c>
      <c r="H323" s="14">
        <f t="shared" si="11"/>
        <v>3</v>
      </c>
      <c r="J323" s="14">
        <v>3</v>
      </c>
      <c r="K323" s="13" t="s">
        <v>5219</v>
      </c>
      <c r="Q323" s="14"/>
    </row>
    <row r="324" spans="1:17" x14ac:dyDescent="0.25">
      <c r="A324" s="11" t="s">
        <v>4921</v>
      </c>
      <c r="B324" s="13" t="s">
        <v>62</v>
      </c>
      <c r="D324" s="13" t="s">
        <v>1940</v>
      </c>
      <c r="F324" s="14" t="s">
        <v>11</v>
      </c>
      <c r="G324" s="13">
        <v>12</v>
      </c>
      <c r="H324" s="14">
        <f t="shared" si="11"/>
        <v>12</v>
      </c>
      <c r="J324" s="14">
        <v>9</v>
      </c>
      <c r="K324" s="13" t="s">
        <v>5220</v>
      </c>
      <c r="Q324" s="14"/>
    </row>
    <row r="325" spans="1:17" x14ac:dyDescent="0.25">
      <c r="A325" s="11" t="s">
        <v>4921</v>
      </c>
      <c r="B325" s="13" t="s">
        <v>22</v>
      </c>
      <c r="D325" s="13" t="s">
        <v>1940</v>
      </c>
      <c r="E325" s="14" t="s">
        <v>22</v>
      </c>
      <c r="F325" s="14" t="s">
        <v>11</v>
      </c>
      <c r="G325" s="13">
        <v>4</v>
      </c>
      <c r="H325" s="14">
        <f t="shared" si="11"/>
        <v>4</v>
      </c>
      <c r="J325" s="14">
        <v>4</v>
      </c>
      <c r="K325" s="13" t="s">
        <v>5062</v>
      </c>
      <c r="Q325" s="14"/>
    </row>
    <row r="326" spans="1:17" x14ac:dyDescent="0.25">
      <c r="A326" s="11" t="s">
        <v>4921</v>
      </c>
      <c r="B326" s="13" t="s">
        <v>22</v>
      </c>
      <c r="C326" s="61" t="s">
        <v>5061</v>
      </c>
      <c r="E326" s="14" t="s">
        <v>22</v>
      </c>
      <c r="F326" s="14" t="s">
        <v>11</v>
      </c>
      <c r="G326" s="13">
        <v>1</v>
      </c>
      <c r="H326" s="14">
        <f>G326+I326</f>
        <v>1</v>
      </c>
      <c r="J326" s="14">
        <v>1</v>
      </c>
      <c r="K326" s="13" t="s">
        <v>4215</v>
      </c>
      <c r="Q326" s="14"/>
    </row>
    <row r="327" spans="1:17" x14ac:dyDescent="0.25">
      <c r="A327" s="11" t="s">
        <v>4921</v>
      </c>
      <c r="B327" s="13" t="s">
        <v>22</v>
      </c>
      <c r="C327" s="61" t="s">
        <v>3905</v>
      </c>
      <c r="E327" s="14" t="s">
        <v>149</v>
      </c>
      <c r="F327" s="14" t="s">
        <v>11</v>
      </c>
      <c r="G327" s="13">
        <v>1</v>
      </c>
      <c r="H327" s="14">
        <f t="shared" si="11"/>
        <v>1</v>
      </c>
      <c r="J327" s="14">
        <v>1</v>
      </c>
      <c r="K327" s="13" t="s">
        <v>546</v>
      </c>
      <c r="Q327" s="14"/>
    </row>
    <row r="328" spans="1:17" x14ac:dyDescent="0.25">
      <c r="A328" s="11" t="s">
        <v>4921</v>
      </c>
      <c r="B328" s="13" t="s">
        <v>22</v>
      </c>
      <c r="C328" s="61" t="s">
        <v>149</v>
      </c>
      <c r="E328" s="14" t="s">
        <v>22</v>
      </c>
      <c r="F328" s="14" t="s">
        <v>11</v>
      </c>
      <c r="G328" s="13">
        <v>7</v>
      </c>
      <c r="H328" s="14">
        <f t="shared" si="11"/>
        <v>7</v>
      </c>
      <c r="J328" s="14">
        <v>4</v>
      </c>
      <c r="K328" s="13" t="s">
        <v>4925</v>
      </c>
      <c r="Q328" s="14"/>
    </row>
    <row r="329" spans="1:17" x14ac:dyDescent="0.25">
      <c r="A329" s="11" t="s">
        <v>4921</v>
      </c>
      <c r="B329" s="13" t="s">
        <v>609</v>
      </c>
      <c r="D329" s="13" t="s">
        <v>1940</v>
      </c>
      <c r="F329" s="14" t="s">
        <v>11</v>
      </c>
      <c r="G329" s="13">
        <v>7</v>
      </c>
      <c r="H329" s="14">
        <f t="shared" si="11"/>
        <v>7</v>
      </c>
      <c r="J329" s="14">
        <v>5</v>
      </c>
      <c r="K329" s="13" t="s">
        <v>5117</v>
      </c>
      <c r="Q329" s="14"/>
    </row>
    <row r="330" spans="1:17" ht="22.5" x14ac:dyDescent="0.25">
      <c r="A330" s="11" t="s">
        <v>4921</v>
      </c>
      <c r="B330" s="13" t="s">
        <v>609</v>
      </c>
      <c r="C330" s="61" t="s">
        <v>5058</v>
      </c>
      <c r="D330" s="13" t="s">
        <v>4500</v>
      </c>
      <c r="F330" s="14" t="s">
        <v>11</v>
      </c>
      <c r="G330" s="13">
        <v>1</v>
      </c>
      <c r="H330" s="14">
        <f t="shared" ref="H330:H333" si="12">G330+I330</f>
        <v>1</v>
      </c>
      <c r="J330" s="14">
        <v>1</v>
      </c>
      <c r="K330" s="13" t="s">
        <v>3144</v>
      </c>
      <c r="Q330" s="14"/>
    </row>
    <row r="331" spans="1:17" x14ac:dyDescent="0.25">
      <c r="A331" s="11" t="s">
        <v>4921</v>
      </c>
      <c r="B331" s="13" t="s">
        <v>609</v>
      </c>
      <c r="C331" s="61" t="s">
        <v>5078</v>
      </c>
      <c r="F331" s="14" t="s">
        <v>11</v>
      </c>
      <c r="G331" s="13">
        <v>1</v>
      </c>
      <c r="H331" s="14">
        <f t="shared" si="12"/>
        <v>1</v>
      </c>
      <c r="J331" s="14">
        <v>1</v>
      </c>
      <c r="K331" s="13" t="s">
        <v>3147</v>
      </c>
      <c r="Q331" s="14"/>
    </row>
    <row r="332" spans="1:17" x14ac:dyDescent="0.25">
      <c r="A332" s="11" t="s">
        <v>4921</v>
      </c>
      <c r="B332" s="13" t="s">
        <v>609</v>
      </c>
      <c r="C332" s="61" t="s">
        <v>4920</v>
      </c>
      <c r="F332" s="14" t="s">
        <v>11</v>
      </c>
      <c r="G332" s="13">
        <v>1</v>
      </c>
      <c r="H332" s="14">
        <f t="shared" si="12"/>
        <v>1</v>
      </c>
      <c r="J332" s="14">
        <v>1</v>
      </c>
      <c r="K332" s="13" t="s">
        <v>3147</v>
      </c>
      <c r="Q332" s="14"/>
    </row>
    <row r="333" spans="1:17" x14ac:dyDescent="0.25">
      <c r="A333" s="11" t="s">
        <v>4921</v>
      </c>
      <c r="B333" s="13" t="s">
        <v>609</v>
      </c>
      <c r="C333" s="61" t="s">
        <v>5076</v>
      </c>
      <c r="F333" s="14" t="s">
        <v>11</v>
      </c>
      <c r="G333" s="13">
        <v>1</v>
      </c>
      <c r="H333" s="14">
        <f t="shared" si="12"/>
        <v>1</v>
      </c>
      <c r="J333" s="14">
        <v>1</v>
      </c>
      <c r="K333" s="13" t="s">
        <v>3147</v>
      </c>
      <c r="Q333" s="14"/>
    </row>
    <row r="334" spans="1:17" x14ac:dyDescent="0.25">
      <c r="A334" s="11" t="s">
        <v>4921</v>
      </c>
      <c r="B334" s="13" t="s">
        <v>93</v>
      </c>
      <c r="C334" s="61" t="s">
        <v>5063</v>
      </c>
      <c r="F334" s="14" t="s">
        <v>11</v>
      </c>
      <c r="G334" s="13">
        <v>1</v>
      </c>
      <c r="H334" s="14">
        <f>G334+I334</f>
        <v>1</v>
      </c>
      <c r="J334" s="14">
        <v>1</v>
      </c>
      <c r="K334" s="13" t="s">
        <v>4215</v>
      </c>
      <c r="Q334" s="14"/>
    </row>
    <row r="335" spans="1:17" x14ac:dyDescent="0.25">
      <c r="A335" s="11" t="s">
        <v>4921</v>
      </c>
      <c r="B335" s="13" t="s">
        <v>93</v>
      </c>
      <c r="D335" s="13" t="s">
        <v>1940</v>
      </c>
      <c r="F335" s="14" t="s">
        <v>11</v>
      </c>
      <c r="G335" s="13">
        <v>14</v>
      </c>
      <c r="H335" s="14">
        <f t="shared" si="11"/>
        <v>14</v>
      </c>
      <c r="J335" s="14">
        <v>11</v>
      </c>
      <c r="K335" s="13" t="s">
        <v>5207</v>
      </c>
      <c r="Q335" s="14"/>
    </row>
    <row r="336" spans="1:17" x14ac:dyDescent="0.25">
      <c r="A336" s="11" t="s">
        <v>4921</v>
      </c>
      <c r="B336" s="13" t="s">
        <v>50</v>
      </c>
      <c r="D336" s="13" t="s">
        <v>1940</v>
      </c>
      <c r="F336" s="14" t="s">
        <v>11</v>
      </c>
      <c r="G336" s="13">
        <v>2</v>
      </c>
      <c r="H336" s="14">
        <f t="shared" si="11"/>
        <v>2</v>
      </c>
      <c r="J336" s="14">
        <v>2</v>
      </c>
      <c r="K336" s="13" t="s">
        <v>5118</v>
      </c>
      <c r="Q336" s="14"/>
    </row>
    <row r="337" spans="1:17" x14ac:dyDescent="0.25">
      <c r="A337" s="11" t="s">
        <v>4921</v>
      </c>
      <c r="B337" s="13" t="s">
        <v>50</v>
      </c>
      <c r="C337" s="61" t="s">
        <v>4979</v>
      </c>
      <c r="D337" s="13" t="s">
        <v>151</v>
      </c>
      <c r="F337" s="14" t="s">
        <v>11</v>
      </c>
      <c r="G337" s="13">
        <v>1</v>
      </c>
      <c r="H337" s="14">
        <f>G337+I337</f>
        <v>1</v>
      </c>
      <c r="J337" s="14">
        <v>1</v>
      </c>
      <c r="K337" s="13" t="s">
        <v>842</v>
      </c>
      <c r="Q337" s="14"/>
    </row>
    <row r="338" spans="1:17" x14ac:dyDescent="0.25">
      <c r="A338" s="11" t="s">
        <v>4921</v>
      </c>
      <c r="B338" s="13" t="s">
        <v>24</v>
      </c>
      <c r="C338" s="61" t="s">
        <v>4916</v>
      </c>
      <c r="F338" s="14" t="s">
        <v>11</v>
      </c>
      <c r="G338" s="13">
        <v>1</v>
      </c>
      <c r="H338" s="14">
        <f>G338+I338</f>
        <v>1</v>
      </c>
      <c r="J338" s="14">
        <v>1</v>
      </c>
      <c r="K338" s="13" t="s">
        <v>2503</v>
      </c>
      <c r="Q338" s="14"/>
    </row>
    <row r="339" spans="1:17" x14ac:dyDescent="0.25">
      <c r="A339" s="11" t="s">
        <v>4921</v>
      </c>
      <c r="B339" s="13" t="s">
        <v>24</v>
      </c>
      <c r="C339" s="61" t="s">
        <v>986</v>
      </c>
      <c r="F339" s="14" t="s">
        <v>11</v>
      </c>
      <c r="G339" s="13">
        <v>1</v>
      </c>
      <c r="H339" s="14">
        <f t="shared" si="11"/>
        <v>1</v>
      </c>
      <c r="J339" s="14">
        <v>1</v>
      </c>
      <c r="K339" s="13" t="s">
        <v>1309</v>
      </c>
      <c r="Q339" s="14"/>
    </row>
    <row r="340" spans="1:17" x14ac:dyDescent="0.25">
      <c r="A340" s="11" t="s">
        <v>4921</v>
      </c>
      <c r="B340" s="13" t="s">
        <v>24</v>
      </c>
      <c r="C340" s="61" t="s">
        <v>5099</v>
      </c>
      <c r="D340" s="13" t="s">
        <v>5100</v>
      </c>
      <c r="F340" s="14" t="s">
        <v>11</v>
      </c>
      <c r="G340" s="13">
        <v>2</v>
      </c>
      <c r="H340" s="14">
        <f>G340+I340</f>
        <v>2</v>
      </c>
      <c r="J340" s="14">
        <v>2</v>
      </c>
      <c r="K340" s="13" t="s">
        <v>5101</v>
      </c>
      <c r="Q340" s="14"/>
    </row>
    <row r="341" spans="1:17" ht="22.5" x14ac:dyDescent="0.25">
      <c r="A341" s="11" t="s">
        <v>4921</v>
      </c>
      <c r="B341" s="13" t="s">
        <v>24</v>
      </c>
      <c r="C341" s="61" t="s">
        <v>24</v>
      </c>
      <c r="D341" s="13" t="s">
        <v>1940</v>
      </c>
      <c r="F341" s="14" t="s">
        <v>11</v>
      </c>
      <c r="G341" s="13">
        <v>48</v>
      </c>
      <c r="H341" s="14">
        <f t="shared" si="11"/>
        <v>48</v>
      </c>
      <c r="J341" s="14">
        <v>30</v>
      </c>
      <c r="K341" s="13" t="s">
        <v>5221</v>
      </c>
      <c r="Q341" s="14"/>
    </row>
    <row r="342" spans="1:17" x14ac:dyDescent="0.25">
      <c r="A342" s="11" t="s">
        <v>4921</v>
      </c>
      <c r="B342" s="13" t="s">
        <v>24</v>
      </c>
      <c r="C342" s="61" t="s">
        <v>3141</v>
      </c>
      <c r="F342" s="14" t="s">
        <v>11</v>
      </c>
      <c r="G342" s="13">
        <v>11</v>
      </c>
      <c r="H342" s="14">
        <f t="shared" si="11"/>
        <v>11</v>
      </c>
      <c r="J342" s="14">
        <v>9</v>
      </c>
      <c r="K342" s="13" t="s">
        <v>5208</v>
      </c>
      <c r="Q342" s="14"/>
    </row>
    <row r="343" spans="1:17" x14ac:dyDescent="0.25">
      <c r="A343" s="11" t="s">
        <v>4921</v>
      </c>
      <c r="B343" s="13" t="s">
        <v>24</v>
      </c>
      <c r="C343" s="61" t="s">
        <v>848</v>
      </c>
      <c r="E343" s="14" t="s">
        <v>21</v>
      </c>
      <c r="F343" s="14" t="s">
        <v>11</v>
      </c>
      <c r="G343" s="13">
        <v>5</v>
      </c>
      <c r="H343" s="14">
        <f>G343+I343</f>
        <v>5</v>
      </c>
      <c r="J343" s="14">
        <v>4</v>
      </c>
      <c r="K343" s="13" t="s">
        <v>5103</v>
      </c>
      <c r="Q343" s="14"/>
    </row>
    <row r="344" spans="1:17" ht="22.5" x14ac:dyDescent="0.25">
      <c r="A344" s="11" t="s">
        <v>4921</v>
      </c>
      <c r="B344" s="13" t="s">
        <v>24</v>
      </c>
      <c r="C344" s="61" t="s">
        <v>4506</v>
      </c>
      <c r="D344" s="13" t="s">
        <v>4500</v>
      </c>
      <c r="E344" s="14" t="s">
        <v>21</v>
      </c>
      <c r="F344" s="14" t="s">
        <v>11</v>
      </c>
      <c r="G344" s="13">
        <v>2</v>
      </c>
      <c r="H344" s="14">
        <f>G344+I344</f>
        <v>2</v>
      </c>
      <c r="J344" s="14">
        <v>1</v>
      </c>
      <c r="K344" s="13" t="s">
        <v>3144</v>
      </c>
      <c r="Q344" s="14"/>
    </row>
    <row r="345" spans="1:17" ht="22.5" x14ac:dyDescent="0.25">
      <c r="A345" s="11" t="s">
        <v>4921</v>
      </c>
      <c r="B345" s="13" t="s">
        <v>416</v>
      </c>
      <c r="C345" s="61" t="s">
        <v>416</v>
      </c>
      <c r="D345" s="13" t="s">
        <v>1940</v>
      </c>
      <c r="F345" s="14" t="s">
        <v>11</v>
      </c>
      <c r="G345" s="13">
        <v>35</v>
      </c>
      <c r="H345" s="14">
        <f t="shared" si="11"/>
        <v>35</v>
      </c>
      <c r="J345" s="14">
        <v>25</v>
      </c>
      <c r="K345" s="13" t="s">
        <v>5222</v>
      </c>
      <c r="Q345" s="14"/>
    </row>
    <row r="346" spans="1:17" x14ac:dyDescent="0.25">
      <c r="A346" s="11" t="s">
        <v>4921</v>
      </c>
      <c r="B346" s="13" t="s">
        <v>139</v>
      </c>
      <c r="D346" s="13" t="s">
        <v>1940</v>
      </c>
      <c r="F346" s="14" t="s">
        <v>11</v>
      </c>
      <c r="G346" s="13">
        <v>4</v>
      </c>
      <c r="H346" s="14">
        <f t="shared" si="11"/>
        <v>4</v>
      </c>
      <c r="J346" s="14">
        <v>4</v>
      </c>
      <c r="K346" s="13" t="s">
        <v>4976</v>
      </c>
      <c r="Q346" s="14"/>
    </row>
    <row r="347" spans="1:17" x14ac:dyDescent="0.25">
      <c r="A347" s="11" t="s">
        <v>4921</v>
      </c>
      <c r="B347" s="13" t="s">
        <v>139</v>
      </c>
      <c r="C347" s="61" t="s">
        <v>455</v>
      </c>
      <c r="F347" s="14" t="s">
        <v>11</v>
      </c>
      <c r="G347" s="13">
        <v>14</v>
      </c>
      <c r="H347" s="14">
        <f t="shared" si="11"/>
        <v>14</v>
      </c>
      <c r="J347" s="14">
        <v>13</v>
      </c>
      <c r="K347" s="13" t="s">
        <v>5209</v>
      </c>
      <c r="Q347" s="14"/>
    </row>
    <row r="348" spans="1:17" x14ac:dyDescent="0.25">
      <c r="A348" s="11" t="s">
        <v>4921</v>
      </c>
      <c r="B348" s="13" t="s">
        <v>139</v>
      </c>
      <c r="C348" s="61" t="s">
        <v>2661</v>
      </c>
      <c r="F348" s="14" t="s">
        <v>11</v>
      </c>
      <c r="G348" s="13">
        <v>3</v>
      </c>
      <c r="H348" s="14">
        <f>G348+I348</f>
        <v>3</v>
      </c>
      <c r="J348" s="14">
        <v>3</v>
      </c>
      <c r="K348" s="13" t="s">
        <v>5203</v>
      </c>
      <c r="Q348" s="14"/>
    </row>
    <row r="349" spans="1:17" x14ac:dyDescent="0.25">
      <c r="A349" s="11" t="s">
        <v>4921</v>
      </c>
      <c r="B349" s="13" t="s">
        <v>139</v>
      </c>
      <c r="C349" s="61" t="s">
        <v>4977</v>
      </c>
      <c r="F349" s="14" t="s">
        <v>11</v>
      </c>
      <c r="G349" s="13">
        <v>1</v>
      </c>
      <c r="H349" s="14">
        <f>G349+I349</f>
        <v>1</v>
      </c>
      <c r="J349" s="14">
        <v>1</v>
      </c>
      <c r="K349" s="13" t="s">
        <v>2530</v>
      </c>
      <c r="Q349" s="14"/>
    </row>
    <row r="350" spans="1:17" x14ac:dyDescent="0.25">
      <c r="A350" s="11" t="s">
        <v>4921</v>
      </c>
      <c r="B350" s="13" t="s">
        <v>269</v>
      </c>
      <c r="C350" s="61" t="s">
        <v>4975</v>
      </c>
      <c r="F350" s="14" t="s">
        <v>11</v>
      </c>
      <c r="G350" s="13">
        <v>1</v>
      </c>
      <c r="H350" s="14">
        <f>G350+I350</f>
        <v>1</v>
      </c>
      <c r="J350" s="14">
        <v>1</v>
      </c>
      <c r="K350" s="13" t="s">
        <v>2530</v>
      </c>
      <c r="Q350" s="14"/>
    </row>
    <row r="351" spans="1:17" x14ac:dyDescent="0.25">
      <c r="A351" s="11" t="s">
        <v>4921</v>
      </c>
      <c r="B351" s="13" t="s">
        <v>1844</v>
      </c>
      <c r="C351" s="61" t="s">
        <v>630</v>
      </c>
      <c r="E351" s="13"/>
      <c r="F351" s="14" t="s">
        <v>11</v>
      </c>
      <c r="G351" s="13">
        <v>3</v>
      </c>
      <c r="H351" s="14">
        <f t="shared" si="11"/>
        <v>3</v>
      </c>
      <c r="J351" s="14">
        <v>2</v>
      </c>
      <c r="K351" s="13" t="s">
        <v>4902</v>
      </c>
      <c r="Q351" s="14"/>
    </row>
    <row r="352" spans="1:17" x14ac:dyDescent="0.25">
      <c r="A352" s="11" t="s">
        <v>4921</v>
      </c>
      <c r="B352" s="13" t="s">
        <v>269</v>
      </c>
      <c r="C352" s="61" t="s">
        <v>3029</v>
      </c>
      <c r="E352" s="14" t="s">
        <v>4978</v>
      </c>
      <c r="F352" s="14" t="s">
        <v>11</v>
      </c>
      <c r="G352" s="13">
        <v>1</v>
      </c>
      <c r="H352" s="14">
        <f>G352+I352</f>
        <v>1</v>
      </c>
      <c r="J352" s="14">
        <v>1</v>
      </c>
      <c r="K352" s="13" t="s">
        <v>2752</v>
      </c>
      <c r="Q352" s="14"/>
    </row>
    <row r="353" spans="1:17" x14ac:dyDescent="0.25">
      <c r="A353" s="11" t="s">
        <v>4921</v>
      </c>
      <c r="B353" s="13" t="s">
        <v>269</v>
      </c>
      <c r="C353" s="61" t="s">
        <v>2776</v>
      </c>
      <c r="E353" s="14" t="s">
        <v>515</v>
      </c>
      <c r="F353" s="14" t="s">
        <v>11</v>
      </c>
      <c r="G353" s="13">
        <v>1</v>
      </c>
      <c r="H353" s="14">
        <f t="shared" si="11"/>
        <v>1</v>
      </c>
      <c r="J353" s="14">
        <v>1</v>
      </c>
      <c r="K353" s="13" t="s">
        <v>1262</v>
      </c>
      <c r="Q353" s="14"/>
    </row>
    <row r="354" spans="1:17" x14ac:dyDescent="0.25">
      <c r="A354" s="11" t="s">
        <v>4921</v>
      </c>
      <c r="B354" s="13" t="s">
        <v>2384</v>
      </c>
      <c r="C354" s="61" t="s">
        <v>2386</v>
      </c>
      <c r="F354" s="14" t="s">
        <v>11</v>
      </c>
      <c r="G354" s="13">
        <v>1</v>
      </c>
      <c r="H354" s="14">
        <f t="shared" si="11"/>
        <v>1</v>
      </c>
      <c r="J354" s="14">
        <v>1</v>
      </c>
      <c r="K354" s="13" t="s">
        <v>4887</v>
      </c>
      <c r="Q354" s="14"/>
    </row>
    <row r="355" spans="1:17" x14ac:dyDescent="0.25">
      <c r="A355" s="11" t="s">
        <v>4921</v>
      </c>
      <c r="B355" s="13" t="s">
        <v>272</v>
      </c>
      <c r="D355" s="13" t="s">
        <v>1940</v>
      </c>
      <c r="F355" s="14" t="s">
        <v>11</v>
      </c>
      <c r="G355" s="13">
        <v>5</v>
      </c>
      <c r="H355" s="14">
        <f t="shared" si="11"/>
        <v>5</v>
      </c>
      <c r="J355" s="14">
        <v>4</v>
      </c>
      <c r="K355" s="13" t="s">
        <v>5119</v>
      </c>
      <c r="Q355" s="14"/>
    </row>
    <row r="356" spans="1:17" x14ac:dyDescent="0.25">
      <c r="A356" s="11" t="s">
        <v>4921</v>
      </c>
      <c r="B356" s="13" t="s">
        <v>272</v>
      </c>
      <c r="C356" s="61" t="s">
        <v>5120</v>
      </c>
      <c r="F356" s="14" t="s">
        <v>11</v>
      </c>
      <c r="G356" s="13">
        <v>1</v>
      </c>
      <c r="H356" s="14">
        <f>G356+I356</f>
        <v>1</v>
      </c>
      <c r="J356" s="14">
        <v>1</v>
      </c>
      <c r="K356" s="13" t="s">
        <v>1583</v>
      </c>
      <c r="Q356" s="14"/>
    </row>
    <row r="357" spans="1:17" x14ac:dyDescent="0.25">
      <c r="A357" s="11" t="s">
        <v>4921</v>
      </c>
      <c r="B357" s="13" t="s">
        <v>2365</v>
      </c>
      <c r="C357" s="61" t="s">
        <v>1181</v>
      </c>
      <c r="F357" s="14" t="s">
        <v>11</v>
      </c>
      <c r="G357" s="13">
        <v>1</v>
      </c>
      <c r="H357" s="14">
        <f>G357+I357</f>
        <v>1</v>
      </c>
      <c r="J357" s="14">
        <v>1</v>
      </c>
      <c r="K357" s="13" t="s">
        <v>1521</v>
      </c>
      <c r="Q357" s="14"/>
    </row>
    <row r="358" spans="1:17" x14ac:dyDescent="0.25">
      <c r="A358" s="11" t="s">
        <v>4921</v>
      </c>
      <c r="B358" s="13" t="s">
        <v>24</v>
      </c>
      <c r="C358" s="61" t="s">
        <v>3772</v>
      </c>
      <c r="F358" s="14" t="s">
        <v>11</v>
      </c>
      <c r="G358" s="13">
        <v>1</v>
      </c>
      <c r="H358" s="14">
        <f t="shared" ref="H358" si="13">G358+I358</f>
        <v>1</v>
      </c>
      <c r="J358" s="14">
        <v>1</v>
      </c>
      <c r="K358" s="13" t="s">
        <v>1521</v>
      </c>
      <c r="Q358" s="14"/>
    </row>
    <row r="359" spans="1:17" x14ac:dyDescent="0.25">
      <c r="A359" s="11" t="s">
        <v>4921</v>
      </c>
      <c r="B359" s="13" t="s">
        <v>24</v>
      </c>
      <c r="C359" s="61" t="s">
        <v>5107</v>
      </c>
      <c r="F359" s="14" t="s">
        <v>11</v>
      </c>
      <c r="G359" s="13">
        <v>1</v>
      </c>
      <c r="H359" s="14">
        <f>G359+I359</f>
        <v>1</v>
      </c>
      <c r="J359" s="14">
        <v>1</v>
      </c>
      <c r="K359" s="13" t="s">
        <v>1521</v>
      </c>
      <c r="Q359" s="14"/>
    </row>
    <row r="360" spans="1:17" x14ac:dyDescent="0.25">
      <c r="A360" s="11" t="s">
        <v>4921</v>
      </c>
      <c r="C360" s="61" t="s">
        <v>281</v>
      </c>
      <c r="D360" s="13" t="s">
        <v>1940</v>
      </c>
      <c r="E360" s="14" t="s">
        <v>327</v>
      </c>
      <c r="F360" s="14" t="s">
        <v>11</v>
      </c>
      <c r="G360" s="13">
        <v>1</v>
      </c>
      <c r="H360" s="14">
        <f t="shared" si="11"/>
        <v>1</v>
      </c>
      <c r="J360" s="14">
        <v>1</v>
      </c>
      <c r="K360" s="13" t="s">
        <v>1639</v>
      </c>
    </row>
    <row r="361" spans="1:17" x14ac:dyDescent="0.25">
      <c r="A361" s="11" t="s">
        <v>4921</v>
      </c>
      <c r="C361" s="61" t="s">
        <v>1422</v>
      </c>
      <c r="E361" s="14" t="s">
        <v>1422</v>
      </c>
      <c r="F361" s="14" t="s">
        <v>11</v>
      </c>
      <c r="G361" s="13">
        <v>1</v>
      </c>
      <c r="H361" s="14">
        <f t="shared" si="11"/>
        <v>1</v>
      </c>
      <c r="J361" s="14">
        <v>1</v>
      </c>
      <c r="K361" s="13" t="s">
        <v>372</v>
      </c>
    </row>
    <row r="362" spans="1:17" x14ac:dyDescent="0.25">
      <c r="A362" s="11" t="s">
        <v>4921</v>
      </c>
      <c r="C362" s="61" t="s">
        <v>48</v>
      </c>
      <c r="D362" s="62"/>
      <c r="E362" s="62" t="s">
        <v>48</v>
      </c>
      <c r="F362" s="14" t="s">
        <v>11</v>
      </c>
      <c r="G362" s="13">
        <v>4</v>
      </c>
      <c r="H362" s="14">
        <f t="shared" si="11"/>
        <v>4</v>
      </c>
      <c r="J362" s="14">
        <v>4</v>
      </c>
      <c r="K362" s="13" t="s">
        <v>5102</v>
      </c>
    </row>
    <row r="363" spans="1:17" s="25" customFormat="1" ht="30" customHeight="1" x14ac:dyDescent="0.25">
      <c r="A363" s="11" t="s">
        <v>4921</v>
      </c>
      <c r="B363" s="26"/>
      <c r="C363" s="80" t="s">
        <v>11</v>
      </c>
      <c r="D363" s="26"/>
      <c r="F363" s="25" t="s">
        <v>11</v>
      </c>
      <c r="G363" s="26">
        <v>6</v>
      </c>
      <c r="H363" s="25">
        <f t="shared" si="11"/>
        <v>6</v>
      </c>
      <c r="J363" s="25">
        <v>6</v>
      </c>
      <c r="K363" s="26" t="s">
        <v>5223</v>
      </c>
      <c r="Q363" s="26"/>
    </row>
    <row r="364" spans="1:17" x14ac:dyDescent="0.25">
      <c r="A364" s="11" t="s">
        <v>4921</v>
      </c>
      <c r="C364" s="61" t="s">
        <v>844</v>
      </c>
      <c r="F364" s="14" t="s">
        <v>11</v>
      </c>
      <c r="G364" s="13">
        <v>1</v>
      </c>
      <c r="H364" s="14">
        <f t="shared" si="11"/>
        <v>1</v>
      </c>
      <c r="J364" s="14">
        <v>1</v>
      </c>
      <c r="K364" s="13" t="s">
        <v>32</v>
      </c>
    </row>
    <row r="365" spans="1:17" x14ac:dyDescent="0.25">
      <c r="A365" s="11" t="s">
        <v>4921</v>
      </c>
      <c r="C365" s="61" t="s">
        <v>255</v>
      </c>
      <c r="F365" s="14" t="s">
        <v>11</v>
      </c>
      <c r="G365" s="13">
        <v>4</v>
      </c>
      <c r="H365" s="14">
        <f t="shared" si="11"/>
        <v>4</v>
      </c>
      <c r="J365" s="14">
        <v>4</v>
      </c>
      <c r="K365" s="13" t="s">
        <v>5224</v>
      </c>
    </row>
    <row r="366" spans="1:17" x14ac:dyDescent="0.25">
      <c r="A366" s="11" t="s">
        <v>4921</v>
      </c>
      <c r="C366" s="61" t="s">
        <v>296</v>
      </c>
      <c r="F366" s="14" t="s">
        <v>11</v>
      </c>
      <c r="G366" s="13">
        <v>2</v>
      </c>
      <c r="H366" s="14">
        <f t="shared" si="11"/>
        <v>2</v>
      </c>
      <c r="J366" s="14">
        <v>2</v>
      </c>
      <c r="K366" s="13" t="s">
        <v>5225</v>
      </c>
    </row>
    <row r="367" spans="1:17" x14ac:dyDescent="0.25">
      <c r="A367" s="11" t="s">
        <v>4921</v>
      </c>
      <c r="C367" s="61" t="s">
        <v>259</v>
      </c>
      <c r="F367" s="14" t="s">
        <v>11</v>
      </c>
      <c r="G367" s="13">
        <v>2</v>
      </c>
      <c r="H367" s="14">
        <f t="shared" si="11"/>
        <v>2</v>
      </c>
      <c r="J367" s="14">
        <v>2</v>
      </c>
      <c r="K367" s="13" t="s">
        <v>4903</v>
      </c>
    </row>
    <row r="368" spans="1:17" x14ac:dyDescent="0.25">
      <c r="A368" s="11" t="s">
        <v>4921</v>
      </c>
      <c r="C368" s="61" t="s">
        <v>1882</v>
      </c>
      <c r="F368" s="14" t="s">
        <v>11</v>
      </c>
      <c r="G368" s="13">
        <v>1</v>
      </c>
      <c r="H368" s="14">
        <f>G368+I368</f>
        <v>1</v>
      </c>
      <c r="J368" s="14">
        <v>1</v>
      </c>
      <c r="K368" s="13" t="s">
        <v>372</v>
      </c>
    </row>
    <row r="369" spans="1:17" x14ac:dyDescent="0.25">
      <c r="A369" s="11" t="s">
        <v>4921</v>
      </c>
      <c r="C369" s="61" t="s">
        <v>1281</v>
      </c>
      <c r="F369" s="14" t="s">
        <v>11</v>
      </c>
      <c r="G369" s="13">
        <v>1</v>
      </c>
      <c r="H369" s="14">
        <f t="shared" si="11"/>
        <v>1</v>
      </c>
      <c r="J369" s="14">
        <v>1</v>
      </c>
      <c r="K369" s="13" t="s">
        <v>1535</v>
      </c>
    </row>
    <row r="370" spans="1:17" x14ac:dyDescent="0.25">
      <c r="A370" s="11" t="s">
        <v>4921</v>
      </c>
      <c r="C370" s="61" t="s">
        <v>512</v>
      </c>
      <c r="F370" s="14" t="s">
        <v>11</v>
      </c>
      <c r="G370" s="13">
        <v>2</v>
      </c>
      <c r="H370" s="14">
        <f t="shared" si="11"/>
        <v>2</v>
      </c>
      <c r="J370" s="14">
        <v>2</v>
      </c>
      <c r="K370" s="13" t="s">
        <v>1511</v>
      </c>
    </row>
    <row r="371" spans="1:17" x14ac:dyDescent="0.25">
      <c r="A371" s="11" t="s">
        <v>4921</v>
      </c>
      <c r="B371" s="13" t="s">
        <v>68</v>
      </c>
      <c r="C371" s="61" t="s">
        <v>4910</v>
      </c>
      <c r="D371" s="13" t="s">
        <v>4911</v>
      </c>
      <c r="F371" s="14" t="s">
        <v>11</v>
      </c>
      <c r="G371" s="13">
        <v>1</v>
      </c>
      <c r="H371" s="14">
        <f>G371+I371</f>
        <v>1</v>
      </c>
      <c r="J371" s="14">
        <v>1</v>
      </c>
      <c r="K371" s="13" t="s">
        <v>488</v>
      </c>
    </row>
    <row r="372" spans="1:17" x14ac:dyDescent="0.25">
      <c r="A372" s="11" t="s">
        <v>4921</v>
      </c>
      <c r="C372" s="61" t="s">
        <v>3230</v>
      </c>
      <c r="F372" s="14" t="s">
        <v>11</v>
      </c>
      <c r="G372" s="13">
        <v>2</v>
      </c>
      <c r="H372" s="14">
        <f>G372+I372</f>
        <v>2</v>
      </c>
      <c r="J372" s="14">
        <v>2</v>
      </c>
      <c r="K372" s="13" t="s">
        <v>4991</v>
      </c>
    </row>
    <row r="373" spans="1:17" x14ac:dyDescent="0.25">
      <c r="A373" s="11" t="s">
        <v>4921</v>
      </c>
      <c r="C373" s="61" t="s">
        <v>615</v>
      </c>
      <c r="F373" s="14" t="s">
        <v>11</v>
      </c>
      <c r="G373" s="13">
        <v>1</v>
      </c>
      <c r="H373" s="14">
        <f>G373+I373</f>
        <v>1</v>
      </c>
      <c r="J373" s="14">
        <v>1</v>
      </c>
      <c r="K373" s="13" t="s">
        <v>849</v>
      </c>
    </row>
    <row r="374" spans="1:17" x14ac:dyDescent="0.25">
      <c r="A374" s="11" t="s">
        <v>4921</v>
      </c>
      <c r="C374" s="61" t="s">
        <v>266</v>
      </c>
      <c r="F374" s="14" t="s">
        <v>11</v>
      </c>
      <c r="G374" s="13">
        <v>2</v>
      </c>
      <c r="H374" s="14">
        <f>G374+I374</f>
        <v>2</v>
      </c>
      <c r="J374" s="14">
        <v>2</v>
      </c>
      <c r="K374" s="13" t="s">
        <v>2639</v>
      </c>
    </row>
    <row r="375" spans="1:17" x14ac:dyDescent="0.25">
      <c r="A375" s="11" t="s">
        <v>4921</v>
      </c>
      <c r="B375" s="13" t="s">
        <v>266</v>
      </c>
      <c r="C375" s="61" t="s">
        <v>682</v>
      </c>
      <c r="D375" s="13" t="s">
        <v>1940</v>
      </c>
      <c r="E375" s="14" t="s">
        <v>683</v>
      </c>
      <c r="F375" s="14" t="s">
        <v>11</v>
      </c>
      <c r="G375" s="13">
        <v>3</v>
      </c>
      <c r="H375" s="14">
        <f t="shared" si="11"/>
        <v>3</v>
      </c>
      <c r="J375" s="14">
        <v>2</v>
      </c>
      <c r="K375" s="13" t="s">
        <v>5228</v>
      </c>
      <c r="Q375" s="14"/>
    </row>
    <row r="376" spans="1:17" x14ac:dyDescent="0.25">
      <c r="A376" s="11" t="s">
        <v>4921</v>
      </c>
      <c r="C376" s="61" t="s">
        <v>770</v>
      </c>
      <c r="E376" s="14" t="s">
        <v>683</v>
      </c>
      <c r="F376" s="14" t="s">
        <v>874</v>
      </c>
      <c r="G376" s="13">
        <v>8</v>
      </c>
      <c r="H376" s="14">
        <f t="shared" si="11"/>
        <v>8</v>
      </c>
      <c r="J376" s="14">
        <v>7</v>
      </c>
      <c r="K376" s="13" t="s">
        <v>5229</v>
      </c>
      <c r="Q376" s="14"/>
    </row>
    <row r="377" spans="1:17" x14ac:dyDescent="0.25">
      <c r="A377" s="11" t="s">
        <v>4921</v>
      </c>
      <c r="C377" s="61" t="s">
        <v>1798</v>
      </c>
      <c r="F377" s="14" t="s">
        <v>874</v>
      </c>
      <c r="G377" s="13">
        <v>1</v>
      </c>
      <c r="H377" s="14">
        <f t="shared" si="11"/>
        <v>1</v>
      </c>
      <c r="J377" s="14">
        <v>1</v>
      </c>
      <c r="K377" s="13" t="s">
        <v>4373</v>
      </c>
      <c r="Q377" s="14"/>
    </row>
    <row r="378" spans="1:17" x14ac:dyDescent="0.25">
      <c r="A378" s="11" t="s">
        <v>4921</v>
      </c>
      <c r="C378" s="61" t="s">
        <v>718</v>
      </c>
      <c r="D378" s="13" t="s">
        <v>833</v>
      </c>
      <c r="F378" s="14" t="s">
        <v>11</v>
      </c>
      <c r="G378" s="13">
        <v>2</v>
      </c>
      <c r="H378" s="14">
        <f t="shared" si="11"/>
        <v>2</v>
      </c>
      <c r="J378" s="14">
        <v>2</v>
      </c>
      <c r="K378" s="13" t="s">
        <v>5111</v>
      </c>
      <c r="Q378" s="14"/>
    </row>
    <row r="379" spans="1:17" x14ac:dyDescent="0.25">
      <c r="A379" s="11" t="s">
        <v>4921</v>
      </c>
      <c r="C379" s="61" t="s">
        <v>1682</v>
      </c>
      <c r="F379" s="14" t="s">
        <v>11</v>
      </c>
      <c r="G379" s="13">
        <v>1</v>
      </c>
      <c r="H379" s="14">
        <f t="shared" si="11"/>
        <v>1</v>
      </c>
      <c r="J379" s="14">
        <v>1</v>
      </c>
      <c r="K379" s="13" t="s">
        <v>541</v>
      </c>
      <c r="Q379" s="14"/>
    </row>
    <row r="380" spans="1:17" x14ac:dyDescent="0.25">
      <c r="A380" s="11" t="s">
        <v>4921</v>
      </c>
      <c r="C380" s="61" t="s">
        <v>742</v>
      </c>
      <c r="D380" s="13" t="s">
        <v>1057</v>
      </c>
      <c r="F380" s="14" t="s">
        <v>11</v>
      </c>
      <c r="G380" s="13">
        <v>1</v>
      </c>
      <c r="H380" s="14">
        <f t="shared" si="11"/>
        <v>1</v>
      </c>
      <c r="J380" s="14">
        <v>1</v>
      </c>
      <c r="K380" s="13" t="s">
        <v>4895</v>
      </c>
      <c r="Q380" s="14"/>
    </row>
    <row r="381" spans="1:17" x14ac:dyDescent="0.25">
      <c r="A381" s="11" t="s">
        <v>4921</v>
      </c>
      <c r="C381" s="61" t="s">
        <v>73</v>
      </c>
      <c r="D381" s="13" t="s">
        <v>1940</v>
      </c>
      <c r="E381" s="14" t="s">
        <v>73</v>
      </c>
      <c r="F381" s="14" t="s">
        <v>11</v>
      </c>
      <c r="G381" s="13">
        <v>1</v>
      </c>
      <c r="H381" s="14">
        <f t="shared" si="11"/>
        <v>1</v>
      </c>
      <c r="J381" s="14">
        <v>1</v>
      </c>
      <c r="K381" s="13" t="s">
        <v>1583</v>
      </c>
      <c r="Q381" s="14"/>
    </row>
    <row r="382" spans="1:17" x14ac:dyDescent="0.25">
      <c r="A382" s="11" t="s">
        <v>4921</v>
      </c>
      <c r="C382" s="61" t="s">
        <v>321</v>
      </c>
      <c r="D382" s="13" t="s">
        <v>5226</v>
      </c>
      <c r="E382" s="14" t="s">
        <v>683</v>
      </c>
      <c r="F382" s="14" t="s">
        <v>11</v>
      </c>
      <c r="G382" s="13">
        <v>1</v>
      </c>
      <c r="H382" s="14">
        <f>G382+I382</f>
        <v>1</v>
      </c>
      <c r="J382" s="14">
        <v>1</v>
      </c>
      <c r="K382" s="13" t="s">
        <v>4299</v>
      </c>
      <c r="Q382" s="14"/>
    </row>
    <row r="383" spans="1:17" x14ac:dyDescent="0.25">
      <c r="A383" s="11" t="s">
        <v>4921</v>
      </c>
      <c r="C383" s="61" t="s">
        <v>3229</v>
      </c>
      <c r="D383" s="13" t="s">
        <v>3230</v>
      </c>
      <c r="E383" s="14" t="s">
        <v>21</v>
      </c>
      <c r="F383" s="14" t="s">
        <v>11</v>
      </c>
      <c r="G383" s="13">
        <v>1</v>
      </c>
      <c r="H383" s="14">
        <f t="shared" ref="H383:H425" si="14">G383+I383</f>
        <v>1</v>
      </c>
      <c r="J383" s="14">
        <v>1</v>
      </c>
      <c r="K383" s="13" t="s">
        <v>3162</v>
      </c>
      <c r="Q383" s="14"/>
    </row>
    <row r="384" spans="1:17" ht="22.5" x14ac:dyDescent="0.25">
      <c r="A384" s="11" t="s">
        <v>4921</v>
      </c>
      <c r="C384" s="61" t="s">
        <v>21</v>
      </c>
      <c r="E384" s="14" t="s">
        <v>21</v>
      </c>
      <c r="F384" s="14" t="s">
        <v>11</v>
      </c>
      <c r="G384" s="13">
        <v>31</v>
      </c>
      <c r="H384" s="14">
        <f t="shared" si="14"/>
        <v>31</v>
      </c>
      <c r="J384" s="14">
        <v>20</v>
      </c>
      <c r="K384" s="13" t="s">
        <v>5227</v>
      </c>
      <c r="Q384" s="14"/>
    </row>
    <row r="385" spans="1:17" x14ac:dyDescent="0.25">
      <c r="A385" s="11" t="s">
        <v>4921</v>
      </c>
      <c r="C385" s="61" t="s">
        <v>3215</v>
      </c>
      <c r="E385" s="14" t="s">
        <v>21</v>
      </c>
      <c r="F385" s="14" t="s">
        <v>11</v>
      </c>
      <c r="G385" s="13">
        <v>1</v>
      </c>
      <c r="H385" s="14">
        <f t="shared" si="14"/>
        <v>1</v>
      </c>
      <c r="J385" s="14">
        <v>1</v>
      </c>
      <c r="K385" s="13" t="s">
        <v>2643</v>
      </c>
      <c r="Q385" s="14"/>
    </row>
    <row r="386" spans="1:17" x14ac:dyDescent="0.25">
      <c r="A386" s="11" t="s">
        <v>4921</v>
      </c>
      <c r="C386" s="61" t="s">
        <v>2074</v>
      </c>
      <c r="F386" s="14" t="s">
        <v>11</v>
      </c>
      <c r="G386" s="13">
        <v>1</v>
      </c>
      <c r="H386" s="14">
        <f t="shared" si="14"/>
        <v>1</v>
      </c>
      <c r="J386" s="14">
        <v>1</v>
      </c>
      <c r="K386" s="13" t="s">
        <v>44</v>
      </c>
      <c r="Q386" s="14"/>
    </row>
    <row r="387" spans="1:17" ht="22.5" x14ac:dyDescent="0.25">
      <c r="A387" s="11" t="s">
        <v>4921</v>
      </c>
      <c r="C387" s="61" t="s">
        <v>2673</v>
      </c>
      <c r="F387" s="13" t="s">
        <v>1104</v>
      </c>
      <c r="G387" s="13">
        <v>1</v>
      </c>
      <c r="H387" s="14">
        <f t="shared" si="14"/>
        <v>1</v>
      </c>
      <c r="J387" s="14">
        <v>1</v>
      </c>
      <c r="K387" s="13" t="s">
        <v>1521</v>
      </c>
    </row>
    <row r="388" spans="1:17" ht="22.5" x14ac:dyDescent="0.25">
      <c r="A388" s="11" t="s">
        <v>4921</v>
      </c>
      <c r="C388" s="61" t="s">
        <v>719</v>
      </c>
      <c r="F388" s="13" t="s">
        <v>1341</v>
      </c>
      <c r="G388" s="13">
        <v>1</v>
      </c>
      <c r="H388" s="14">
        <f t="shared" si="14"/>
        <v>1</v>
      </c>
      <c r="J388" s="14">
        <v>1</v>
      </c>
      <c r="K388" s="13" t="s">
        <v>372</v>
      </c>
    </row>
    <row r="389" spans="1:17" x14ac:dyDescent="0.25">
      <c r="A389" s="11" t="s">
        <v>4921</v>
      </c>
      <c r="C389" s="61" t="s">
        <v>4414</v>
      </c>
      <c r="D389" s="13" t="s">
        <v>1940</v>
      </c>
      <c r="F389" s="13" t="s">
        <v>11</v>
      </c>
      <c r="G389" s="13">
        <v>1</v>
      </c>
      <c r="H389" s="14">
        <f t="shared" si="14"/>
        <v>1</v>
      </c>
      <c r="J389" s="14">
        <v>1</v>
      </c>
      <c r="K389" s="13" t="s">
        <v>2833</v>
      </c>
    </row>
    <row r="390" spans="1:17" x14ac:dyDescent="0.25">
      <c r="A390" s="11" t="s">
        <v>4921</v>
      </c>
      <c r="C390" s="61" t="s">
        <v>69</v>
      </c>
      <c r="D390" s="13" t="s">
        <v>1940</v>
      </c>
      <c r="F390" s="13" t="s">
        <v>11</v>
      </c>
      <c r="G390" s="13">
        <v>2</v>
      </c>
      <c r="H390" s="14">
        <f t="shared" si="14"/>
        <v>2</v>
      </c>
      <c r="J390" s="14">
        <v>1</v>
      </c>
      <c r="K390" s="13" t="s">
        <v>846</v>
      </c>
    </row>
    <row r="391" spans="1:17" ht="22.5" x14ac:dyDescent="0.25">
      <c r="A391" s="11" t="s">
        <v>4921</v>
      </c>
      <c r="C391" s="61" t="s">
        <v>4060</v>
      </c>
      <c r="D391" s="13" t="s">
        <v>3143</v>
      </c>
      <c r="F391" s="13" t="s">
        <v>1104</v>
      </c>
      <c r="G391" s="13">
        <v>18</v>
      </c>
      <c r="H391" s="14">
        <f t="shared" si="14"/>
        <v>18</v>
      </c>
      <c r="J391" s="14">
        <v>13</v>
      </c>
      <c r="K391" s="13" t="s">
        <v>5230</v>
      </c>
    </row>
    <row r="392" spans="1:17" s="25" customFormat="1" ht="37.5" customHeight="1" x14ac:dyDescent="0.25">
      <c r="A392" s="11" t="s">
        <v>4921</v>
      </c>
      <c r="B392" s="26"/>
      <c r="C392" s="80" t="s">
        <v>56</v>
      </c>
      <c r="D392" s="26"/>
      <c r="F392" s="25" t="s">
        <v>56</v>
      </c>
      <c r="G392" s="26">
        <v>4</v>
      </c>
      <c r="H392" s="25">
        <f t="shared" si="14"/>
        <v>4</v>
      </c>
      <c r="J392" s="25">
        <v>4</v>
      </c>
      <c r="K392" s="26" t="s">
        <v>5104</v>
      </c>
      <c r="Q392" s="26"/>
    </row>
    <row r="393" spans="1:17" x14ac:dyDescent="0.25">
      <c r="A393" s="11" t="s">
        <v>4921</v>
      </c>
      <c r="C393" s="61" t="s">
        <v>629</v>
      </c>
      <c r="D393" s="13" t="s">
        <v>1105</v>
      </c>
      <c r="E393" s="14" t="s">
        <v>1143</v>
      </c>
      <c r="F393" s="14" t="s">
        <v>56</v>
      </c>
      <c r="G393" s="13">
        <v>1</v>
      </c>
      <c r="H393" s="14">
        <f>G393+I393</f>
        <v>1</v>
      </c>
      <c r="J393" s="14">
        <v>1</v>
      </c>
      <c r="K393" s="13" t="s">
        <v>846</v>
      </c>
    </row>
    <row r="394" spans="1:17" x14ac:dyDescent="0.25">
      <c r="A394" s="11" t="s">
        <v>4921</v>
      </c>
      <c r="C394" s="61" t="s">
        <v>253</v>
      </c>
      <c r="E394" s="14" t="s">
        <v>683</v>
      </c>
      <c r="F394" s="14" t="s">
        <v>56</v>
      </c>
      <c r="G394" s="13">
        <v>2</v>
      </c>
      <c r="H394" s="14">
        <f t="shared" si="14"/>
        <v>2</v>
      </c>
      <c r="J394" s="14">
        <v>2</v>
      </c>
      <c r="K394" s="13" t="s">
        <v>5105</v>
      </c>
      <c r="Q394" s="14"/>
    </row>
    <row r="395" spans="1:17" x14ac:dyDescent="0.25">
      <c r="A395" s="11" t="s">
        <v>4921</v>
      </c>
      <c r="C395" s="61" t="s">
        <v>254</v>
      </c>
      <c r="F395" s="14" t="s">
        <v>56</v>
      </c>
      <c r="G395" s="13">
        <v>2</v>
      </c>
      <c r="H395" s="14">
        <f t="shared" si="14"/>
        <v>2</v>
      </c>
      <c r="J395" s="14">
        <v>2</v>
      </c>
      <c r="K395" s="13" t="s">
        <v>4982</v>
      </c>
      <c r="Q395" s="14"/>
    </row>
    <row r="396" spans="1:17" x14ac:dyDescent="0.25">
      <c r="A396" s="11" t="s">
        <v>4921</v>
      </c>
      <c r="C396" s="61" t="s">
        <v>254</v>
      </c>
      <c r="D396" s="13" t="s">
        <v>1105</v>
      </c>
      <c r="F396" s="14" t="s">
        <v>56</v>
      </c>
      <c r="G396" s="13">
        <v>2</v>
      </c>
      <c r="H396" s="14">
        <f>G396+I396</f>
        <v>2</v>
      </c>
      <c r="J396" s="14">
        <v>2</v>
      </c>
      <c r="K396" s="13" t="s">
        <v>4989</v>
      </c>
      <c r="Q396" s="14"/>
    </row>
    <row r="397" spans="1:17" x14ac:dyDescent="0.25">
      <c r="A397" s="11" t="s">
        <v>4921</v>
      </c>
      <c r="B397" s="13" t="s">
        <v>57</v>
      </c>
      <c r="C397" s="61" t="s">
        <v>950</v>
      </c>
      <c r="D397" s="13" t="s">
        <v>1940</v>
      </c>
      <c r="E397" s="13" t="s">
        <v>57</v>
      </c>
      <c r="F397" s="14" t="s">
        <v>56</v>
      </c>
      <c r="G397" s="13">
        <v>2</v>
      </c>
      <c r="H397" s="14">
        <f t="shared" si="14"/>
        <v>2</v>
      </c>
      <c r="J397" s="14">
        <v>2</v>
      </c>
      <c r="K397" s="13" t="s">
        <v>5106</v>
      </c>
      <c r="Q397" s="14"/>
    </row>
    <row r="398" spans="1:17" x14ac:dyDescent="0.25">
      <c r="A398" s="11" t="s">
        <v>4921</v>
      </c>
      <c r="B398" s="13" t="s">
        <v>57</v>
      </c>
      <c r="C398" s="61" t="s">
        <v>183</v>
      </c>
      <c r="E398" s="13" t="s">
        <v>1096</v>
      </c>
      <c r="F398" s="14" t="s">
        <v>56</v>
      </c>
      <c r="G398" s="13">
        <v>1</v>
      </c>
      <c r="H398" s="14">
        <f>G398+I398</f>
        <v>1</v>
      </c>
      <c r="J398" s="14">
        <v>1</v>
      </c>
      <c r="K398" s="13" t="s">
        <v>476</v>
      </c>
      <c r="Q398" s="14"/>
    </row>
    <row r="399" spans="1:17" x14ac:dyDescent="0.25">
      <c r="A399" s="11" t="s">
        <v>4921</v>
      </c>
      <c r="C399" s="61" t="s">
        <v>2342</v>
      </c>
      <c r="E399" s="13" t="s">
        <v>2616</v>
      </c>
      <c r="F399" s="14" t="s">
        <v>56</v>
      </c>
      <c r="G399" s="13">
        <v>1</v>
      </c>
      <c r="H399" s="14">
        <f t="shared" si="14"/>
        <v>1</v>
      </c>
      <c r="J399" s="14">
        <v>1</v>
      </c>
      <c r="K399" s="13" t="s">
        <v>846</v>
      </c>
      <c r="Q399" s="14"/>
    </row>
    <row r="400" spans="1:17" x14ac:dyDescent="0.25">
      <c r="A400" s="11" t="s">
        <v>4921</v>
      </c>
      <c r="B400" s="13" t="s">
        <v>186</v>
      </c>
      <c r="C400" s="61" t="s">
        <v>554</v>
      </c>
      <c r="F400" s="14" t="s">
        <v>56</v>
      </c>
      <c r="G400" s="13">
        <v>2</v>
      </c>
      <c r="H400" s="14">
        <f>G400+I400</f>
        <v>2</v>
      </c>
      <c r="J400" s="14">
        <v>2</v>
      </c>
      <c r="K400" s="13" t="s">
        <v>5121</v>
      </c>
      <c r="Q400" s="14"/>
    </row>
    <row r="401" spans="1:17" x14ac:dyDescent="0.25">
      <c r="A401" s="11" t="s">
        <v>4921</v>
      </c>
      <c r="B401" s="13" t="s">
        <v>593</v>
      </c>
      <c r="D401" s="13" t="s">
        <v>1940</v>
      </c>
      <c r="F401" s="14" t="s">
        <v>56</v>
      </c>
      <c r="G401" s="13">
        <v>4</v>
      </c>
      <c r="H401" s="14">
        <f>G401+I401</f>
        <v>4</v>
      </c>
      <c r="J401" s="14">
        <v>4</v>
      </c>
      <c r="K401" s="13" t="s">
        <v>5084</v>
      </c>
    </row>
    <row r="402" spans="1:17" x14ac:dyDescent="0.25">
      <c r="A402" s="11" t="s">
        <v>4921</v>
      </c>
      <c r="B402" s="13" t="s">
        <v>161</v>
      </c>
      <c r="C402" s="61" t="s">
        <v>301</v>
      </c>
      <c r="D402" s="13" t="s">
        <v>1940</v>
      </c>
      <c r="F402" s="14" t="s">
        <v>56</v>
      </c>
      <c r="G402" s="13">
        <v>2</v>
      </c>
      <c r="H402" s="14">
        <f t="shared" si="14"/>
        <v>2</v>
      </c>
      <c r="J402" s="14">
        <v>2</v>
      </c>
      <c r="K402" s="13" t="s">
        <v>5003</v>
      </c>
    </row>
    <row r="403" spans="1:17" x14ac:dyDescent="0.25">
      <c r="A403" s="11" t="s">
        <v>4921</v>
      </c>
      <c r="B403" s="13" t="s">
        <v>161</v>
      </c>
      <c r="C403" s="61" t="s">
        <v>225</v>
      </c>
      <c r="E403" s="14" t="s">
        <v>4101</v>
      </c>
      <c r="F403" s="14" t="s">
        <v>56</v>
      </c>
      <c r="G403" s="13">
        <v>2</v>
      </c>
      <c r="H403" s="14">
        <f t="shared" si="14"/>
        <v>2</v>
      </c>
      <c r="J403" s="14">
        <v>2</v>
      </c>
      <c r="K403" s="13" t="s">
        <v>4959</v>
      </c>
    </row>
    <row r="404" spans="1:17" x14ac:dyDescent="0.25">
      <c r="A404" s="11" t="s">
        <v>4921</v>
      </c>
      <c r="B404" s="13" t="s">
        <v>66</v>
      </c>
      <c r="C404" s="61" t="s">
        <v>274</v>
      </c>
      <c r="F404" s="14" t="s">
        <v>56</v>
      </c>
      <c r="G404" s="13">
        <v>5</v>
      </c>
      <c r="H404" s="14">
        <f t="shared" si="14"/>
        <v>5</v>
      </c>
      <c r="J404" s="14">
        <v>5</v>
      </c>
      <c r="K404" s="13" t="s">
        <v>4988</v>
      </c>
    </row>
    <row r="405" spans="1:17" ht="22.5" x14ac:dyDescent="0.25">
      <c r="A405" s="11" t="s">
        <v>4921</v>
      </c>
      <c r="B405" s="13" t="s">
        <v>161</v>
      </c>
      <c r="C405" s="61" t="s">
        <v>4981</v>
      </c>
      <c r="E405" s="14" t="s">
        <v>254</v>
      </c>
      <c r="F405" s="14" t="s">
        <v>56</v>
      </c>
      <c r="G405" s="13">
        <v>2</v>
      </c>
      <c r="H405" s="14">
        <f t="shared" si="14"/>
        <v>2</v>
      </c>
      <c r="J405" s="14">
        <v>2</v>
      </c>
      <c r="K405" s="13" t="s">
        <v>5122</v>
      </c>
    </row>
    <row r="406" spans="1:17" x14ac:dyDescent="0.25">
      <c r="A406" s="11" t="s">
        <v>4921</v>
      </c>
      <c r="B406" s="13" t="s">
        <v>3018</v>
      </c>
      <c r="C406" s="61" t="s">
        <v>3017</v>
      </c>
      <c r="F406" s="14" t="s">
        <v>56</v>
      </c>
      <c r="G406" s="13">
        <v>1</v>
      </c>
      <c r="H406" s="14">
        <f t="shared" si="14"/>
        <v>1</v>
      </c>
      <c r="J406" s="14">
        <v>1</v>
      </c>
      <c r="K406" s="13" t="s">
        <v>866</v>
      </c>
    </row>
    <row r="407" spans="1:17" s="25" customFormat="1" ht="29.25" customHeight="1" x14ac:dyDescent="0.25">
      <c r="A407" s="11" t="s">
        <v>4921</v>
      </c>
      <c r="B407" s="26"/>
      <c r="C407" s="80" t="s">
        <v>35</v>
      </c>
      <c r="D407" s="26"/>
      <c r="F407" s="25" t="s">
        <v>35</v>
      </c>
      <c r="G407" s="26">
        <v>17</v>
      </c>
      <c r="H407" s="25">
        <f t="shared" si="14"/>
        <v>17</v>
      </c>
      <c r="J407" s="25">
        <v>12</v>
      </c>
      <c r="K407" s="26" t="s">
        <v>5231</v>
      </c>
    </row>
    <row r="408" spans="1:17" ht="22.5" x14ac:dyDescent="0.25">
      <c r="A408" s="11" t="s">
        <v>4921</v>
      </c>
      <c r="C408" s="61" t="s">
        <v>4796</v>
      </c>
      <c r="D408" s="13" t="s">
        <v>2642</v>
      </c>
      <c r="F408" s="13" t="s">
        <v>1905</v>
      </c>
      <c r="G408" s="13">
        <v>28</v>
      </c>
      <c r="H408" s="14">
        <f t="shared" si="14"/>
        <v>28</v>
      </c>
      <c r="J408" s="14">
        <v>9</v>
      </c>
      <c r="K408" s="13" t="s">
        <v>5109</v>
      </c>
    </row>
    <row r="409" spans="1:17" x14ac:dyDescent="0.25">
      <c r="A409" s="11" t="s">
        <v>4921</v>
      </c>
      <c r="C409" s="61" t="s">
        <v>1360</v>
      </c>
      <c r="F409" s="14" t="s">
        <v>35</v>
      </c>
      <c r="G409" s="13">
        <v>2</v>
      </c>
      <c r="H409" s="14">
        <f t="shared" si="14"/>
        <v>2</v>
      </c>
      <c r="J409" s="14">
        <v>2</v>
      </c>
      <c r="K409" s="13" t="s">
        <v>4904</v>
      </c>
      <c r="Q409" s="14"/>
    </row>
    <row r="410" spans="1:17" x14ac:dyDescent="0.25">
      <c r="A410" s="11" t="s">
        <v>4921</v>
      </c>
      <c r="C410" s="61" t="s">
        <v>744</v>
      </c>
      <c r="E410" s="14" t="s">
        <v>744</v>
      </c>
      <c r="F410" s="14" t="s">
        <v>35</v>
      </c>
      <c r="G410" s="13">
        <v>2</v>
      </c>
      <c r="H410" s="14">
        <f t="shared" si="14"/>
        <v>2</v>
      </c>
      <c r="J410" s="14">
        <v>1</v>
      </c>
      <c r="K410" s="13" t="s">
        <v>2901</v>
      </c>
      <c r="Q410" s="14"/>
    </row>
    <row r="411" spans="1:17" x14ac:dyDescent="0.25">
      <c r="A411" s="11" t="s">
        <v>4921</v>
      </c>
      <c r="C411" s="61" t="s">
        <v>5093</v>
      </c>
      <c r="E411" s="14" t="s">
        <v>744</v>
      </c>
      <c r="F411" s="14" t="s">
        <v>35</v>
      </c>
      <c r="G411" s="13">
        <v>1</v>
      </c>
      <c r="H411" s="14">
        <f>G411+I411</f>
        <v>1</v>
      </c>
      <c r="J411" s="14">
        <v>1</v>
      </c>
      <c r="K411" s="13" t="s">
        <v>2901</v>
      </c>
      <c r="Q411" s="14"/>
    </row>
    <row r="412" spans="1:17" x14ac:dyDescent="0.25">
      <c r="A412" s="11" t="s">
        <v>4921</v>
      </c>
      <c r="C412" s="61" t="s">
        <v>5094</v>
      </c>
      <c r="F412" s="14" t="s">
        <v>35</v>
      </c>
      <c r="G412" s="13">
        <v>1</v>
      </c>
      <c r="H412" s="14">
        <f>G412+I412</f>
        <v>1</v>
      </c>
      <c r="J412" s="14">
        <v>1</v>
      </c>
      <c r="K412" s="13" t="s">
        <v>2901</v>
      </c>
      <c r="Q412" s="14"/>
    </row>
    <row r="413" spans="1:17" x14ac:dyDescent="0.25">
      <c r="A413" s="11" t="s">
        <v>4921</v>
      </c>
      <c r="B413" s="13" t="s">
        <v>231</v>
      </c>
      <c r="D413" s="13" t="s">
        <v>1940</v>
      </c>
      <c r="F413" s="14" t="s">
        <v>35</v>
      </c>
      <c r="G413" s="13">
        <v>5</v>
      </c>
      <c r="H413" s="14">
        <f t="shared" si="14"/>
        <v>5</v>
      </c>
      <c r="J413" s="14">
        <v>5</v>
      </c>
      <c r="K413" s="13" t="s">
        <v>5233</v>
      </c>
      <c r="Q413" s="14"/>
    </row>
    <row r="414" spans="1:17" x14ac:dyDescent="0.25">
      <c r="A414" s="11" t="s">
        <v>4921</v>
      </c>
      <c r="B414" s="13" t="s">
        <v>231</v>
      </c>
      <c r="C414" s="61" t="s">
        <v>5245</v>
      </c>
      <c r="F414" s="14" t="s">
        <v>35</v>
      </c>
      <c r="G414" s="13">
        <v>1</v>
      </c>
      <c r="H414" s="14">
        <f>G414+I414</f>
        <v>1</v>
      </c>
      <c r="J414" s="14">
        <v>1</v>
      </c>
      <c r="K414" s="13" t="s">
        <v>4331</v>
      </c>
      <c r="Q414" s="14"/>
    </row>
    <row r="415" spans="1:17" x14ac:dyDescent="0.25">
      <c r="A415" s="11" t="s">
        <v>4921</v>
      </c>
      <c r="C415" s="61" t="s">
        <v>1898</v>
      </c>
      <c r="F415" s="14" t="s">
        <v>35</v>
      </c>
      <c r="G415" s="13">
        <v>1</v>
      </c>
      <c r="H415" s="14">
        <f>G415+I415</f>
        <v>1</v>
      </c>
      <c r="J415" s="14">
        <v>1</v>
      </c>
      <c r="K415" s="13" t="s">
        <v>4889</v>
      </c>
      <c r="Q415" s="14"/>
    </row>
    <row r="416" spans="1:17" x14ac:dyDescent="0.25">
      <c r="A416" s="11" t="s">
        <v>4921</v>
      </c>
      <c r="C416" s="61" t="s">
        <v>1942</v>
      </c>
      <c r="F416" s="14" t="s">
        <v>35</v>
      </c>
      <c r="G416" s="13">
        <v>1</v>
      </c>
      <c r="H416" s="14">
        <f>G416+I416</f>
        <v>1</v>
      </c>
      <c r="J416" s="14">
        <v>1</v>
      </c>
      <c r="K416" s="13" t="s">
        <v>2292</v>
      </c>
      <c r="Q416" s="14"/>
    </row>
    <row r="417" spans="1:17" ht="22.5" x14ac:dyDescent="0.25">
      <c r="A417" s="11" t="s">
        <v>4921</v>
      </c>
      <c r="C417" s="61" t="s">
        <v>3999</v>
      </c>
      <c r="E417" s="13" t="s">
        <v>258</v>
      </c>
      <c r="F417" s="14" t="s">
        <v>35</v>
      </c>
      <c r="G417" s="13">
        <v>2</v>
      </c>
      <c r="H417" s="14">
        <f>G417+I417</f>
        <v>2</v>
      </c>
      <c r="J417" s="14">
        <v>2</v>
      </c>
      <c r="K417" s="13" t="s">
        <v>5237</v>
      </c>
      <c r="Q417" s="14"/>
    </row>
    <row r="418" spans="1:17" ht="22.5" x14ac:dyDescent="0.25">
      <c r="A418" s="11" t="s">
        <v>4921</v>
      </c>
      <c r="C418" s="61" t="s">
        <v>256</v>
      </c>
      <c r="D418" s="13" t="s">
        <v>813</v>
      </c>
      <c r="E418" s="13" t="s">
        <v>258</v>
      </c>
      <c r="F418" s="14" t="s">
        <v>35</v>
      </c>
      <c r="G418" s="13">
        <v>7</v>
      </c>
      <c r="H418" s="14">
        <f t="shared" si="14"/>
        <v>7</v>
      </c>
      <c r="J418" s="14">
        <v>5</v>
      </c>
      <c r="K418" s="13" t="s">
        <v>5085</v>
      </c>
      <c r="Q418" s="14"/>
    </row>
    <row r="419" spans="1:17" x14ac:dyDescent="0.25">
      <c r="A419" s="11" t="s">
        <v>4921</v>
      </c>
      <c r="C419" s="61" t="s">
        <v>5090</v>
      </c>
      <c r="D419" s="13" t="s">
        <v>683</v>
      </c>
      <c r="E419" s="13" t="s">
        <v>3135</v>
      </c>
      <c r="F419" s="14" t="s">
        <v>35</v>
      </c>
      <c r="G419" s="13">
        <v>1</v>
      </c>
      <c r="H419" s="14">
        <f>G419+I419</f>
        <v>1</v>
      </c>
      <c r="J419" s="14">
        <v>1</v>
      </c>
      <c r="K419" s="13" t="s">
        <v>2901</v>
      </c>
      <c r="Q419" s="14"/>
    </row>
    <row r="420" spans="1:17" x14ac:dyDescent="0.25">
      <c r="A420" s="11" t="s">
        <v>4921</v>
      </c>
      <c r="C420" s="61" t="s">
        <v>5090</v>
      </c>
      <c r="E420" s="13" t="s">
        <v>3135</v>
      </c>
      <c r="F420" s="14" t="s">
        <v>35</v>
      </c>
      <c r="G420" s="13">
        <v>1</v>
      </c>
      <c r="H420" s="14">
        <f t="shared" si="14"/>
        <v>1</v>
      </c>
      <c r="J420" s="14">
        <v>1</v>
      </c>
      <c r="K420" s="13" t="s">
        <v>1262</v>
      </c>
      <c r="Q420" s="14"/>
    </row>
    <row r="421" spans="1:17" x14ac:dyDescent="0.25">
      <c r="A421" s="11" t="s">
        <v>4921</v>
      </c>
      <c r="C421" s="61" t="s">
        <v>5091</v>
      </c>
      <c r="E421" s="13" t="s">
        <v>5090</v>
      </c>
      <c r="F421" s="14" t="s">
        <v>35</v>
      </c>
      <c r="G421" s="13">
        <v>1</v>
      </c>
      <c r="H421" s="14">
        <f>G421+I421</f>
        <v>1</v>
      </c>
      <c r="J421" s="14">
        <v>1</v>
      </c>
      <c r="K421" s="13" t="s">
        <v>1234</v>
      </c>
      <c r="Q421" s="14"/>
    </row>
    <row r="422" spans="1:17" x14ac:dyDescent="0.25">
      <c r="A422" s="11" t="s">
        <v>4921</v>
      </c>
      <c r="C422" s="61" t="s">
        <v>4287</v>
      </c>
      <c r="E422" s="13" t="s">
        <v>3135</v>
      </c>
      <c r="F422" s="14" t="s">
        <v>35</v>
      </c>
      <c r="G422" s="13">
        <v>4</v>
      </c>
      <c r="H422" s="14">
        <f t="shared" si="14"/>
        <v>4</v>
      </c>
      <c r="J422" s="14">
        <v>3</v>
      </c>
      <c r="K422" s="13" t="s">
        <v>5232</v>
      </c>
      <c r="Q422" s="14"/>
    </row>
    <row r="423" spans="1:17" x14ac:dyDescent="0.25">
      <c r="A423" s="11" t="s">
        <v>4921</v>
      </c>
      <c r="C423" s="61" t="s">
        <v>714</v>
      </c>
      <c r="E423" s="13" t="s">
        <v>3135</v>
      </c>
      <c r="F423" s="14" t="s">
        <v>35</v>
      </c>
      <c r="G423" s="13">
        <v>1</v>
      </c>
      <c r="H423" s="14">
        <f>G423+I423</f>
        <v>1</v>
      </c>
      <c r="J423" s="14">
        <v>1</v>
      </c>
      <c r="K423" s="13" t="s">
        <v>4332</v>
      </c>
      <c r="Q423" s="14"/>
    </row>
    <row r="424" spans="1:17" x14ac:dyDescent="0.25">
      <c r="A424" s="11" t="s">
        <v>4921</v>
      </c>
      <c r="C424" s="61" t="s">
        <v>5081</v>
      </c>
      <c r="E424" s="13" t="s">
        <v>4287</v>
      </c>
      <c r="F424" s="14" t="s">
        <v>35</v>
      </c>
      <c r="G424" s="13">
        <v>1</v>
      </c>
      <c r="H424" s="14">
        <f>G424+I424</f>
        <v>1</v>
      </c>
      <c r="J424" s="14">
        <v>1</v>
      </c>
      <c r="K424" s="13" t="s">
        <v>3147</v>
      </c>
      <c r="Q424" s="14"/>
    </row>
    <row r="425" spans="1:17" x14ac:dyDescent="0.25">
      <c r="A425" s="11" t="s">
        <v>4921</v>
      </c>
      <c r="C425" s="61" t="s">
        <v>307</v>
      </c>
      <c r="E425" s="13"/>
      <c r="F425" s="14" t="s">
        <v>35</v>
      </c>
      <c r="G425" s="13">
        <v>5</v>
      </c>
      <c r="H425" s="14">
        <f t="shared" si="14"/>
        <v>5</v>
      </c>
      <c r="J425" s="14">
        <v>3</v>
      </c>
      <c r="K425" s="13" t="s">
        <v>5246</v>
      </c>
      <c r="Q425" s="14"/>
    </row>
    <row r="426" spans="1:17" x14ac:dyDescent="0.25">
      <c r="A426" s="11" t="s">
        <v>4921</v>
      </c>
      <c r="C426" s="61" t="s">
        <v>257</v>
      </c>
      <c r="F426" s="14" t="s">
        <v>35</v>
      </c>
      <c r="G426" s="13">
        <v>3</v>
      </c>
      <c r="H426" s="14">
        <f t="shared" ref="H426:H496" si="15">G426+I426</f>
        <v>3</v>
      </c>
      <c r="J426" s="14">
        <v>2</v>
      </c>
      <c r="K426" s="13" t="s">
        <v>2899</v>
      </c>
      <c r="Q426" s="14"/>
    </row>
    <row r="427" spans="1:17" x14ac:dyDescent="0.25">
      <c r="A427" s="11" t="s">
        <v>4921</v>
      </c>
      <c r="C427" s="61" t="s">
        <v>471</v>
      </c>
      <c r="E427" s="14" t="s">
        <v>86</v>
      </c>
      <c r="F427" s="14" t="s">
        <v>35</v>
      </c>
      <c r="G427" s="13">
        <v>6</v>
      </c>
      <c r="H427" s="14">
        <f t="shared" si="15"/>
        <v>6</v>
      </c>
      <c r="J427" s="14">
        <v>6</v>
      </c>
      <c r="K427" s="13" t="s">
        <v>5247</v>
      </c>
      <c r="Q427" s="14"/>
    </row>
    <row r="428" spans="1:17" x14ac:dyDescent="0.25">
      <c r="A428" s="11" t="s">
        <v>4921</v>
      </c>
      <c r="C428" s="61" t="s">
        <v>260</v>
      </c>
      <c r="F428" s="14" t="s">
        <v>35</v>
      </c>
      <c r="G428" s="13">
        <v>1</v>
      </c>
      <c r="H428" s="14">
        <f t="shared" si="15"/>
        <v>1</v>
      </c>
      <c r="J428" s="14">
        <v>1</v>
      </c>
      <c r="K428" s="13" t="s">
        <v>578</v>
      </c>
      <c r="Q428" s="14"/>
    </row>
    <row r="429" spans="1:17" x14ac:dyDescent="0.25">
      <c r="A429" s="11" t="s">
        <v>4921</v>
      </c>
      <c r="C429" s="61" t="s">
        <v>5234</v>
      </c>
      <c r="F429" s="14" t="s">
        <v>35</v>
      </c>
      <c r="G429" s="13">
        <v>2</v>
      </c>
      <c r="H429" s="14">
        <f>G429+I429</f>
        <v>2</v>
      </c>
      <c r="J429" s="14">
        <v>2</v>
      </c>
      <c r="K429" s="13" t="s">
        <v>5235</v>
      </c>
      <c r="Q429" s="14"/>
    </row>
    <row r="430" spans="1:17" x14ac:dyDescent="0.25">
      <c r="A430" s="11" t="s">
        <v>4921</v>
      </c>
      <c r="C430" s="61" t="s">
        <v>737</v>
      </c>
      <c r="F430" s="14" t="s">
        <v>35</v>
      </c>
      <c r="G430" s="13">
        <v>1</v>
      </c>
      <c r="H430" s="14">
        <f t="shared" si="15"/>
        <v>1</v>
      </c>
      <c r="J430" s="14">
        <v>1</v>
      </c>
      <c r="K430" s="13" t="s">
        <v>2292</v>
      </c>
      <c r="Q430" s="14"/>
    </row>
    <row r="431" spans="1:17" x14ac:dyDescent="0.25">
      <c r="A431" s="11" t="s">
        <v>4921</v>
      </c>
      <c r="C431" s="61" t="s">
        <v>4983</v>
      </c>
      <c r="F431" s="14" t="s">
        <v>35</v>
      </c>
      <c r="G431" s="13">
        <v>2</v>
      </c>
      <c r="H431" s="14">
        <f>G431+I431</f>
        <v>2</v>
      </c>
      <c r="J431" s="14">
        <v>2</v>
      </c>
      <c r="K431" s="13" t="s">
        <v>4984</v>
      </c>
      <c r="Q431" s="14"/>
    </row>
    <row r="432" spans="1:17" x14ac:dyDescent="0.25">
      <c r="A432" s="11" t="s">
        <v>4921</v>
      </c>
      <c r="D432" s="13" t="s">
        <v>1015</v>
      </c>
      <c r="F432" s="13" t="s">
        <v>35</v>
      </c>
      <c r="G432" s="13">
        <v>15</v>
      </c>
      <c r="H432" s="14">
        <f t="shared" si="15"/>
        <v>15</v>
      </c>
      <c r="J432" s="14">
        <v>10</v>
      </c>
      <c r="K432" s="13" t="s">
        <v>5236</v>
      </c>
      <c r="Q432" s="14"/>
    </row>
    <row r="433" spans="1:17" ht="33.75" x14ac:dyDescent="0.25">
      <c r="A433" s="11" t="s">
        <v>4921</v>
      </c>
      <c r="C433" s="61" t="s">
        <v>3151</v>
      </c>
      <c r="D433" s="13" t="s">
        <v>2419</v>
      </c>
      <c r="F433" s="13" t="s">
        <v>3152</v>
      </c>
      <c r="G433" s="13">
        <v>1</v>
      </c>
      <c r="H433" s="14">
        <f t="shared" si="15"/>
        <v>1</v>
      </c>
      <c r="J433" s="14">
        <v>1</v>
      </c>
      <c r="K433" s="13" t="s">
        <v>1195</v>
      </c>
      <c r="Q433" s="14"/>
    </row>
    <row r="434" spans="1:17" x14ac:dyDescent="0.25">
      <c r="A434" s="11" t="s">
        <v>4921</v>
      </c>
      <c r="C434" s="61" t="s">
        <v>1943</v>
      </c>
      <c r="F434" s="13" t="s">
        <v>35</v>
      </c>
      <c r="G434" s="13">
        <v>2</v>
      </c>
      <c r="H434" s="14">
        <f t="shared" si="15"/>
        <v>2</v>
      </c>
      <c r="J434" s="14">
        <v>2</v>
      </c>
      <c r="K434" s="13" t="s">
        <v>4993</v>
      </c>
      <c r="Q434" s="14"/>
    </row>
    <row r="435" spans="1:17" ht="22.5" x14ac:dyDescent="0.25">
      <c r="A435" s="11" t="s">
        <v>4921</v>
      </c>
      <c r="B435" s="13" t="s">
        <v>231</v>
      </c>
      <c r="D435" s="13" t="s">
        <v>1825</v>
      </c>
      <c r="F435" s="13" t="s">
        <v>35</v>
      </c>
      <c r="G435" s="13">
        <v>3</v>
      </c>
      <c r="H435" s="14">
        <f t="shared" si="15"/>
        <v>3</v>
      </c>
      <c r="J435" s="14">
        <v>2</v>
      </c>
      <c r="K435" s="13" t="s">
        <v>4202</v>
      </c>
      <c r="Q435" s="14"/>
    </row>
    <row r="436" spans="1:17" x14ac:dyDescent="0.25">
      <c r="A436" s="11" t="s">
        <v>4921</v>
      </c>
      <c r="B436" s="13" t="s">
        <v>231</v>
      </c>
      <c r="D436" s="13" t="s">
        <v>1940</v>
      </c>
      <c r="F436" s="13" t="s">
        <v>35</v>
      </c>
      <c r="G436" s="13">
        <v>2</v>
      </c>
      <c r="H436" s="14">
        <f t="shared" si="15"/>
        <v>2</v>
      </c>
      <c r="J436" s="14">
        <v>2</v>
      </c>
      <c r="K436" s="13" t="s">
        <v>5080</v>
      </c>
      <c r="Q436" s="14"/>
    </row>
    <row r="437" spans="1:17" x14ac:dyDescent="0.25">
      <c r="A437" s="11" t="s">
        <v>4921</v>
      </c>
      <c r="B437" s="13" t="s">
        <v>231</v>
      </c>
      <c r="C437" s="61" t="s">
        <v>4592</v>
      </c>
      <c r="F437" s="13" t="s">
        <v>35</v>
      </c>
      <c r="G437" s="13">
        <v>1</v>
      </c>
      <c r="H437" s="14">
        <f>G437+I437</f>
        <v>1</v>
      </c>
      <c r="J437" s="14">
        <v>1</v>
      </c>
      <c r="K437" s="13" t="s">
        <v>4894</v>
      </c>
      <c r="Q437" s="14"/>
    </row>
    <row r="438" spans="1:17" x14ac:dyDescent="0.25">
      <c r="A438" s="11" t="s">
        <v>4921</v>
      </c>
      <c r="B438" s="13" t="s">
        <v>231</v>
      </c>
      <c r="C438" s="61" t="s">
        <v>5079</v>
      </c>
      <c r="F438" s="13" t="s">
        <v>35</v>
      </c>
      <c r="G438" s="13">
        <v>1</v>
      </c>
      <c r="H438" s="14">
        <f>G438+I438</f>
        <v>1</v>
      </c>
      <c r="J438" s="14">
        <v>1</v>
      </c>
      <c r="K438" s="13" t="s">
        <v>3147</v>
      </c>
      <c r="Q438" s="14"/>
    </row>
    <row r="439" spans="1:17" x14ac:dyDescent="0.25">
      <c r="A439" s="11" t="s">
        <v>4921</v>
      </c>
      <c r="B439" s="13" t="s">
        <v>995</v>
      </c>
      <c r="D439" s="13" t="s">
        <v>1940</v>
      </c>
      <c r="F439" s="14" t="s">
        <v>35</v>
      </c>
      <c r="G439" s="13">
        <v>2</v>
      </c>
      <c r="H439" s="14">
        <f t="shared" si="15"/>
        <v>2</v>
      </c>
      <c r="J439" s="14">
        <v>2</v>
      </c>
      <c r="K439" s="13" t="s">
        <v>5244</v>
      </c>
      <c r="Q439" s="14"/>
    </row>
    <row r="440" spans="1:17" x14ac:dyDescent="0.25">
      <c r="A440" s="11" t="s">
        <v>4921</v>
      </c>
      <c r="B440" s="13" t="s">
        <v>995</v>
      </c>
      <c r="C440" s="61" t="s">
        <v>5082</v>
      </c>
      <c r="F440" s="14" t="s">
        <v>35</v>
      </c>
      <c r="G440" s="13">
        <v>1</v>
      </c>
      <c r="H440" s="14">
        <f>G440+I440</f>
        <v>1</v>
      </c>
      <c r="J440" s="14">
        <v>1</v>
      </c>
      <c r="K440" s="13" t="s">
        <v>3147</v>
      </c>
      <c r="Q440" s="14"/>
    </row>
    <row r="441" spans="1:17" x14ac:dyDescent="0.25">
      <c r="A441" s="11" t="s">
        <v>4921</v>
      </c>
      <c r="B441" s="13" t="s">
        <v>953</v>
      </c>
      <c r="D441" s="13" t="s">
        <v>1940</v>
      </c>
      <c r="E441" s="14" t="s">
        <v>4994</v>
      </c>
      <c r="F441" s="14" t="s">
        <v>35</v>
      </c>
      <c r="G441" s="13">
        <v>4</v>
      </c>
      <c r="H441" s="14">
        <f t="shared" si="15"/>
        <v>4</v>
      </c>
      <c r="J441" s="14">
        <v>4</v>
      </c>
      <c r="K441" s="13" t="s">
        <v>5243</v>
      </c>
      <c r="Q441" s="14"/>
    </row>
    <row r="442" spans="1:17" x14ac:dyDescent="0.25">
      <c r="A442" s="11" t="s">
        <v>4921</v>
      </c>
      <c r="B442" s="13" t="s">
        <v>2058</v>
      </c>
      <c r="C442" s="61" t="s">
        <v>1004</v>
      </c>
      <c r="F442" s="14" t="s">
        <v>35</v>
      </c>
      <c r="G442" s="13">
        <v>1</v>
      </c>
      <c r="H442" s="14">
        <f t="shared" si="15"/>
        <v>1</v>
      </c>
      <c r="J442" s="14">
        <v>1</v>
      </c>
      <c r="K442" s="13" t="s">
        <v>1706</v>
      </c>
      <c r="Q442" s="14"/>
    </row>
    <row r="443" spans="1:17" x14ac:dyDescent="0.25">
      <c r="A443" s="11" t="s">
        <v>4921</v>
      </c>
      <c r="B443" s="13" t="s">
        <v>238</v>
      </c>
      <c r="D443" s="13" t="s">
        <v>1940</v>
      </c>
      <c r="E443" s="14" t="s">
        <v>236</v>
      </c>
      <c r="F443" s="14" t="s">
        <v>35</v>
      </c>
      <c r="G443" s="13">
        <v>3</v>
      </c>
      <c r="H443" s="14">
        <f t="shared" si="15"/>
        <v>3</v>
      </c>
      <c r="J443" s="14">
        <v>2</v>
      </c>
      <c r="K443" s="13" t="s">
        <v>5089</v>
      </c>
      <c r="Q443" s="14"/>
    </row>
    <row r="444" spans="1:17" x14ac:dyDescent="0.25">
      <c r="A444" s="11" t="s">
        <v>4921</v>
      </c>
      <c r="B444" s="13" t="s">
        <v>226</v>
      </c>
      <c r="D444" s="13" t="s">
        <v>1940</v>
      </c>
      <c r="E444" s="13" t="s">
        <v>2784</v>
      </c>
      <c r="F444" s="14" t="s">
        <v>35</v>
      </c>
      <c r="G444" s="13">
        <v>2</v>
      </c>
      <c r="H444" s="14">
        <f t="shared" si="15"/>
        <v>2</v>
      </c>
      <c r="J444" s="14">
        <v>2</v>
      </c>
      <c r="K444" s="13" t="s">
        <v>5123</v>
      </c>
      <c r="Q444" s="14"/>
    </row>
    <row r="445" spans="1:17" x14ac:dyDescent="0.25">
      <c r="A445" s="11" t="s">
        <v>4921</v>
      </c>
      <c r="B445" s="13" t="s">
        <v>226</v>
      </c>
      <c r="E445" s="13" t="s">
        <v>730</v>
      </c>
      <c r="F445" s="14" t="s">
        <v>35</v>
      </c>
      <c r="G445" s="13">
        <v>2</v>
      </c>
      <c r="H445" s="14">
        <f t="shared" si="15"/>
        <v>2</v>
      </c>
      <c r="J445" s="14">
        <v>2</v>
      </c>
      <c r="K445" s="13" t="s">
        <v>5127</v>
      </c>
      <c r="Q445" s="14"/>
    </row>
    <row r="446" spans="1:17" x14ac:dyDescent="0.25">
      <c r="A446" s="11" t="s">
        <v>4921</v>
      </c>
      <c r="B446" s="13" t="s">
        <v>226</v>
      </c>
      <c r="C446" s="61" t="s">
        <v>3067</v>
      </c>
      <c r="E446" s="13"/>
      <c r="F446" s="14" t="s">
        <v>35</v>
      </c>
      <c r="G446" s="13">
        <v>4</v>
      </c>
      <c r="H446" s="14">
        <f t="shared" si="15"/>
        <v>4</v>
      </c>
      <c r="J446" s="14">
        <v>3</v>
      </c>
      <c r="K446" s="13" t="s">
        <v>5086</v>
      </c>
      <c r="Q446" s="14"/>
    </row>
    <row r="447" spans="1:17" x14ac:dyDescent="0.25">
      <c r="A447" s="11" t="s">
        <v>4921</v>
      </c>
      <c r="B447" s="13" t="s">
        <v>226</v>
      </c>
      <c r="C447" s="61" t="s">
        <v>4043</v>
      </c>
      <c r="E447" s="13"/>
      <c r="F447" s="14" t="s">
        <v>35</v>
      </c>
      <c r="G447" s="13">
        <v>3</v>
      </c>
      <c r="H447" s="14">
        <f t="shared" si="15"/>
        <v>3</v>
      </c>
      <c r="J447" s="14">
        <v>3</v>
      </c>
      <c r="K447" s="13" t="s">
        <v>5241</v>
      </c>
      <c r="Q447" s="14"/>
    </row>
    <row r="448" spans="1:17" x14ac:dyDescent="0.25">
      <c r="A448" s="11" t="s">
        <v>4921</v>
      </c>
      <c r="B448" s="13" t="s">
        <v>998</v>
      </c>
      <c r="D448" s="13" t="s">
        <v>1940</v>
      </c>
      <c r="F448" s="14" t="s">
        <v>35</v>
      </c>
      <c r="G448" s="13">
        <v>1</v>
      </c>
      <c r="H448" s="14">
        <f t="shared" si="15"/>
        <v>1</v>
      </c>
      <c r="J448" s="14">
        <v>1</v>
      </c>
      <c r="K448" s="13" t="s">
        <v>2292</v>
      </c>
    </row>
    <row r="449" spans="1:17" x14ac:dyDescent="0.25">
      <c r="A449" s="11" t="s">
        <v>4921</v>
      </c>
      <c r="B449" s="13" t="s">
        <v>407</v>
      </c>
      <c r="C449" s="61" t="s">
        <v>232</v>
      </c>
      <c r="E449" s="14" t="s">
        <v>2336</v>
      </c>
      <c r="F449" s="14" t="s">
        <v>35</v>
      </c>
      <c r="G449" s="13">
        <v>3</v>
      </c>
      <c r="H449" s="14">
        <f t="shared" si="15"/>
        <v>3</v>
      </c>
      <c r="J449" s="14">
        <v>3</v>
      </c>
      <c r="K449" s="13" t="s">
        <v>5000</v>
      </c>
      <c r="Q449" s="14"/>
    </row>
    <row r="450" spans="1:17" x14ac:dyDescent="0.25">
      <c r="A450" s="11" t="s">
        <v>4921</v>
      </c>
      <c r="B450" s="13" t="s">
        <v>1612</v>
      </c>
      <c r="D450" s="13" t="s">
        <v>1940</v>
      </c>
      <c r="F450" s="14" t="s">
        <v>35</v>
      </c>
      <c r="G450" s="13">
        <v>1</v>
      </c>
      <c r="H450" s="14">
        <f t="shared" si="15"/>
        <v>1</v>
      </c>
      <c r="J450" s="14">
        <v>1</v>
      </c>
      <c r="K450" s="13" t="s">
        <v>4894</v>
      </c>
      <c r="Q450" s="14"/>
    </row>
    <row r="451" spans="1:17" x14ac:dyDescent="0.25">
      <c r="A451" s="11" t="s">
        <v>4921</v>
      </c>
      <c r="B451" s="13" t="s">
        <v>86</v>
      </c>
      <c r="C451" s="61" t="s">
        <v>714</v>
      </c>
      <c r="F451" s="14" t="s">
        <v>35</v>
      </c>
      <c r="G451" s="13">
        <v>1</v>
      </c>
      <c r="H451" s="14">
        <f>G451+I451</f>
        <v>1</v>
      </c>
      <c r="J451" s="14">
        <v>1</v>
      </c>
      <c r="K451" s="13" t="s">
        <v>1379</v>
      </c>
      <c r="Q451" s="14"/>
    </row>
    <row r="452" spans="1:17" x14ac:dyDescent="0.25">
      <c r="A452" s="11" t="s">
        <v>4921</v>
      </c>
      <c r="B452" s="13" t="s">
        <v>676</v>
      </c>
      <c r="D452" s="13" t="s">
        <v>1940</v>
      </c>
      <c r="F452" s="14" t="s">
        <v>35</v>
      </c>
      <c r="G452" s="13">
        <v>2</v>
      </c>
      <c r="H452" s="14">
        <f t="shared" si="15"/>
        <v>2</v>
      </c>
      <c r="J452" s="14">
        <v>1</v>
      </c>
      <c r="K452" s="13" t="s">
        <v>1234</v>
      </c>
      <c r="Q452" s="14"/>
    </row>
    <row r="453" spans="1:17" x14ac:dyDescent="0.25">
      <c r="A453" s="11" t="s">
        <v>4921</v>
      </c>
      <c r="B453" s="13" t="s">
        <v>676</v>
      </c>
      <c r="E453" s="14" t="s">
        <v>428</v>
      </c>
      <c r="F453" s="14" t="s">
        <v>35</v>
      </c>
      <c r="G453" s="13">
        <v>2</v>
      </c>
      <c r="H453" s="14">
        <f t="shared" si="15"/>
        <v>2</v>
      </c>
      <c r="J453" s="14">
        <v>2</v>
      </c>
      <c r="K453" s="13" t="s">
        <v>5001</v>
      </c>
      <c r="Q453" s="14"/>
    </row>
    <row r="454" spans="1:17" x14ac:dyDescent="0.25">
      <c r="A454" s="11" t="s">
        <v>4921</v>
      </c>
      <c r="B454" s="13" t="s">
        <v>676</v>
      </c>
      <c r="C454" s="61" t="s">
        <v>745</v>
      </c>
      <c r="F454" s="14" t="s">
        <v>35</v>
      </c>
      <c r="G454" s="13">
        <v>1</v>
      </c>
      <c r="H454" s="14">
        <f>G454+I454</f>
        <v>1</v>
      </c>
      <c r="J454" s="14">
        <v>1</v>
      </c>
      <c r="K454" s="13" t="s">
        <v>887</v>
      </c>
      <c r="Q454" s="14"/>
    </row>
    <row r="455" spans="1:17" x14ac:dyDescent="0.25">
      <c r="A455" s="11" t="s">
        <v>4921</v>
      </c>
      <c r="B455" s="13" t="s">
        <v>4204</v>
      </c>
      <c r="D455" s="13" t="s">
        <v>1940</v>
      </c>
      <c r="F455" s="14" t="s">
        <v>35</v>
      </c>
      <c r="G455" s="13">
        <v>1</v>
      </c>
      <c r="H455" s="14">
        <f t="shared" si="15"/>
        <v>1</v>
      </c>
      <c r="J455" s="14">
        <v>1</v>
      </c>
      <c r="K455" s="13" t="s">
        <v>1262</v>
      </c>
      <c r="Q455" s="14"/>
    </row>
    <row r="456" spans="1:17" x14ac:dyDescent="0.25">
      <c r="A456" s="11" t="s">
        <v>4921</v>
      </c>
      <c r="B456" s="13" t="s">
        <v>4204</v>
      </c>
      <c r="C456" s="61" t="s">
        <v>5004</v>
      </c>
      <c r="F456" s="14" t="s">
        <v>35</v>
      </c>
      <c r="G456" s="13">
        <v>1</v>
      </c>
      <c r="H456" s="14">
        <f>G456+I456</f>
        <v>1</v>
      </c>
      <c r="J456" s="14">
        <v>1</v>
      </c>
      <c r="K456" s="13" t="s">
        <v>914</v>
      </c>
      <c r="Q456" s="14"/>
    </row>
    <row r="457" spans="1:17" x14ac:dyDescent="0.25">
      <c r="A457" s="11" t="s">
        <v>4921</v>
      </c>
      <c r="B457" s="13" t="s">
        <v>4204</v>
      </c>
      <c r="C457" s="61" t="s">
        <v>464</v>
      </c>
      <c r="E457" s="13"/>
      <c r="F457" s="14" t="s">
        <v>35</v>
      </c>
      <c r="G457" s="13">
        <v>1</v>
      </c>
      <c r="H457" s="14">
        <f t="shared" si="15"/>
        <v>1</v>
      </c>
      <c r="J457" s="14">
        <v>1</v>
      </c>
      <c r="K457" s="13" t="s">
        <v>1564</v>
      </c>
      <c r="Q457" s="14"/>
    </row>
    <row r="458" spans="1:17" x14ac:dyDescent="0.25">
      <c r="A458" s="11" t="s">
        <v>4921</v>
      </c>
      <c r="B458" s="13" t="s">
        <v>4204</v>
      </c>
      <c r="D458" s="13" t="s">
        <v>465</v>
      </c>
      <c r="E458" s="14" t="s">
        <v>464</v>
      </c>
      <c r="F458" s="14" t="s">
        <v>35</v>
      </c>
      <c r="G458" s="13">
        <v>5</v>
      </c>
      <c r="H458" s="14">
        <f t="shared" si="15"/>
        <v>5</v>
      </c>
      <c r="J458" s="14">
        <v>4</v>
      </c>
      <c r="K458" s="13" t="s">
        <v>5124</v>
      </c>
      <c r="Q458" s="14"/>
    </row>
    <row r="459" spans="1:17" x14ac:dyDescent="0.25">
      <c r="A459" s="11" t="s">
        <v>4921</v>
      </c>
      <c r="B459" s="13" t="s">
        <v>1596</v>
      </c>
      <c r="C459" s="61" t="s">
        <v>1711</v>
      </c>
      <c r="F459" s="14" t="s">
        <v>35</v>
      </c>
      <c r="G459" s="13">
        <v>2</v>
      </c>
      <c r="H459" s="14">
        <f t="shared" si="15"/>
        <v>2</v>
      </c>
      <c r="J459" s="14">
        <v>2</v>
      </c>
      <c r="K459" s="13" t="s">
        <v>4905</v>
      </c>
    </row>
    <row r="460" spans="1:17" x14ac:dyDescent="0.25">
      <c r="A460" s="11" t="s">
        <v>4921</v>
      </c>
      <c r="B460" s="13" t="s">
        <v>34</v>
      </c>
      <c r="D460" s="13" t="s">
        <v>1940</v>
      </c>
      <c r="F460" s="14" t="s">
        <v>35</v>
      </c>
      <c r="G460" s="13">
        <v>21</v>
      </c>
      <c r="H460" s="14">
        <f t="shared" si="15"/>
        <v>21</v>
      </c>
      <c r="J460" s="14">
        <v>13</v>
      </c>
      <c r="K460" s="13" t="s">
        <v>5126</v>
      </c>
    </row>
    <row r="461" spans="1:17" ht="21" customHeight="1" x14ac:dyDescent="0.25">
      <c r="A461" s="11" t="s">
        <v>4921</v>
      </c>
      <c r="B461" s="13" t="s">
        <v>34</v>
      </c>
      <c r="D461" s="13" t="s">
        <v>753</v>
      </c>
      <c r="E461" s="13" t="s">
        <v>1504</v>
      </c>
      <c r="F461" s="14" t="s">
        <v>35</v>
      </c>
      <c r="G461" s="13">
        <v>1</v>
      </c>
      <c r="H461" s="14">
        <f t="shared" si="15"/>
        <v>1</v>
      </c>
      <c r="J461" s="14">
        <v>1</v>
      </c>
      <c r="K461" s="13" t="s">
        <v>1234</v>
      </c>
      <c r="Q461" s="14"/>
    </row>
    <row r="462" spans="1:17" ht="21" customHeight="1" x14ac:dyDescent="0.25">
      <c r="A462" s="11" t="s">
        <v>4921</v>
      </c>
      <c r="B462" s="13" t="s">
        <v>34</v>
      </c>
      <c r="C462" s="61" t="s">
        <v>5092</v>
      </c>
      <c r="E462" s="13" t="s">
        <v>2613</v>
      </c>
      <c r="F462" s="14" t="s">
        <v>35</v>
      </c>
      <c r="G462" s="13">
        <v>2</v>
      </c>
      <c r="H462" s="14">
        <f>G462+I462</f>
        <v>2</v>
      </c>
      <c r="J462" s="14">
        <v>2</v>
      </c>
      <c r="K462" s="13" t="s">
        <v>4127</v>
      </c>
      <c r="Q462" s="14"/>
    </row>
    <row r="463" spans="1:17" x14ac:dyDescent="0.25">
      <c r="A463" s="11" t="s">
        <v>4921</v>
      </c>
      <c r="B463" s="13" t="s">
        <v>34</v>
      </c>
      <c r="C463" s="61" t="s">
        <v>2780</v>
      </c>
      <c r="E463" s="13" t="s">
        <v>2780</v>
      </c>
      <c r="F463" s="14" t="s">
        <v>35</v>
      </c>
      <c r="G463" s="13">
        <v>1</v>
      </c>
      <c r="H463" s="14">
        <f>G463+I463</f>
        <v>1</v>
      </c>
      <c r="J463" s="14">
        <v>1</v>
      </c>
      <c r="K463" s="13" t="s">
        <v>4895</v>
      </c>
      <c r="Q463" s="14"/>
    </row>
    <row r="464" spans="1:17" x14ac:dyDescent="0.25">
      <c r="A464" s="11" t="s">
        <v>4921</v>
      </c>
      <c r="B464" s="13" t="s">
        <v>975</v>
      </c>
      <c r="D464" s="13" t="s">
        <v>1940</v>
      </c>
      <c r="F464" s="14" t="s">
        <v>35</v>
      </c>
      <c r="G464" s="13">
        <v>1</v>
      </c>
      <c r="H464" s="14">
        <f t="shared" si="15"/>
        <v>1</v>
      </c>
      <c r="J464" s="14">
        <v>1</v>
      </c>
      <c r="K464" s="13" t="s">
        <v>1234</v>
      </c>
      <c r="Q464" s="14"/>
    </row>
    <row r="465" spans="1:17" x14ac:dyDescent="0.25">
      <c r="A465" s="11" t="s">
        <v>4921</v>
      </c>
      <c r="B465" s="13" t="s">
        <v>975</v>
      </c>
      <c r="C465" s="61" t="s">
        <v>746</v>
      </c>
      <c r="F465" s="14" t="s">
        <v>35</v>
      </c>
      <c r="G465" s="13">
        <v>2</v>
      </c>
      <c r="H465" s="14">
        <f>G465+I465</f>
        <v>2</v>
      </c>
      <c r="J465" s="14">
        <v>2</v>
      </c>
      <c r="K465" s="13" t="s">
        <v>5006</v>
      </c>
      <c r="Q465" s="14"/>
    </row>
    <row r="466" spans="1:17" x14ac:dyDescent="0.25">
      <c r="A466" s="11" t="s">
        <v>4921</v>
      </c>
      <c r="B466" s="13" t="s">
        <v>99</v>
      </c>
      <c r="D466" s="13" t="s">
        <v>1940</v>
      </c>
      <c r="F466" s="14" t="s">
        <v>35</v>
      </c>
      <c r="G466" s="13">
        <v>7</v>
      </c>
      <c r="H466" s="14">
        <f t="shared" si="15"/>
        <v>7</v>
      </c>
      <c r="J466" s="14">
        <v>6</v>
      </c>
      <c r="K466" s="13" t="s">
        <v>5239</v>
      </c>
      <c r="Q466" s="14"/>
    </row>
    <row r="467" spans="1:17" x14ac:dyDescent="0.25">
      <c r="A467" s="11" t="s">
        <v>4921</v>
      </c>
      <c r="B467" s="13" t="s">
        <v>99</v>
      </c>
      <c r="C467" s="61" t="s">
        <v>5087</v>
      </c>
      <c r="F467" s="14" t="s">
        <v>35</v>
      </c>
      <c r="G467" s="13">
        <v>1</v>
      </c>
      <c r="H467" s="14">
        <f>G467+I467</f>
        <v>1</v>
      </c>
      <c r="J467" s="14">
        <v>1</v>
      </c>
      <c r="K467" s="13" t="s">
        <v>1234</v>
      </c>
      <c r="Q467" s="14"/>
    </row>
    <row r="468" spans="1:17" x14ac:dyDescent="0.25">
      <c r="A468" s="11" t="s">
        <v>4921</v>
      </c>
      <c r="B468" s="13" t="s">
        <v>99</v>
      </c>
      <c r="C468" s="61" t="s">
        <v>745</v>
      </c>
      <c r="E468" s="14" t="s">
        <v>249</v>
      </c>
      <c r="F468" s="14" t="s">
        <v>35</v>
      </c>
      <c r="G468" s="13">
        <v>2</v>
      </c>
      <c r="H468" s="14">
        <f t="shared" si="15"/>
        <v>2</v>
      </c>
      <c r="J468" s="14">
        <v>1</v>
      </c>
      <c r="K468" s="13" t="s">
        <v>1234</v>
      </c>
      <c r="Q468" s="14"/>
    </row>
    <row r="469" spans="1:17" x14ac:dyDescent="0.25">
      <c r="A469" s="11" t="s">
        <v>4921</v>
      </c>
      <c r="B469" s="13" t="s">
        <v>99</v>
      </c>
      <c r="C469" s="61" t="s">
        <v>5240</v>
      </c>
      <c r="F469" s="14" t="s">
        <v>35</v>
      </c>
      <c r="G469" s="13">
        <v>1</v>
      </c>
      <c r="H469" s="14">
        <f>G469+I469</f>
        <v>1</v>
      </c>
      <c r="J469" s="14">
        <v>1</v>
      </c>
      <c r="K469" s="13" t="s">
        <v>1690</v>
      </c>
      <c r="Q469" s="14"/>
    </row>
    <row r="470" spans="1:17" x14ac:dyDescent="0.25">
      <c r="A470" s="11" t="s">
        <v>4921</v>
      </c>
      <c r="B470" s="13" t="s">
        <v>99</v>
      </c>
      <c r="C470" s="61" t="s">
        <v>98</v>
      </c>
      <c r="F470" s="14" t="s">
        <v>35</v>
      </c>
      <c r="G470" s="13">
        <v>5</v>
      </c>
      <c r="H470" s="14">
        <f t="shared" si="15"/>
        <v>5</v>
      </c>
      <c r="J470" s="14">
        <v>4</v>
      </c>
      <c r="K470" s="13" t="s">
        <v>5238</v>
      </c>
      <c r="Q470" s="14"/>
    </row>
    <row r="471" spans="1:17" x14ac:dyDescent="0.25">
      <c r="A471" s="11" t="s">
        <v>4921</v>
      </c>
      <c r="B471" s="13" t="s">
        <v>99</v>
      </c>
      <c r="C471" s="61" t="s">
        <v>2162</v>
      </c>
      <c r="F471" s="14" t="s">
        <v>35</v>
      </c>
      <c r="G471" s="13">
        <v>1</v>
      </c>
      <c r="H471" s="14">
        <f t="shared" si="15"/>
        <v>1</v>
      </c>
      <c r="J471" s="14">
        <v>1</v>
      </c>
      <c r="K471" s="13" t="s">
        <v>1234</v>
      </c>
      <c r="Q471" s="14"/>
    </row>
    <row r="472" spans="1:17" x14ac:dyDescent="0.25">
      <c r="A472" s="11" t="s">
        <v>4921</v>
      </c>
      <c r="B472" s="13" t="s">
        <v>3857</v>
      </c>
      <c r="C472" s="61" t="s">
        <v>397</v>
      </c>
      <c r="E472" s="14" t="s">
        <v>3858</v>
      </c>
      <c r="F472" s="14" t="s">
        <v>35</v>
      </c>
      <c r="G472" s="13">
        <v>1</v>
      </c>
      <c r="H472" s="14">
        <f>G472+I472</f>
        <v>1</v>
      </c>
      <c r="J472" s="14">
        <v>1</v>
      </c>
      <c r="K472" s="13" t="s">
        <v>3153</v>
      </c>
      <c r="Q472" s="14"/>
    </row>
    <row r="473" spans="1:17" x14ac:dyDescent="0.25">
      <c r="A473" s="11" t="s">
        <v>4921</v>
      </c>
      <c r="B473" s="13" t="s">
        <v>170</v>
      </c>
      <c r="D473" s="13" t="s">
        <v>1940</v>
      </c>
      <c r="F473" s="14" t="s">
        <v>35</v>
      </c>
      <c r="G473" s="13">
        <v>9</v>
      </c>
      <c r="H473" s="14">
        <f t="shared" si="15"/>
        <v>9</v>
      </c>
      <c r="J473" s="14">
        <v>9</v>
      </c>
      <c r="K473" s="13" t="s">
        <v>5125</v>
      </c>
      <c r="Q473" s="14"/>
    </row>
    <row r="474" spans="1:17" x14ac:dyDescent="0.25">
      <c r="A474" s="11" t="s">
        <v>4921</v>
      </c>
      <c r="B474" s="13" t="s">
        <v>170</v>
      </c>
      <c r="C474" s="61" t="s">
        <v>4986</v>
      </c>
      <c r="F474" s="14" t="s">
        <v>35</v>
      </c>
      <c r="G474" s="13">
        <v>1</v>
      </c>
      <c r="H474" s="14">
        <f>G474+I474</f>
        <v>1</v>
      </c>
      <c r="J474" s="14">
        <v>1</v>
      </c>
      <c r="K474" s="13" t="s">
        <v>2752</v>
      </c>
      <c r="Q474" s="14"/>
    </row>
    <row r="475" spans="1:17" x14ac:dyDescent="0.25">
      <c r="A475" s="11" t="s">
        <v>4921</v>
      </c>
      <c r="B475" s="13" t="s">
        <v>170</v>
      </c>
      <c r="C475" s="61" t="s">
        <v>2793</v>
      </c>
      <c r="F475" s="14" t="s">
        <v>35</v>
      </c>
      <c r="G475" s="13">
        <v>3</v>
      </c>
      <c r="H475" s="14">
        <f>G475+I475</f>
        <v>3</v>
      </c>
      <c r="J475" s="14">
        <v>3</v>
      </c>
      <c r="K475" s="13" t="s">
        <v>5242</v>
      </c>
      <c r="Q475" s="14"/>
    </row>
    <row r="476" spans="1:17" x14ac:dyDescent="0.25">
      <c r="A476" s="11" t="s">
        <v>4921</v>
      </c>
      <c r="B476" s="13" t="s">
        <v>319</v>
      </c>
      <c r="C476" s="61" t="s">
        <v>315</v>
      </c>
      <c r="D476" s="13" t="s">
        <v>1940</v>
      </c>
      <c r="F476" s="14" t="s">
        <v>35</v>
      </c>
      <c r="G476" s="13">
        <v>7</v>
      </c>
      <c r="H476" s="14">
        <f t="shared" si="15"/>
        <v>7</v>
      </c>
      <c r="J476" s="14">
        <v>3</v>
      </c>
      <c r="K476" s="13" t="s">
        <v>5128</v>
      </c>
      <c r="Q476" s="14"/>
    </row>
    <row r="477" spans="1:17" x14ac:dyDescent="0.25">
      <c r="A477" s="11" t="s">
        <v>4921</v>
      </c>
      <c r="B477" s="13" t="s">
        <v>743</v>
      </c>
      <c r="D477" s="13" t="s">
        <v>1940</v>
      </c>
      <c r="F477" s="13" t="s">
        <v>35</v>
      </c>
      <c r="G477" s="13">
        <v>2</v>
      </c>
      <c r="H477" s="14">
        <f t="shared" ref="H477:H480" si="16">G477+I477</f>
        <v>2</v>
      </c>
      <c r="J477" s="14">
        <v>2</v>
      </c>
      <c r="K477" s="13" t="s">
        <v>4327</v>
      </c>
    </row>
    <row r="478" spans="1:17" x14ac:dyDescent="0.25">
      <c r="A478" s="11" t="s">
        <v>4921</v>
      </c>
      <c r="B478" s="13" t="s">
        <v>743</v>
      </c>
      <c r="C478" s="61" t="s">
        <v>5088</v>
      </c>
      <c r="F478" s="13" t="s">
        <v>35</v>
      </c>
      <c r="G478" s="13">
        <v>1</v>
      </c>
      <c r="H478" s="14">
        <f t="shared" si="16"/>
        <v>1</v>
      </c>
      <c r="J478" s="14">
        <v>1</v>
      </c>
      <c r="K478" s="13" t="s">
        <v>1234</v>
      </c>
    </row>
    <row r="479" spans="1:17" ht="22.5" x14ac:dyDescent="0.25">
      <c r="A479" s="11" t="s">
        <v>4921</v>
      </c>
      <c r="B479" s="13" t="s">
        <v>743</v>
      </c>
      <c r="C479" s="61" t="s">
        <v>5139</v>
      </c>
      <c r="D479" s="13" t="s">
        <v>5140</v>
      </c>
      <c r="F479" s="13" t="s">
        <v>35</v>
      </c>
      <c r="G479" s="13">
        <v>4</v>
      </c>
      <c r="H479" s="14">
        <f t="shared" si="16"/>
        <v>4</v>
      </c>
      <c r="J479" s="14">
        <v>4</v>
      </c>
      <c r="K479" s="13" t="s">
        <v>5198</v>
      </c>
    </row>
    <row r="480" spans="1:17" x14ac:dyDescent="0.25">
      <c r="A480" s="11" t="s">
        <v>4921</v>
      </c>
      <c r="B480" s="13" t="s">
        <v>167</v>
      </c>
      <c r="C480" s="61" t="s">
        <v>4033</v>
      </c>
      <c r="E480" s="14" t="s">
        <v>170</v>
      </c>
      <c r="F480" s="13" t="s">
        <v>35</v>
      </c>
      <c r="G480" s="13">
        <v>2</v>
      </c>
      <c r="H480" s="14">
        <f t="shared" si="16"/>
        <v>2</v>
      </c>
      <c r="J480" s="14">
        <v>2</v>
      </c>
      <c r="K480" s="13" t="s">
        <v>4985</v>
      </c>
    </row>
    <row r="481" spans="1:17" ht="22.5" x14ac:dyDescent="0.25">
      <c r="A481" s="11" t="s">
        <v>4921</v>
      </c>
      <c r="C481" s="61" t="s">
        <v>1801</v>
      </c>
      <c r="F481" s="13" t="s">
        <v>3057</v>
      </c>
      <c r="G481" s="13">
        <v>1</v>
      </c>
      <c r="H481" s="14">
        <f t="shared" si="15"/>
        <v>1</v>
      </c>
      <c r="J481" s="14">
        <v>1</v>
      </c>
      <c r="K481" s="13" t="s">
        <v>1195</v>
      </c>
    </row>
    <row r="482" spans="1:17" s="25" customFormat="1" ht="38.25" customHeight="1" x14ac:dyDescent="0.25">
      <c r="A482" s="11" t="s">
        <v>4921</v>
      </c>
      <c r="B482" s="26"/>
      <c r="C482" s="80" t="s">
        <v>771</v>
      </c>
      <c r="D482" s="26"/>
      <c r="F482" s="25" t="s">
        <v>771</v>
      </c>
      <c r="G482" s="26">
        <v>48</v>
      </c>
      <c r="H482" s="25">
        <f t="shared" si="15"/>
        <v>48</v>
      </c>
      <c r="J482" s="25">
        <v>29</v>
      </c>
      <c r="K482" s="26" t="s">
        <v>5248</v>
      </c>
      <c r="Q482" s="26"/>
    </row>
    <row r="483" spans="1:17" ht="22.5" x14ac:dyDescent="0.25">
      <c r="A483" s="11" t="s">
        <v>4921</v>
      </c>
      <c r="B483" s="13" t="s">
        <v>1400</v>
      </c>
      <c r="C483" s="61" t="s">
        <v>1401</v>
      </c>
      <c r="D483" s="13" t="s">
        <v>4500</v>
      </c>
      <c r="F483" s="13" t="s">
        <v>776</v>
      </c>
      <c r="G483" s="13">
        <v>1</v>
      </c>
      <c r="H483" s="14">
        <f t="shared" si="15"/>
        <v>1</v>
      </c>
      <c r="J483" s="14">
        <v>1</v>
      </c>
      <c r="K483" s="13" t="s">
        <v>2301</v>
      </c>
    </row>
    <row r="484" spans="1:17" ht="22.5" x14ac:dyDescent="0.25">
      <c r="A484" s="11" t="s">
        <v>4921</v>
      </c>
      <c r="C484" s="61" t="s">
        <v>1900</v>
      </c>
      <c r="D484" s="13" t="s">
        <v>1219</v>
      </c>
      <c r="F484" s="13" t="s">
        <v>776</v>
      </c>
      <c r="G484" s="13">
        <v>7</v>
      </c>
      <c r="H484" s="14">
        <f>G484+I484</f>
        <v>7</v>
      </c>
      <c r="J484" s="14">
        <v>6</v>
      </c>
      <c r="K484" s="13" t="s">
        <v>5097</v>
      </c>
    </row>
    <row r="485" spans="1:17" ht="22.5" x14ac:dyDescent="0.25">
      <c r="A485" s="11" t="s">
        <v>4921</v>
      </c>
      <c r="B485" s="13" t="s">
        <v>775</v>
      </c>
      <c r="F485" s="13" t="s">
        <v>776</v>
      </c>
      <c r="G485" s="13">
        <v>1</v>
      </c>
      <c r="H485" s="14">
        <f t="shared" si="15"/>
        <v>1</v>
      </c>
      <c r="J485" s="14">
        <v>1</v>
      </c>
      <c r="K485" s="13" t="s">
        <v>3084</v>
      </c>
    </row>
    <row r="486" spans="1:17" ht="22.5" x14ac:dyDescent="0.25">
      <c r="A486" s="11" t="s">
        <v>4921</v>
      </c>
      <c r="B486" s="13" t="s">
        <v>778</v>
      </c>
      <c r="D486" s="14" t="s">
        <v>1940</v>
      </c>
      <c r="F486" s="13" t="s">
        <v>776</v>
      </c>
      <c r="G486" s="13">
        <v>4</v>
      </c>
      <c r="H486" s="14">
        <f t="shared" si="15"/>
        <v>4</v>
      </c>
      <c r="J486" s="14">
        <v>4</v>
      </c>
      <c r="K486" s="14" t="s">
        <v>4995</v>
      </c>
    </row>
    <row r="487" spans="1:17" ht="22.5" x14ac:dyDescent="0.25">
      <c r="A487" s="11" t="s">
        <v>4921</v>
      </c>
      <c r="B487" s="13" t="s">
        <v>1444</v>
      </c>
      <c r="D487" s="14" t="s">
        <v>1940</v>
      </c>
      <c r="F487" s="13" t="s">
        <v>776</v>
      </c>
      <c r="G487" s="13">
        <v>1</v>
      </c>
      <c r="H487" s="14">
        <f t="shared" si="15"/>
        <v>1</v>
      </c>
      <c r="J487" s="14">
        <v>1</v>
      </c>
      <c r="K487" s="14" t="s">
        <v>887</v>
      </c>
    </row>
    <row r="488" spans="1:17" ht="22.5" x14ac:dyDescent="0.25">
      <c r="A488" s="11" t="s">
        <v>4921</v>
      </c>
      <c r="B488" s="13" t="s">
        <v>1968</v>
      </c>
      <c r="D488" s="14" t="s">
        <v>1940</v>
      </c>
      <c r="F488" s="13" t="s">
        <v>776</v>
      </c>
      <c r="G488" s="13">
        <v>1</v>
      </c>
      <c r="H488" s="14">
        <f t="shared" si="15"/>
        <v>1</v>
      </c>
      <c r="J488" s="14">
        <v>1</v>
      </c>
      <c r="K488" s="14" t="s">
        <v>31</v>
      </c>
    </row>
    <row r="489" spans="1:17" ht="22.5" x14ac:dyDescent="0.25">
      <c r="A489" s="11" t="s">
        <v>4921</v>
      </c>
      <c r="B489" s="13" t="s">
        <v>1099</v>
      </c>
      <c r="D489" s="14" t="s">
        <v>1940</v>
      </c>
      <c r="F489" s="13" t="s">
        <v>776</v>
      </c>
      <c r="G489" s="13">
        <v>3</v>
      </c>
      <c r="H489" s="14">
        <f t="shared" si="15"/>
        <v>3</v>
      </c>
      <c r="J489" s="14">
        <v>3</v>
      </c>
      <c r="K489" s="14" t="s">
        <v>5250</v>
      </c>
    </row>
    <row r="490" spans="1:17" ht="22.5" x14ac:dyDescent="0.25">
      <c r="A490" s="11" t="s">
        <v>4921</v>
      </c>
      <c r="B490" s="13" t="s">
        <v>1099</v>
      </c>
      <c r="C490" s="61" t="s">
        <v>4987</v>
      </c>
      <c r="D490" s="14"/>
      <c r="F490" s="13" t="s">
        <v>776</v>
      </c>
      <c r="G490" s="13">
        <v>1</v>
      </c>
      <c r="H490" s="14">
        <f>G490+I490</f>
        <v>1</v>
      </c>
      <c r="J490" s="14">
        <v>1</v>
      </c>
      <c r="K490" s="14" t="s">
        <v>1195</v>
      </c>
    </row>
    <row r="491" spans="1:17" ht="22.5" x14ac:dyDescent="0.25">
      <c r="A491" s="11" t="s">
        <v>4921</v>
      </c>
      <c r="B491" s="13" t="s">
        <v>783</v>
      </c>
      <c r="E491" s="14" t="s">
        <v>784</v>
      </c>
      <c r="F491" s="13" t="s">
        <v>776</v>
      </c>
      <c r="G491" s="13">
        <v>1</v>
      </c>
      <c r="H491" s="14">
        <f t="shared" si="15"/>
        <v>1</v>
      </c>
      <c r="J491" s="14">
        <v>1</v>
      </c>
      <c r="K491" s="13" t="s">
        <v>1195</v>
      </c>
      <c r="Q491" s="14"/>
    </row>
    <row r="492" spans="1:17" x14ac:dyDescent="0.25">
      <c r="A492" s="11" t="s">
        <v>4921</v>
      </c>
      <c r="B492" s="13" t="s">
        <v>1264</v>
      </c>
      <c r="D492" s="13" t="s">
        <v>1940</v>
      </c>
      <c r="F492" s="14" t="s">
        <v>773</v>
      </c>
      <c r="G492" s="13">
        <v>4</v>
      </c>
      <c r="H492" s="14">
        <f>G492+I492</f>
        <v>4</v>
      </c>
      <c r="J492" s="14">
        <v>3</v>
      </c>
      <c r="K492" s="13" t="s">
        <v>5251</v>
      </c>
      <c r="Q492" s="14"/>
    </row>
    <row r="493" spans="1:17" ht="14.25" customHeight="1" x14ac:dyDescent="0.25">
      <c r="A493" s="11" t="s">
        <v>4921</v>
      </c>
      <c r="B493" s="13" t="s">
        <v>1248</v>
      </c>
      <c r="D493" s="13" t="s">
        <v>1940</v>
      </c>
      <c r="E493" s="14" t="s">
        <v>1220</v>
      </c>
      <c r="F493" s="13" t="s">
        <v>773</v>
      </c>
      <c r="G493" s="13">
        <v>1</v>
      </c>
      <c r="H493" s="14">
        <f t="shared" si="15"/>
        <v>1</v>
      </c>
      <c r="J493" s="14">
        <v>1</v>
      </c>
      <c r="K493" s="13" t="s">
        <v>1706</v>
      </c>
      <c r="Q493" s="14"/>
    </row>
    <row r="494" spans="1:17" x14ac:dyDescent="0.25">
      <c r="A494" s="11" t="s">
        <v>4921</v>
      </c>
      <c r="B494" s="13" t="s">
        <v>793</v>
      </c>
      <c r="D494" s="13" t="s">
        <v>1940</v>
      </c>
      <c r="E494" s="14" t="s">
        <v>793</v>
      </c>
      <c r="F494" s="13" t="s">
        <v>773</v>
      </c>
      <c r="G494" s="13">
        <v>1</v>
      </c>
      <c r="H494" s="14">
        <f t="shared" si="15"/>
        <v>1</v>
      </c>
      <c r="J494" s="14">
        <v>1</v>
      </c>
      <c r="K494" s="13" t="s">
        <v>4895</v>
      </c>
      <c r="Q494" s="14"/>
    </row>
    <row r="495" spans="1:17" x14ac:dyDescent="0.25">
      <c r="A495" s="11" t="s">
        <v>4921</v>
      </c>
      <c r="B495" s="13" t="s">
        <v>1666</v>
      </c>
      <c r="D495" s="13" t="s">
        <v>1940</v>
      </c>
      <c r="F495" s="13" t="s">
        <v>773</v>
      </c>
      <c r="G495" s="13">
        <v>1</v>
      </c>
      <c r="H495" s="14">
        <f t="shared" si="15"/>
        <v>1</v>
      </c>
      <c r="J495" s="14">
        <v>1</v>
      </c>
      <c r="K495" s="13" t="s">
        <v>1706</v>
      </c>
      <c r="Q495" s="14"/>
    </row>
    <row r="496" spans="1:17" x14ac:dyDescent="0.25">
      <c r="A496" s="11" t="s">
        <v>4921</v>
      </c>
      <c r="B496" s="13" t="s">
        <v>878</v>
      </c>
      <c r="D496" s="13" t="s">
        <v>1940</v>
      </c>
      <c r="E496" s="14" t="s">
        <v>1220</v>
      </c>
      <c r="F496" s="13" t="s">
        <v>773</v>
      </c>
      <c r="G496" s="13">
        <v>1</v>
      </c>
      <c r="H496" s="14">
        <f t="shared" si="15"/>
        <v>1</v>
      </c>
      <c r="J496" s="14">
        <v>1</v>
      </c>
      <c r="K496" s="13" t="s">
        <v>5253</v>
      </c>
      <c r="Q496" s="14"/>
    </row>
    <row r="497" spans="1:17" x14ac:dyDescent="0.25">
      <c r="A497" s="11" t="s">
        <v>4921</v>
      </c>
      <c r="B497" s="13" t="s">
        <v>1691</v>
      </c>
      <c r="D497" s="13" t="s">
        <v>1940</v>
      </c>
      <c r="F497" s="13" t="s">
        <v>773</v>
      </c>
      <c r="G497" s="13">
        <v>1</v>
      </c>
      <c r="H497" s="14">
        <f>G497+I497</f>
        <v>1</v>
      </c>
      <c r="J497" s="14">
        <v>1</v>
      </c>
      <c r="K497" s="13" t="s">
        <v>1195</v>
      </c>
      <c r="Q497" s="14"/>
    </row>
    <row r="498" spans="1:17" x14ac:dyDescent="0.25">
      <c r="A498" s="11" t="s">
        <v>4921</v>
      </c>
      <c r="B498" s="13" t="s">
        <v>804</v>
      </c>
      <c r="D498" s="13" t="s">
        <v>1940</v>
      </c>
      <c r="E498" s="14" t="s">
        <v>3860</v>
      </c>
      <c r="F498" s="13" t="s">
        <v>773</v>
      </c>
      <c r="G498" s="13">
        <v>3</v>
      </c>
      <c r="H498" s="14">
        <f>G498+I498</f>
        <v>3</v>
      </c>
      <c r="J498" s="14">
        <v>3</v>
      </c>
      <c r="K498" s="13" t="s">
        <v>5150</v>
      </c>
      <c r="Q498" s="14"/>
    </row>
    <row r="499" spans="1:17" x14ac:dyDescent="0.25">
      <c r="A499" s="11" t="s">
        <v>4921</v>
      </c>
      <c r="B499" s="13" t="s">
        <v>785</v>
      </c>
      <c r="D499" s="13" t="s">
        <v>1940</v>
      </c>
      <c r="F499" s="13" t="s">
        <v>773</v>
      </c>
      <c r="G499" s="13">
        <v>3</v>
      </c>
      <c r="H499" s="14">
        <f t="shared" ref="H499:H513" si="17">G499+I499</f>
        <v>3</v>
      </c>
      <c r="J499" s="14">
        <v>3</v>
      </c>
      <c r="K499" s="13" t="s">
        <v>4996</v>
      </c>
      <c r="Q499" s="14"/>
    </row>
    <row r="500" spans="1:17" x14ac:dyDescent="0.25">
      <c r="A500" s="11" t="s">
        <v>4921</v>
      </c>
      <c r="B500" s="13" t="s">
        <v>795</v>
      </c>
      <c r="D500" s="13" t="s">
        <v>1940</v>
      </c>
      <c r="F500" s="13" t="s">
        <v>773</v>
      </c>
      <c r="G500" s="13">
        <v>2</v>
      </c>
      <c r="H500" s="14">
        <f t="shared" si="17"/>
        <v>2</v>
      </c>
      <c r="J500" s="14">
        <v>2</v>
      </c>
      <c r="K500" s="13" t="s">
        <v>5095</v>
      </c>
      <c r="Q500" s="14"/>
    </row>
    <row r="501" spans="1:17" ht="22.5" x14ac:dyDescent="0.25">
      <c r="A501" s="11" t="s">
        <v>4921</v>
      </c>
      <c r="B501" s="13" t="s">
        <v>795</v>
      </c>
      <c r="C501" s="61" t="s">
        <v>944</v>
      </c>
      <c r="D501" s="13" t="s">
        <v>4780</v>
      </c>
      <c r="E501" s="14" t="s">
        <v>797</v>
      </c>
      <c r="F501" s="13" t="s">
        <v>773</v>
      </c>
      <c r="G501" s="13">
        <v>15</v>
      </c>
      <c r="H501" s="14">
        <f t="shared" si="17"/>
        <v>15</v>
      </c>
      <c r="J501" s="14">
        <v>7</v>
      </c>
      <c r="K501" s="13" t="s">
        <v>5129</v>
      </c>
      <c r="Q501" s="14"/>
    </row>
    <row r="502" spans="1:17" x14ac:dyDescent="0.25">
      <c r="A502" s="11" t="s">
        <v>4921</v>
      </c>
      <c r="B502" s="13" t="s">
        <v>795</v>
      </c>
      <c r="C502" s="61" t="s">
        <v>944</v>
      </c>
      <c r="D502" s="13" t="s">
        <v>969</v>
      </c>
      <c r="E502" s="14" t="s">
        <v>797</v>
      </c>
      <c r="F502" s="13" t="s">
        <v>773</v>
      </c>
      <c r="G502" s="13">
        <v>3</v>
      </c>
      <c r="H502" s="14">
        <f t="shared" si="17"/>
        <v>3</v>
      </c>
      <c r="J502" s="14">
        <v>1</v>
      </c>
      <c r="K502" s="13" t="s">
        <v>2193</v>
      </c>
      <c r="Q502" s="14"/>
    </row>
    <row r="503" spans="1:17" x14ac:dyDescent="0.25">
      <c r="A503" s="11" t="s">
        <v>4921</v>
      </c>
      <c r="B503" s="13" t="s">
        <v>795</v>
      </c>
      <c r="C503" s="61" t="s">
        <v>4778</v>
      </c>
      <c r="D503" s="13" t="s">
        <v>1223</v>
      </c>
      <c r="E503" s="14" t="s">
        <v>797</v>
      </c>
      <c r="F503" s="13" t="s">
        <v>773</v>
      </c>
      <c r="G503" s="13">
        <v>5</v>
      </c>
      <c r="H503" s="14">
        <f t="shared" si="17"/>
        <v>5</v>
      </c>
      <c r="J503" s="14">
        <v>4</v>
      </c>
      <c r="K503" s="13" t="s">
        <v>5252</v>
      </c>
      <c r="Q503" s="14"/>
    </row>
    <row r="504" spans="1:17" x14ac:dyDescent="0.25">
      <c r="A504" s="11" t="s">
        <v>4921</v>
      </c>
      <c r="B504" s="13" t="s">
        <v>1671</v>
      </c>
      <c r="D504" s="13" t="s">
        <v>1940</v>
      </c>
      <c r="E504" s="14" t="s">
        <v>3761</v>
      </c>
      <c r="F504" s="13" t="s">
        <v>773</v>
      </c>
      <c r="G504" s="13">
        <v>1</v>
      </c>
      <c r="H504" s="14">
        <f t="shared" si="17"/>
        <v>1</v>
      </c>
      <c r="J504" s="14">
        <v>1</v>
      </c>
      <c r="K504" s="13" t="s">
        <v>4325</v>
      </c>
      <c r="Q504" s="14"/>
    </row>
    <row r="505" spans="1:17" x14ac:dyDescent="0.25">
      <c r="A505" s="11" t="s">
        <v>4921</v>
      </c>
      <c r="B505" s="13" t="s">
        <v>1677</v>
      </c>
      <c r="D505" s="13" t="s">
        <v>1940</v>
      </c>
      <c r="E505" s="14" t="s">
        <v>1224</v>
      </c>
      <c r="F505" s="13" t="s">
        <v>773</v>
      </c>
      <c r="G505" s="13">
        <v>1</v>
      </c>
      <c r="H505" s="14">
        <f>G505+I505</f>
        <v>1</v>
      </c>
      <c r="J505" s="14">
        <v>1</v>
      </c>
      <c r="K505" s="13" t="s">
        <v>5174</v>
      </c>
      <c r="Q505" s="14"/>
    </row>
    <row r="506" spans="1:17" x14ac:dyDescent="0.25">
      <c r="A506" s="11" t="s">
        <v>4921</v>
      </c>
      <c r="B506" s="13" t="s">
        <v>772</v>
      </c>
      <c r="D506" s="13" t="s">
        <v>1940</v>
      </c>
      <c r="F506" s="13" t="s">
        <v>773</v>
      </c>
      <c r="G506" s="13">
        <v>3</v>
      </c>
      <c r="H506" s="14">
        <f t="shared" si="17"/>
        <v>3</v>
      </c>
      <c r="J506" s="14">
        <v>3</v>
      </c>
      <c r="K506" s="13" t="s">
        <v>5096</v>
      </c>
      <c r="Q506" s="14"/>
    </row>
    <row r="507" spans="1:17" x14ac:dyDescent="0.25">
      <c r="A507" s="11" t="s">
        <v>4921</v>
      </c>
      <c r="C507" s="61" t="s">
        <v>4928</v>
      </c>
      <c r="E507" s="13" t="s">
        <v>982</v>
      </c>
      <c r="F507" s="14" t="s">
        <v>771</v>
      </c>
      <c r="G507" s="13">
        <v>1</v>
      </c>
      <c r="H507" s="14">
        <f>G507+I507</f>
        <v>1</v>
      </c>
      <c r="J507" s="14">
        <v>1</v>
      </c>
      <c r="K507" s="13" t="s">
        <v>358</v>
      </c>
      <c r="Q507" s="14"/>
    </row>
    <row r="508" spans="1:17" x14ac:dyDescent="0.25">
      <c r="A508" s="11" t="s">
        <v>4921</v>
      </c>
      <c r="E508" s="14" t="s">
        <v>1947</v>
      </c>
      <c r="F508" s="14" t="s">
        <v>771</v>
      </c>
      <c r="G508" s="13">
        <v>6</v>
      </c>
      <c r="H508" s="14">
        <f t="shared" si="17"/>
        <v>6</v>
      </c>
      <c r="J508" s="14">
        <v>3</v>
      </c>
      <c r="K508" s="13" t="s">
        <v>5249</v>
      </c>
      <c r="Q508" s="14"/>
    </row>
    <row r="509" spans="1:17" x14ac:dyDescent="0.25">
      <c r="A509" s="11" t="s">
        <v>4921</v>
      </c>
      <c r="E509" s="14" t="s">
        <v>1023</v>
      </c>
      <c r="F509" s="14" t="s">
        <v>771</v>
      </c>
      <c r="G509" s="13">
        <v>1</v>
      </c>
      <c r="H509" s="14">
        <f t="shared" si="17"/>
        <v>1</v>
      </c>
      <c r="J509" s="14">
        <v>1</v>
      </c>
      <c r="K509" s="13" t="s">
        <v>32</v>
      </c>
      <c r="Q509" s="14"/>
    </row>
    <row r="510" spans="1:17" x14ac:dyDescent="0.25">
      <c r="A510" s="11" t="s">
        <v>4921</v>
      </c>
      <c r="E510" s="14" t="s">
        <v>1910</v>
      </c>
      <c r="F510" s="14" t="s">
        <v>771</v>
      </c>
      <c r="G510" s="13">
        <v>1</v>
      </c>
      <c r="H510" s="14">
        <f t="shared" si="17"/>
        <v>1</v>
      </c>
      <c r="J510" s="14">
        <v>1</v>
      </c>
      <c r="K510" s="13" t="s">
        <v>4331</v>
      </c>
      <c r="Q510" s="14"/>
    </row>
    <row r="511" spans="1:17" x14ac:dyDescent="0.25">
      <c r="A511" s="11" t="s">
        <v>4921</v>
      </c>
      <c r="E511" s="14" t="s">
        <v>879</v>
      </c>
      <c r="F511" s="14" t="s">
        <v>771</v>
      </c>
      <c r="G511" s="13">
        <v>1</v>
      </c>
      <c r="H511" s="14">
        <f t="shared" si="17"/>
        <v>1</v>
      </c>
      <c r="J511" s="14">
        <v>1</v>
      </c>
      <c r="K511" s="13" t="s">
        <v>4325</v>
      </c>
      <c r="Q511" s="14"/>
    </row>
    <row r="512" spans="1:17" x14ac:dyDescent="0.25">
      <c r="A512" s="11" t="s">
        <v>4921</v>
      </c>
      <c r="C512" s="61" t="s">
        <v>774</v>
      </c>
      <c r="D512" s="13" t="s">
        <v>1940</v>
      </c>
      <c r="F512" s="14" t="s">
        <v>771</v>
      </c>
      <c r="G512" s="13">
        <v>4</v>
      </c>
      <c r="H512" s="14">
        <f t="shared" si="17"/>
        <v>4</v>
      </c>
      <c r="J512" s="14">
        <v>4</v>
      </c>
      <c r="K512" s="13" t="s">
        <v>5130</v>
      </c>
      <c r="Q512" s="14"/>
    </row>
    <row r="513" spans="1:17" x14ac:dyDescent="0.25">
      <c r="A513" s="11" t="s">
        <v>4921</v>
      </c>
      <c r="B513" s="13" t="s">
        <v>875</v>
      </c>
      <c r="C513" s="61" t="s">
        <v>875</v>
      </c>
      <c r="D513" s="13" t="s">
        <v>1289</v>
      </c>
      <c r="E513" s="14" t="s">
        <v>1290</v>
      </c>
      <c r="F513" s="14" t="s">
        <v>773</v>
      </c>
      <c r="G513" s="14">
        <v>1</v>
      </c>
      <c r="H513" s="14">
        <f t="shared" si="17"/>
        <v>1</v>
      </c>
      <c r="J513" s="14">
        <v>1</v>
      </c>
      <c r="K513" s="13" t="s">
        <v>1902</v>
      </c>
    </row>
    <row r="514" spans="1:17" x14ac:dyDescent="0.25">
      <c r="Q514" s="14"/>
    </row>
    <row r="515" spans="1:17" ht="22.5" x14ac:dyDescent="0.25">
      <c r="B515" s="13" t="s">
        <v>532</v>
      </c>
      <c r="C515" s="61">
        <f>H2+H283+H357</f>
        <v>3</v>
      </c>
      <c r="Q515" s="14"/>
    </row>
    <row r="516" spans="1:17" x14ac:dyDescent="0.25">
      <c r="B516" s="13" t="s">
        <v>411</v>
      </c>
      <c r="C516" s="61">
        <f>H3+SUM(H284:H285)</f>
        <v>3</v>
      </c>
      <c r="Q516" s="14"/>
    </row>
    <row r="517" spans="1:17" x14ac:dyDescent="0.25">
      <c r="B517" s="13" t="s">
        <v>297</v>
      </c>
      <c r="C517" s="61">
        <f>SUM(H4:H6)+H286</f>
        <v>17</v>
      </c>
      <c r="Q517" s="14"/>
    </row>
    <row r="518" spans="1:17" x14ac:dyDescent="0.25">
      <c r="B518" s="13" t="s">
        <v>2249</v>
      </c>
      <c r="C518" s="61">
        <v>0</v>
      </c>
      <c r="Q518" s="14"/>
    </row>
    <row r="519" spans="1:17" x14ac:dyDescent="0.25">
      <c r="B519" s="13" t="s">
        <v>2365</v>
      </c>
      <c r="C519" s="61">
        <v>0</v>
      </c>
      <c r="Q519" s="14"/>
    </row>
    <row r="520" spans="1:17" x14ac:dyDescent="0.25">
      <c r="B520" s="13" t="s">
        <v>3211</v>
      </c>
      <c r="C520" s="61">
        <v>0</v>
      </c>
      <c r="Q520" s="14"/>
    </row>
    <row r="521" spans="1:17" x14ac:dyDescent="0.25">
      <c r="B521" s="13" t="s">
        <v>76</v>
      </c>
      <c r="C521" s="61">
        <f>SUM(H7:H9)+H287</f>
        <v>34</v>
      </c>
      <c r="Q521" s="14"/>
    </row>
    <row r="522" spans="1:17" x14ac:dyDescent="0.25">
      <c r="B522" s="13" t="s">
        <v>1424</v>
      </c>
      <c r="C522" s="61">
        <f>H10+H288</f>
        <v>2</v>
      </c>
      <c r="D522" s="14"/>
      <c r="Q522" s="14"/>
    </row>
    <row r="523" spans="1:17" x14ac:dyDescent="0.25">
      <c r="B523" s="13" t="s">
        <v>213</v>
      </c>
      <c r="C523" s="61">
        <v>0</v>
      </c>
      <c r="D523" s="14"/>
      <c r="Q523" s="14"/>
    </row>
    <row r="524" spans="1:17" x14ac:dyDescent="0.25">
      <c r="B524" s="13" t="s">
        <v>42</v>
      </c>
      <c r="C524" s="61">
        <f>SUM(H11:H13)+SUM(H289:H292)</f>
        <v>32</v>
      </c>
      <c r="D524" s="14"/>
      <c r="Q524" s="14"/>
    </row>
    <row r="525" spans="1:17" x14ac:dyDescent="0.25">
      <c r="B525" s="13" t="s">
        <v>10</v>
      </c>
      <c r="C525" s="61">
        <f>SUM(H14:H27)+SUM(H293:H297)</f>
        <v>42</v>
      </c>
      <c r="D525" s="14"/>
      <c r="Q525" s="14"/>
    </row>
    <row r="526" spans="1:17" x14ac:dyDescent="0.25">
      <c r="B526" s="13" t="s">
        <v>126</v>
      </c>
      <c r="C526" s="61">
        <f>SUM(H28:H30)+SUM(H298:H300)</f>
        <v>11</v>
      </c>
      <c r="Q526" s="14"/>
    </row>
    <row r="527" spans="1:17" x14ac:dyDescent="0.25">
      <c r="B527" s="13" t="s">
        <v>191</v>
      </c>
      <c r="C527" s="61">
        <f>SUM(H31:H34)+SUM(H301:H303)</f>
        <v>27</v>
      </c>
      <c r="Q527" s="14"/>
    </row>
    <row r="528" spans="1:17" x14ac:dyDescent="0.25">
      <c r="B528" s="13" t="s">
        <v>68</v>
      </c>
      <c r="C528" s="61">
        <f>SUM(H35:H50)+SUM(H304:H306)</f>
        <v>61</v>
      </c>
      <c r="Q528" s="14"/>
    </row>
    <row r="529" spans="1:17" x14ac:dyDescent="0.25">
      <c r="B529" s="13" t="s">
        <v>674</v>
      </c>
      <c r="C529" s="61">
        <f>H307</f>
        <v>1</v>
      </c>
      <c r="Q529" s="14"/>
    </row>
    <row r="530" spans="1:17" s="79" customFormat="1" x14ac:dyDescent="0.2">
      <c r="A530" s="78"/>
      <c r="B530" s="13" t="s">
        <v>327</v>
      </c>
      <c r="C530" s="61">
        <f>H308+H360</f>
        <v>10</v>
      </c>
      <c r="D530" s="13"/>
      <c r="E530" s="14"/>
      <c r="F530" s="14"/>
      <c r="G530" s="14"/>
      <c r="H530" s="14"/>
      <c r="I530" s="14"/>
      <c r="J530" s="14"/>
      <c r="K530" s="13"/>
      <c r="L530" s="14"/>
      <c r="M530" s="14"/>
      <c r="N530" s="14"/>
      <c r="O530" s="14"/>
      <c r="P530" s="14"/>
    </row>
    <row r="531" spans="1:17" x14ac:dyDescent="0.2">
      <c r="B531" s="13" t="s">
        <v>209</v>
      </c>
      <c r="C531" s="61">
        <f>SUM(H51:H54)+H309</f>
        <v>9</v>
      </c>
      <c r="L531" s="79"/>
      <c r="M531" s="79"/>
      <c r="N531" s="79"/>
      <c r="O531" s="79"/>
      <c r="P531" s="79"/>
      <c r="Q531" s="14"/>
    </row>
    <row r="532" spans="1:17" x14ac:dyDescent="0.2">
      <c r="B532" s="13" t="s">
        <v>2006</v>
      </c>
      <c r="C532" s="83">
        <v>0</v>
      </c>
      <c r="D532" s="79"/>
      <c r="E532" s="79"/>
      <c r="F532" s="79"/>
      <c r="G532" s="79"/>
      <c r="I532" s="79"/>
      <c r="J532" s="79"/>
      <c r="K532" s="79"/>
      <c r="Q532" s="14"/>
    </row>
    <row r="533" spans="1:17" x14ac:dyDescent="0.2">
      <c r="B533" s="13" t="s">
        <v>3231</v>
      </c>
      <c r="C533" s="83">
        <v>0</v>
      </c>
      <c r="D533" s="79"/>
      <c r="E533" s="79"/>
      <c r="F533" s="79"/>
      <c r="G533" s="79"/>
      <c r="I533" s="79"/>
      <c r="J533" s="79"/>
      <c r="K533" s="79"/>
      <c r="Q533" s="14"/>
    </row>
    <row r="534" spans="1:17" x14ac:dyDescent="0.25">
      <c r="B534" s="13" t="s">
        <v>64</v>
      </c>
      <c r="C534" s="61">
        <f>SUM(H55:H59)+H310</f>
        <v>14</v>
      </c>
      <c r="D534" s="14"/>
      <c r="K534" s="14"/>
      <c r="Q534" s="14"/>
    </row>
    <row r="535" spans="1:17" x14ac:dyDescent="0.25">
      <c r="B535" s="13" t="s">
        <v>261</v>
      </c>
      <c r="C535" s="61">
        <f>SUM(H60:H61)+SUM(H311:H313)</f>
        <v>12</v>
      </c>
      <c r="D535" s="14"/>
      <c r="K535" s="14"/>
      <c r="Q535" s="14"/>
    </row>
    <row r="536" spans="1:17" x14ac:dyDescent="0.25">
      <c r="B536" s="13" t="s">
        <v>1346</v>
      </c>
      <c r="C536" s="61">
        <v>0</v>
      </c>
      <c r="D536" s="14"/>
      <c r="K536" s="14"/>
      <c r="Q536" s="14"/>
    </row>
    <row r="537" spans="1:17" x14ac:dyDescent="0.25">
      <c r="A537" s="14"/>
      <c r="B537" s="13" t="s">
        <v>705</v>
      </c>
      <c r="C537" s="61">
        <v>0</v>
      </c>
      <c r="D537" s="14"/>
      <c r="K537" s="14"/>
      <c r="Q537" s="14"/>
    </row>
    <row r="538" spans="1:17" x14ac:dyDescent="0.25">
      <c r="A538" s="14"/>
      <c r="B538" s="13" t="s">
        <v>134</v>
      </c>
      <c r="C538" s="61">
        <v>0</v>
      </c>
      <c r="D538" s="14"/>
      <c r="K538" s="14"/>
      <c r="Q538" s="14"/>
    </row>
    <row r="539" spans="1:17" x14ac:dyDescent="0.25">
      <c r="A539" s="14"/>
      <c r="B539" s="13" t="s">
        <v>283</v>
      </c>
      <c r="C539" s="61">
        <f>H62</f>
        <v>5</v>
      </c>
      <c r="D539" s="14"/>
      <c r="K539" s="14"/>
      <c r="Q539" s="14"/>
    </row>
    <row r="540" spans="1:17" x14ac:dyDescent="0.25">
      <c r="A540" s="14"/>
      <c r="B540" s="13" t="s">
        <v>430</v>
      </c>
      <c r="C540" s="61">
        <f>H63</f>
        <v>1</v>
      </c>
      <c r="D540" s="14"/>
      <c r="K540" s="14"/>
      <c r="Q540" s="14"/>
    </row>
    <row r="541" spans="1:17" x14ac:dyDescent="0.25">
      <c r="A541" s="14"/>
      <c r="B541" s="13" t="s">
        <v>1933</v>
      </c>
      <c r="C541" s="61">
        <f>SUM(H314:H315)</f>
        <v>2</v>
      </c>
      <c r="D541" s="14"/>
      <c r="K541" s="14"/>
      <c r="Q541" s="14"/>
    </row>
    <row r="542" spans="1:17" x14ac:dyDescent="0.25">
      <c r="A542" s="14"/>
      <c r="B542" s="13" t="s">
        <v>328</v>
      </c>
      <c r="C542" s="61">
        <f>H64+SUM(H316:H317)</f>
        <v>15</v>
      </c>
      <c r="D542" s="14"/>
      <c r="K542" s="14"/>
      <c r="Q542" s="14"/>
    </row>
    <row r="543" spans="1:17" x14ac:dyDescent="0.25">
      <c r="A543" s="14"/>
      <c r="B543" s="13" t="s">
        <v>3201</v>
      </c>
      <c r="C543" s="61">
        <v>0</v>
      </c>
      <c r="D543" s="14"/>
      <c r="K543" s="14"/>
      <c r="Q543" s="14"/>
    </row>
    <row r="544" spans="1:17" x14ac:dyDescent="0.25">
      <c r="A544" s="14"/>
      <c r="B544" s="13" t="s">
        <v>2391</v>
      </c>
      <c r="C544" s="61">
        <f>H318</f>
        <v>1</v>
      </c>
      <c r="D544" s="14"/>
      <c r="K544" s="14"/>
      <c r="Q544" s="14"/>
    </row>
    <row r="545" spans="1:17" x14ac:dyDescent="0.25">
      <c r="A545" s="14"/>
      <c r="B545" s="13" t="s">
        <v>483</v>
      </c>
      <c r="C545" s="61">
        <v>0</v>
      </c>
      <c r="D545" s="14"/>
      <c r="K545" s="14"/>
      <c r="Q545" s="14"/>
    </row>
    <row r="546" spans="1:17" x14ac:dyDescent="0.25">
      <c r="A546" s="14"/>
      <c r="B546" s="13" t="s">
        <v>2674</v>
      </c>
      <c r="C546" s="61">
        <f>H319</f>
        <v>1</v>
      </c>
      <c r="D546" s="14"/>
      <c r="K546" s="14"/>
      <c r="Q546" s="14"/>
    </row>
    <row r="547" spans="1:17" x14ac:dyDescent="0.25">
      <c r="A547" s="14"/>
      <c r="B547" s="13" t="s">
        <v>2091</v>
      </c>
      <c r="C547" s="61">
        <v>0</v>
      </c>
      <c r="D547" s="14"/>
      <c r="K547" s="14"/>
      <c r="Q547" s="14"/>
    </row>
    <row r="548" spans="1:17" x14ac:dyDescent="0.25">
      <c r="A548" s="14"/>
      <c r="B548" s="13" t="s">
        <v>78</v>
      </c>
      <c r="C548" s="61">
        <f>SUM(H65:H68)+SUM(H320:H321)</f>
        <v>14</v>
      </c>
      <c r="D548" s="14"/>
      <c r="K548" s="14"/>
      <c r="Q548" s="14"/>
    </row>
    <row r="549" spans="1:17" x14ac:dyDescent="0.25">
      <c r="A549" s="14"/>
      <c r="B549" s="13" t="s">
        <v>206</v>
      </c>
      <c r="C549" s="61">
        <v>0</v>
      </c>
      <c r="D549" s="14"/>
      <c r="K549" s="14"/>
      <c r="Q549" s="14"/>
    </row>
    <row r="550" spans="1:17" x14ac:dyDescent="0.25">
      <c r="A550" s="14"/>
      <c r="B550" s="13" t="s">
        <v>46</v>
      </c>
      <c r="C550" s="61">
        <f>H69+H323</f>
        <v>4</v>
      </c>
      <c r="D550" s="14"/>
      <c r="K550" s="14"/>
      <c r="Q550" s="14"/>
    </row>
    <row r="551" spans="1:17" x14ac:dyDescent="0.25">
      <c r="A551" s="14"/>
      <c r="B551" s="13" t="s">
        <v>2617</v>
      </c>
      <c r="C551" s="61">
        <f>H322</f>
        <v>1</v>
      </c>
      <c r="D551" s="14"/>
      <c r="K551" s="14"/>
      <c r="Q551" s="14"/>
    </row>
    <row r="552" spans="1:17" x14ac:dyDescent="0.25">
      <c r="A552" s="14"/>
      <c r="B552" s="13" t="s">
        <v>62</v>
      </c>
      <c r="C552" s="61">
        <f>SUM(H70:H81)+H324</f>
        <v>53</v>
      </c>
      <c r="D552" s="14"/>
      <c r="K552" s="14"/>
      <c r="Q552" s="14"/>
    </row>
    <row r="553" spans="1:17" x14ac:dyDescent="0.25">
      <c r="A553" s="14"/>
      <c r="B553" s="13" t="s">
        <v>3137</v>
      </c>
      <c r="C553" s="61">
        <v>0</v>
      </c>
      <c r="D553" s="14"/>
      <c r="K553" s="14"/>
      <c r="Q553" s="14"/>
    </row>
    <row r="554" spans="1:17" x14ac:dyDescent="0.25">
      <c r="A554" s="14"/>
      <c r="B554" s="13" t="s">
        <v>82</v>
      </c>
      <c r="C554" s="61">
        <v>0</v>
      </c>
      <c r="D554" s="14"/>
      <c r="K554" s="14"/>
      <c r="Q554" s="14"/>
    </row>
    <row r="555" spans="1:17" x14ac:dyDescent="0.25">
      <c r="A555" s="14"/>
      <c r="B555" s="13" t="s">
        <v>22</v>
      </c>
      <c r="C555" s="61">
        <f>SUM(H82:H83)+SUM(H325:H328)</f>
        <v>16</v>
      </c>
      <c r="D555" s="14"/>
      <c r="K555" s="14"/>
      <c r="Q555" s="14"/>
    </row>
    <row r="556" spans="1:17" x14ac:dyDescent="0.25">
      <c r="A556" s="14"/>
      <c r="B556" s="13" t="s">
        <v>446</v>
      </c>
      <c r="C556" s="61">
        <v>0</v>
      </c>
      <c r="D556" s="14"/>
      <c r="K556" s="14"/>
      <c r="Q556" s="14"/>
    </row>
    <row r="557" spans="1:17" x14ac:dyDescent="0.25">
      <c r="A557" s="14"/>
      <c r="B557" s="13" t="s">
        <v>609</v>
      </c>
      <c r="C557" s="61">
        <f>SUM(H84:H86)+SUM(H329:H333)</f>
        <v>16</v>
      </c>
      <c r="D557" s="14"/>
      <c r="K557" s="14"/>
      <c r="Q557" s="14"/>
    </row>
    <row r="558" spans="1:17" x14ac:dyDescent="0.25">
      <c r="A558" s="14"/>
      <c r="B558" s="13" t="s">
        <v>699</v>
      </c>
      <c r="C558" s="61">
        <f>H87</f>
        <v>4</v>
      </c>
      <c r="D558" s="14"/>
      <c r="K558" s="14"/>
      <c r="Q558" s="14"/>
    </row>
    <row r="559" spans="1:17" x14ac:dyDescent="0.25">
      <c r="A559" s="14"/>
      <c r="B559" s="13" t="s">
        <v>93</v>
      </c>
      <c r="C559" s="61">
        <f>SUM(H88:H96)+SUM(H334:H335)</f>
        <v>35</v>
      </c>
      <c r="D559" s="14"/>
      <c r="K559" s="14"/>
      <c r="Q559" s="14"/>
    </row>
    <row r="560" spans="1:17" x14ac:dyDescent="0.25">
      <c r="A560" s="14"/>
      <c r="B560" s="13" t="s">
        <v>1731</v>
      </c>
      <c r="C560" s="61">
        <f>SUM(H97:H98)</f>
        <v>2</v>
      </c>
      <c r="D560" s="14"/>
      <c r="K560" s="14"/>
      <c r="Q560" s="14"/>
    </row>
    <row r="561" spans="1:17" x14ac:dyDescent="0.25">
      <c r="A561" s="14"/>
      <c r="B561" s="13" t="s">
        <v>50</v>
      </c>
      <c r="C561" s="61">
        <f>H99+SUM(H336:H337)</f>
        <v>4</v>
      </c>
      <c r="D561" s="14"/>
      <c r="K561" s="14"/>
      <c r="Q561" s="14"/>
    </row>
    <row r="562" spans="1:17" x14ac:dyDescent="0.25">
      <c r="A562" s="14"/>
      <c r="B562" s="13" t="s">
        <v>24</v>
      </c>
      <c r="C562" s="61">
        <f>SUM(H100:H141)+SUM(H338:H344)+SUM(H358:H359)</f>
        <v>310</v>
      </c>
      <c r="D562" s="14"/>
      <c r="K562" s="14"/>
      <c r="Q562" s="14"/>
    </row>
    <row r="563" spans="1:17" ht="23.25" customHeight="1" x14ac:dyDescent="0.25">
      <c r="A563" s="14"/>
      <c r="B563" s="13" t="s">
        <v>3208</v>
      </c>
      <c r="C563" s="61">
        <v>0</v>
      </c>
      <c r="D563" s="14"/>
      <c r="K563" s="14"/>
      <c r="Q563" s="14"/>
    </row>
    <row r="564" spans="1:17" x14ac:dyDescent="0.25">
      <c r="A564" s="14"/>
      <c r="B564" s="13" t="s">
        <v>139</v>
      </c>
      <c r="C564" s="61">
        <f>SUM(H142:H152)+SUM(H346:H349)</f>
        <v>52</v>
      </c>
      <c r="D564" s="14"/>
      <c r="K564" s="14"/>
      <c r="Q564" s="14"/>
    </row>
    <row r="565" spans="1:17" x14ac:dyDescent="0.25">
      <c r="A565" s="14"/>
      <c r="B565" s="13" t="s">
        <v>269</v>
      </c>
      <c r="C565" s="61">
        <f>SUM(H153:H160)+SUM(H350:H353)</f>
        <v>18</v>
      </c>
      <c r="D565" s="14"/>
      <c r="K565" s="14"/>
      <c r="Q565" s="14"/>
    </row>
    <row r="566" spans="1:17" x14ac:dyDescent="0.25">
      <c r="A566" s="14"/>
      <c r="B566" s="13" t="s">
        <v>2384</v>
      </c>
      <c r="C566" s="61">
        <f>H354</f>
        <v>1</v>
      </c>
      <c r="D566" s="14"/>
      <c r="K566" s="14"/>
      <c r="Q566" s="14"/>
    </row>
    <row r="567" spans="1:17" x14ac:dyDescent="0.25">
      <c r="A567" s="14"/>
      <c r="B567" s="13" t="s">
        <v>2079</v>
      </c>
      <c r="C567" s="61">
        <v>0</v>
      </c>
      <c r="D567" s="14"/>
      <c r="K567" s="14"/>
      <c r="Q567" s="14"/>
    </row>
    <row r="568" spans="1:17" x14ac:dyDescent="0.25">
      <c r="A568" s="14"/>
      <c r="B568" s="13" t="s">
        <v>4886</v>
      </c>
      <c r="C568" s="61">
        <f>H345+SUM(H355:H356)</f>
        <v>41</v>
      </c>
      <c r="D568" s="14"/>
      <c r="K568" s="14"/>
      <c r="Q568" s="14"/>
    </row>
    <row r="569" spans="1:17" x14ac:dyDescent="0.25">
      <c r="A569" s="14"/>
      <c r="B569" s="13" t="s">
        <v>718</v>
      </c>
      <c r="C569" s="61">
        <f>H161+H378</f>
        <v>7</v>
      </c>
      <c r="D569" s="14"/>
      <c r="K569" s="14"/>
      <c r="Q569" s="14"/>
    </row>
    <row r="570" spans="1:17" x14ac:dyDescent="0.25">
      <c r="A570" s="14"/>
      <c r="B570" s="13" t="s">
        <v>1682</v>
      </c>
      <c r="C570" s="61">
        <f>H162+H379</f>
        <v>2</v>
      </c>
      <c r="D570" s="14"/>
      <c r="K570" s="14"/>
      <c r="Q570" s="14"/>
    </row>
    <row r="571" spans="1:17" x14ac:dyDescent="0.25">
      <c r="A571" s="14"/>
      <c r="B571" s="13" t="s">
        <v>3596</v>
      </c>
      <c r="C571" s="61">
        <v>0</v>
      </c>
      <c r="D571" s="14"/>
      <c r="K571" s="14"/>
      <c r="Q571" s="14"/>
    </row>
    <row r="572" spans="1:17" x14ac:dyDescent="0.25">
      <c r="A572" s="14"/>
      <c r="B572" s="13" t="s">
        <v>742</v>
      </c>
      <c r="C572" s="61">
        <f>H380</f>
        <v>1</v>
      </c>
      <c r="D572" s="14"/>
      <c r="K572" s="14"/>
      <c r="Q572" s="14"/>
    </row>
    <row r="573" spans="1:17" x14ac:dyDescent="0.25">
      <c r="A573" s="14"/>
      <c r="C573" s="61">
        <f>SUM(C515:C572)</f>
        <v>884</v>
      </c>
      <c r="D573" s="14"/>
      <c r="K573" s="14"/>
      <c r="Q573" s="14"/>
    </row>
    <row r="574" spans="1:17" x14ac:dyDescent="0.25">
      <c r="A574" s="14"/>
      <c r="B574" s="12" t="s">
        <v>11</v>
      </c>
      <c r="C574" s="61">
        <f>SUM(C575:C579)+SUM(H276:H277)+H363+SUM(H391/2)+SUM(H408/2)</f>
        <v>1001</v>
      </c>
      <c r="D574" s="14"/>
      <c r="K574" s="14"/>
      <c r="Q574" s="14"/>
    </row>
    <row r="575" spans="1:17" x14ac:dyDescent="0.25">
      <c r="A575" s="14"/>
      <c r="B575" s="13" t="s">
        <v>663</v>
      </c>
      <c r="C575" s="61">
        <f>C529+C542+C550+C560+C568+C564+C565+H365+SUM(H366/2)+SUM(H367/2)</f>
        <v>139</v>
      </c>
      <c r="D575" s="14"/>
      <c r="K575" s="14"/>
      <c r="Q575" s="14"/>
    </row>
    <row r="576" spans="1:17" x14ac:dyDescent="0.25">
      <c r="A576" s="14"/>
      <c r="B576" s="13" t="s">
        <v>664</v>
      </c>
      <c r="C576" s="61">
        <f>C522+C525+C540+C569+H364+SUM(H366/2)+SUM(H382/2)</f>
        <v>54.5</v>
      </c>
      <c r="D576" s="14"/>
      <c r="K576" s="14"/>
      <c r="Q576" s="14"/>
    </row>
    <row r="577" spans="1:17" x14ac:dyDescent="0.25">
      <c r="A577" s="14"/>
      <c r="B577" s="13" t="s">
        <v>271</v>
      </c>
      <c r="C577" s="61">
        <f>C530+C531+C535+C539+C544+C548+C557+C558+C559+SUM(H361:H362)+SUM(H367/2)+H372+SUM(H374:H375)/2+H386</f>
        <v>117.5</v>
      </c>
      <c r="D577" s="14"/>
      <c r="K577" s="14"/>
      <c r="Q577" s="14"/>
    </row>
    <row r="578" spans="1:17" x14ac:dyDescent="0.25">
      <c r="A578" s="14"/>
      <c r="B578" s="13" t="s">
        <v>144</v>
      </c>
      <c r="C578" s="61">
        <f>C515+C524+C527+C528+C534+C555+C562+C572+C570+SUM(H370:H371)+H373+SUM(H374:H375)/2+SUM(H382/2)+SUM(H383:H385)+SUM(H387:H388)/2+SUM(H389:H390)</f>
        <v>510</v>
      </c>
      <c r="D578" s="14"/>
      <c r="K578" s="14"/>
      <c r="Q578" s="14"/>
    </row>
    <row r="579" spans="1:17" x14ac:dyDescent="0.25">
      <c r="A579" s="14"/>
      <c r="B579" s="13" t="s">
        <v>666</v>
      </c>
      <c r="C579" s="61">
        <f>C516+C517+C521+C526+C541+C546+C551+C552+C561+C566+SUM(H368:H369)+H381</f>
        <v>130</v>
      </c>
      <c r="D579" s="14"/>
      <c r="K579" s="14"/>
      <c r="Q579" s="14"/>
    </row>
    <row r="580" spans="1:17" x14ac:dyDescent="0.25">
      <c r="D580" s="14"/>
      <c r="K580" s="14"/>
      <c r="Q580" s="14"/>
    </row>
    <row r="581" spans="1:17" x14ac:dyDescent="0.25">
      <c r="B581" s="13" t="s">
        <v>231</v>
      </c>
      <c r="C581" s="61">
        <f>SUM(H163:H168)+SUM(H413:H414)+SUM(H435:H438)</f>
        <v>25</v>
      </c>
      <c r="D581" s="14"/>
      <c r="K581" s="14"/>
      <c r="Q581" s="14"/>
    </row>
    <row r="582" spans="1:17" x14ac:dyDescent="0.25">
      <c r="B582" s="13" t="s">
        <v>995</v>
      </c>
      <c r="C582" s="61">
        <f>H169+SUM(H439:H440)</f>
        <v>4</v>
      </c>
      <c r="D582" s="14"/>
      <c r="K582" s="14"/>
      <c r="Q582" s="14"/>
    </row>
    <row r="583" spans="1:17" x14ac:dyDescent="0.25">
      <c r="B583" s="13" t="s">
        <v>953</v>
      </c>
      <c r="C583" s="61">
        <f>SUM(H170:H174)+SUM(H441:H442)</f>
        <v>12</v>
      </c>
      <c r="D583" s="14"/>
      <c r="K583" s="14"/>
      <c r="Q583" s="14"/>
    </row>
    <row r="584" spans="1:17" x14ac:dyDescent="0.25">
      <c r="B584" s="13" t="s">
        <v>1608</v>
      </c>
      <c r="C584" s="61">
        <v>0</v>
      </c>
      <c r="D584" s="14"/>
      <c r="K584" s="14"/>
      <c r="Q584" s="14"/>
    </row>
    <row r="585" spans="1:17" x14ac:dyDescent="0.25">
      <c r="B585" s="13" t="s">
        <v>394</v>
      </c>
      <c r="C585" s="61">
        <f>H175</f>
        <v>1</v>
      </c>
      <c r="D585" s="14"/>
      <c r="K585" s="14"/>
      <c r="Q585" s="14"/>
    </row>
    <row r="586" spans="1:17" x14ac:dyDescent="0.25">
      <c r="B586" s="13" t="s">
        <v>238</v>
      </c>
      <c r="C586" s="61">
        <f>SUM(H176:H177)+H443</f>
        <v>9</v>
      </c>
      <c r="D586" s="14"/>
      <c r="K586" s="14"/>
      <c r="Q586" s="14"/>
    </row>
    <row r="587" spans="1:17" s="79" customFormat="1" x14ac:dyDescent="0.2">
      <c r="A587" s="78"/>
      <c r="B587" s="13" t="s">
        <v>226</v>
      </c>
      <c r="C587" s="61">
        <f>SUM(H178:H186)+SUM(H444:H447)</f>
        <v>28</v>
      </c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</row>
    <row r="588" spans="1:17" s="79" customFormat="1" x14ac:dyDescent="0.2">
      <c r="A588" s="78"/>
      <c r="B588" s="13" t="s">
        <v>1641</v>
      </c>
      <c r="C588" s="61">
        <v>0</v>
      </c>
      <c r="D588" s="14"/>
      <c r="E588" s="14"/>
      <c r="F588" s="14"/>
      <c r="G588" s="14"/>
      <c r="H588" s="14"/>
      <c r="I588" s="14"/>
      <c r="J588" s="14"/>
      <c r="K588" s="14"/>
    </row>
    <row r="589" spans="1:17" s="79" customFormat="1" x14ac:dyDescent="0.2">
      <c r="A589" s="78"/>
      <c r="B589" s="13" t="s">
        <v>998</v>
      </c>
      <c r="C589" s="83">
        <f>H187+H448</f>
        <v>2</v>
      </c>
      <c r="H589" s="14"/>
    </row>
    <row r="590" spans="1:17" x14ac:dyDescent="0.2">
      <c r="B590" s="13" t="s">
        <v>407</v>
      </c>
      <c r="C590" s="83">
        <f>H449</f>
        <v>3</v>
      </c>
      <c r="D590" s="79"/>
      <c r="E590" s="79"/>
      <c r="F590" s="79"/>
      <c r="G590" s="79"/>
      <c r="I590" s="79"/>
      <c r="J590" s="79"/>
      <c r="K590" s="79"/>
      <c r="L590" s="79"/>
      <c r="M590" s="79"/>
      <c r="N590" s="79"/>
      <c r="O590" s="79"/>
      <c r="P590" s="79"/>
      <c r="Q590" s="14"/>
    </row>
    <row r="591" spans="1:17" x14ac:dyDescent="0.2">
      <c r="B591" s="13" t="s">
        <v>1612</v>
      </c>
      <c r="C591" s="83">
        <f>H450</f>
        <v>1</v>
      </c>
      <c r="D591" s="79"/>
      <c r="E591" s="79"/>
      <c r="F591" s="79"/>
      <c r="G591" s="79"/>
      <c r="H591" s="79"/>
      <c r="I591" s="79"/>
      <c r="J591" s="79"/>
      <c r="K591" s="79"/>
      <c r="Q591" s="14"/>
    </row>
    <row r="592" spans="1:17" x14ac:dyDescent="0.2">
      <c r="B592" s="13" t="s">
        <v>86</v>
      </c>
      <c r="C592" s="61">
        <f>H188+H451</f>
        <v>2</v>
      </c>
      <c r="D592" s="14"/>
      <c r="H592" s="79"/>
      <c r="K592" s="14"/>
      <c r="Q592" s="14"/>
    </row>
    <row r="593" spans="1:17" x14ac:dyDescent="0.2">
      <c r="B593" s="13" t="s">
        <v>676</v>
      </c>
      <c r="C593" s="61">
        <f>SUM(H189:H191)+SUM(H452:H454)</f>
        <v>9</v>
      </c>
      <c r="D593" s="14"/>
      <c r="H593" s="79"/>
      <c r="K593" s="14"/>
      <c r="Q593" s="14"/>
    </row>
    <row r="594" spans="1:17" x14ac:dyDescent="0.25">
      <c r="B594" s="13" t="s">
        <v>975</v>
      </c>
      <c r="C594" s="61">
        <f>SUM(H464:H465)</f>
        <v>3</v>
      </c>
      <c r="D594" s="14"/>
      <c r="K594" s="14"/>
      <c r="Q594" s="14"/>
    </row>
    <row r="595" spans="1:17" x14ac:dyDescent="0.25">
      <c r="B595" s="13" t="s">
        <v>4204</v>
      </c>
      <c r="C595" s="61">
        <f>SUM(H192:H194)+SUM(H455:H458)</f>
        <v>13</v>
      </c>
      <c r="D595" s="14"/>
      <c r="K595" s="14"/>
      <c r="Q595" s="14"/>
    </row>
    <row r="596" spans="1:17" x14ac:dyDescent="0.25">
      <c r="B596" s="13" t="s">
        <v>5255</v>
      </c>
      <c r="C596" s="61">
        <f>H459</f>
        <v>2</v>
      </c>
      <c r="D596" s="14"/>
      <c r="K596" s="14"/>
      <c r="Q596" s="14"/>
    </row>
    <row r="597" spans="1:17" x14ac:dyDescent="0.25">
      <c r="A597" s="14"/>
      <c r="B597" s="13" t="s">
        <v>426</v>
      </c>
      <c r="C597" s="61">
        <v>0</v>
      </c>
      <c r="D597" s="14"/>
      <c r="K597" s="14"/>
      <c r="Q597" s="14"/>
    </row>
    <row r="598" spans="1:17" x14ac:dyDescent="0.25">
      <c r="A598" s="14"/>
      <c r="B598" s="13" t="s">
        <v>34</v>
      </c>
      <c r="C598" s="61">
        <f>SUM(H197:H206)+SUM(H460:H463)</f>
        <v>71</v>
      </c>
      <c r="D598" s="14"/>
      <c r="K598" s="14"/>
      <c r="Q598" s="14"/>
    </row>
    <row r="599" spans="1:17" x14ac:dyDescent="0.25">
      <c r="A599" s="14"/>
      <c r="B599" s="13" t="s">
        <v>99</v>
      </c>
      <c r="C599" s="61">
        <f>SUM(H207:H208)+SUM(H466:H471)</f>
        <v>29</v>
      </c>
      <c r="D599" s="14"/>
      <c r="K599" s="14"/>
      <c r="Q599" s="14"/>
    </row>
    <row r="600" spans="1:17" x14ac:dyDescent="0.25">
      <c r="A600" s="14"/>
      <c r="B600" s="13" t="s">
        <v>3857</v>
      </c>
      <c r="C600" s="61">
        <f>H472</f>
        <v>1</v>
      </c>
      <c r="D600" s="14"/>
      <c r="K600" s="14"/>
      <c r="Q600" s="14"/>
    </row>
    <row r="601" spans="1:17" x14ac:dyDescent="0.25">
      <c r="A601" s="14"/>
      <c r="B601" s="13" t="s">
        <v>170</v>
      </c>
      <c r="C601" s="61">
        <f>SUM(H209:H214)+SUM(H473:H475)</f>
        <v>23</v>
      </c>
      <c r="D601" s="14"/>
      <c r="K601" s="14"/>
      <c r="Q601" s="14"/>
    </row>
    <row r="602" spans="1:17" x14ac:dyDescent="0.25">
      <c r="A602" s="14"/>
      <c r="B602" s="13" t="s">
        <v>1694</v>
      </c>
      <c r="C602" s="61">
        <v>0</v>
      </c>
      <c r="D602" s="14"/>
      <c r="K602" s="14"/>
      <c r="Q602" s="14"/>
    </row>
    <row r="603" spans="1:17" x14ac:dyDescent="0.25">
      <c r="A603" s="14"/>
      <c r="B603" s="13" t="s">
        <v>1031</v>
      </c>
      <c r="C603" s="61">
        <v>0</v>
      </c>
      <c r="D603" s="14"/>
      <c r="K603" s="14"/>
      <c r="Q603" s="14"/>
    </row>
    <row r="604" spans="1:17" x14ac:dyDescent="0.25">
      <c r="A604" s="14"/>
      <c r="B604" s="13" t="s">
        <v>319</v>
      </c>
      <c r="C604" s="61">
        <f>SUM(H215:H217)+H476</f>
        <v>12</v>
      </c>
      <c r="D604" s="14"/>
      <c r="K604" s="14"/>
      <c r="Q604" s="14"/>
    </row>
    <row r="605" spans="1:17" x14ac:dyDescent="0.25">
      <c r="A605" s="14"/>
      <c r="B605" s="13" t="s">
        <v>1606</v>
      </c>
      <c r="C605" s="61">
        <v>0</v>
      </c>
      <c r="D605" s="14"/>
      <c r="K605" s="14"/>
      <c r="Q605" s="14"/>
    </row>
    <row r="606" spans="1:17" x14ac:dyDescent="0.25">
      <c r="A606" s="14"/>
      <c r="B606" s="13" t="s">
        <v>1610</v>
      </c>
      <c r="C606" s="61">
        <v>0</v>
      </c>
      <c r="D606" s="14"/>
      <c r="K606" s="14"/>
      <c r="Q606" s="14"/>
    </row>
    <row r="607" spans="1:17" x14ac:dyDescent="0.25">
      <c r="A607" s="14"/>
      <c r="B607" s="13" t="s">
        <v>709</v>
      </c>
      <c r="C607" s="61">
        <v>0</v>
      </c>
      <c r="D607" s="14"/>
      <c r="K607" s="14"/>
      <c r="Q607" s="14"/>
    </row>
    <row r="608" spans="1:17" x14ac:dyDescent="0.25">
      <c r="A608" s="14"/>
      <c r="B608" s="13" t="s">
        <v>743</v>
      </c>
      <c r="C608" s="61">
        <f>H218+SUM(H477:H479)</f>
        <v>10</v>
      </c>
      <c r="D608" s="14"/>
      <c r="K608" s="14"/>
      <c r="Q608" s="14"/>
    </row>
    <row r="609" spans="1:17" x14ac:dyDescent="0.25">
      <c r="A609" s="14"/>
      <c r="B609" s="13" t="s">
        <v>167</v>
      </c>
      <c r="C609" s="61">
        <f>H480</f>
        <v>2</v>
      </c>
      <c r="D609" s="14"/>
      <c r="K609" s="14"/>
      <c r="Q609" s="14"/>
    </row>
    <row r="610" spans="1:17" x14ac:dyDescent="0.25">
      <c r="A610" s="14"/>
      <c r="B610" s="13" t="s">
        <v>522</v>
      </c>
      <c r="C610" s="61">
        <v>0</v>
      </c>
      <c r="D610" s="14"/>
      <c r="K610" s="14"/>
      <c r="Q610" s="14"/>
    </row>
    <row r="611" spans="1:17" x14ac:dyDescent="0.25">
      <c r="A611" s="14"/>
      <c r="B611" s="13" t="s">
        <v>1594</v>
      </c>
      <c r="C611" s="61">
        <v>0</v>
      </c>
      <c r="D611" s="14"/>
      <c r="K611" s="14"/>
      <c r="Q611" s="14"/>
    </row>
    <row r="612" spans="1:17" x14ac:dyDescent="0.25">
      <c r="A612" s="14"/>
      <c r="B612" s="13" t="s">
        <v>1347</v>
      </c>
      <c r="C612" s="61">
        <v>0</v>
      </c>
      <c r="D612" s="14"/>
      <c r="K612" s="14"/>
      <c r="Q612" s="14"/>
    </row>
    <row r="613" spans="1:17" x14ac:dyDescent="0.25">
      <c r="A613" s="14"/>
      <c r="B613" s="12" t="s">
        <v>35</v>
      </c>
      <c r="C613" s="61">
        <f>SUM(C614:C618)+H278+H280+H407+SUM(H408/2)+H409+H432+SUM(H433/2)+SUM(H481/2)</f>
        <v>391</v>
      </c>
      <c r="D613" s="14"/>
      <c r="K613" s="14"/>
      <c r="Q613" s="14"/>
    </row>
    <row r="614" spans="1:17" x14ac:dyDescent="0.25">
      <c r="A614" s="14"/>
      <c r="B614" s="13" t="s">
        <v>667</v>
      </c>
      <c r="C614" s="61">
        <f>C581+C586+C593+C598+C599+C604+C608+H410+H415+SUM(H419:H424)/2+H426+SUM(H427/2)+SUM(H430/2)</f>
        <v>179</v>
      </c>
      <c r="D614" s="14"/>
      <c r="K614" s="14"/>
      <c r="Q614" s="14"/>
    </row>
    <row r="615" spans="1:17" x14ac:dyDescent="0.25">
      <c r="A615" s="14"/>
      <c r="B615" s="13" t="s">
        <v>668</v>
      </c>
      <c r="C615" s="61">
        <f>C585+C587+C600+SUM(H425/2)+SUM(H429/2)</f>
        <v>33.5</v>
      </c>
      <c r="D615" s="14"/>
      <c r="K615" s="14"/>
      <c r="Q615" s="14"/>
    </row>
    <row r="616" spans="1:17" x14ac:dyDescent="0.25">
      <c r="A616" s="14"/>
      <c r="B616" s="13" t="s">
        <v>669</v>
      </c>
      <c r="C616" s="61">
        <f>C582+C589+C590+C592+C595+C596+C609+SUM(H419:H424)/2+SUM(H427/2)+H428+SUM(H429/2)+SUM(H431/2)</f>
        <v>38.5</v>
      </c>
      <c r="D616" s="14"/>
      <c r="K616" s="14"/>
      <c r="Q616" s="14"/>
    </row>
    <row r="617" spans="1:17" x14ac:dyDescent="0.25">
      <c r="A617" s="14"/>
      <c r="B617" s="13" t="s">
        <v>670</v>
      </c>
      <c r="C617" s="61">
        <f>C583+C591+C594+H411+SUM(H416:H418)+SUM(H425/2)+SUM(H430/2)+H434</f>
        <v>32</v>
      </c>
      <c r="D617" s="14"/>
      <c r="K617" s="14"/>
      <c r="Q617" s="14"/>
    </row>
    <row r="618" spans="1:17" x14ac:dyDescent="0.25">
      <c r="A618" s="14"/>
      <c r="B618" s="13" t="s">
        <v>666</v>
      </c>
      <c r="C618" s="61">
        <f>C601+H412+SUM(H431/2)</f>
        <v>25</v>
      </c>
      <c r="D618" s="14"/>
      <c r="K618" s="14"/>
      <c r="Q618" s="14"/>
    </row>
    <row r="619" spans="1:17" x14ac:dyDescent="0.25">
      <c r="A619" s="14"/>
      <c r="D619" s="14"/>
      <c r="K619" s="14"/>
      <c r="Q619" s="14"/>
    </row>
    <row r="620" spans="1:17" x14ac:dyDescent="0.25">
      <c r="A620" s="14"/>
      <c r="B620" s="13" t="s">
        <v>163</v>
      </c>
      <c r="C620" s="61">
        <v>0</v>
      </c>
      <c r="D620" s="14"/>
      <c r="K620" s="14"/>
      <c r="Q620" s="14"/>
    </row>
    <row r="621" spans="1:17" x14ac:dyDescent="0.25">
      <c r="A621" s="14"/>
      <c r="B621" s="13" t="s">
        <v>186</v>
      </c>
      <c r="C621" s="61">
        <f>SUM(H219:H221)+H400</f>
        <v>5</v>
      </c>
      <c r="D621" s="14"/>
      <c r="K621" s="14"/>
      <c r="Q621" s="14"/>
    </row>
    <row r="622" spans="1:17" x14ac:dyDescent="0.25">
      <c r="A622" s="14"/>
      <c r="B622" s="13" t="s">
        <v>55</v>
      </c>
      <c r="C622" s="61">
        <f>SUM(H222:H226)</f>
        <v>7</v>
      </c>
      <c r="D622" s="14"/>
      <c r="K622" s="14"/>
      <c r="Q622" s="14"/>
    </row>
    <row r="623" spans="1:17" x14ac:dyDescent="0.25">
      <c r="A623" s="14"/>
      <c r="B623" s="13" t="s">
        <v>593</v>
      </c>
      <c r="C623" s="61">
        <f>SUM(H227:H230)+H401</f>
        <v>10</v>
      </c>
      <c r="D623" s="14"/>
      <c r="K623" s="14"/>
      <c r="Q623" s="14"/>
    </row>
    <row r="624" spans="1:17" x14ac:dyDescent="0.25">
      <c r="A624" s="14"/>
      <c r="B624" s="13" t="s">
        <v>4100</v>
      </c>
      <c r="C624" s="61">
        <v>0</v>
      </c>
      <c r="D624" s="14"/>
      <c r="K624" s="14"/>
      <c r="Q624" s="14"/>
    </row>
    <row r="625" spans="1:17" x14ac:dyDescent="0.25">
      <c r="A625" s="14"/>
      <c r="B625" s="13" t="s">
        <v>161</v>
      </c>
      <c r="C625" s="61">
        <f>SUM(H231:H236)+SUM(H402:H403)+H405</f>
        <v>19</v>
      </c>
      <c r="D625" s="14"/>
      <c r="K625" s="14"/>
      <c r="Q625" s="14"/>
    </row>
    <row r="626" spans="1:17" x14ac:dyDescent="0.25">
      <c r="A626" s="14"/>
      <c r="B626" s="13" t="s">
        <v>3018</v>
      </c>
      <c r="C626" s="61">
        <f>H406</f>
        <v>1</v>
      </c>
      <c r="D626" s="14"/>
      <c r="K626" s="14"/>
      <c r="Q626" s="14"/>
    </row>
    <row r="627" spans="1:17" x14ac:dyDescent="0.25">
      <c r="A627" s="14"/>
      <c r="B627" s="13" t="s">
        <v>66</v>
      </c>
      <c r="C627" s="61">
        <f>SUM(H237:H238)+H404</f>
        <v>8</v>
      </c>
      <c r="D627" s="14"/>
      <c r="K627" s="14"/>
      <c r="Q627" s="14"/>
    </row>
    <row r="628" spans="1:17" x14ac:dyDescent="0.25">
      <c r="A628" s="14"/>
      <c r="B628" s="13" t="s">
        <v>1347</v>
      </c>
      <c r="D628" s="14"/>
      <c r="K628" s="14"/>
      <c r="Q628" s="14"/>
    </row>
    <row r="629" spans="1:17" x14ac:dyDescent="0.25">
      <c r="A629" s="14"/>
      <c r="B629" s="12" t="s">
        <v>56</v>
      </c>
      <c r="C629" s="61">
        <f>SUM(C630:C634)+SUM(H391/2)+H392</f>
        <v>75</v>
      </c>
      <c r="D629" s="14"/>
      <c r="K629" s="14"/>
      <c r="Q629" s="14"/>
    </row>
    <row r="630" spans="1:17" x14ac:dyDescent="0.25">
      <c r="A630" s="14"/>
      <c r="B630" s="13" t="s">
        <v>663</v>
      </c>
      <c r="C630" s="61">
        <f>C621+SUM(H395:H396)/2</f>
        <v>7</v>
      </c>
      <c r="D630" s="14"/>
      <c r="K630" s="14"/>
      <c r="Q630" s="14"/>
    </row>
    <row r="631" spans="1:17" x14ac:dyDescent="0.25">
      <c r="A631" s="14"/>
      <c r="B631" s="13" t="s">
        <v>664</v>
      </c>
      <c r="C631" s="61">
        <f>C625+SUM(H395:H396)/2</f>
        <v>21</v>
      </c>
      <c r="D631" s="14"/>
      <c r="K631" s="14"/>
      <c r="Q631" s="14"/>
    </row>
    <row r="632" spans="1:17" x14ac:dyDescent="0.25">
      <c r="A632" s="14"/>
      <c r="B632" s="13" t="s">
        <v>271</v>
      </c>
      <c r="C632" s="61">
        <f>C623+C626+SUM(H387:H388)/2+SUM(H394/2)+H399</f>
        <v>14</v>
      </c>
      <c r="D632" s="14"/>
      <c r="K632" s="14"/>
      <c r="Q632" s="14"/>
    </row>
    <row r="633" spans="1:17" x14ac:dyDescent="0.25">
      <c r="A633" s="14"/>
      <c r="B633" s="13" t="s">
        <v>144</v>
      </c>
      <c r="C633" s="61">
        <f>C622+SUM(H394/2)+SUM(H397:H398)</f>
        <v>11</v>
      </c>
      <c r="D633" s="14"/>
      <c r="K633" s="14"/>
      <c r="Q633" s="14"/>
    </row>
    <row r="634" spans="1:17" x14ac:dyDescent="0.25">
      <c r="A634" s="14"/>
      <c r="B634" s="13" t="s">
        <v>666</v>
      </c>
      <c r="C634" s="61">
        <f>C627+H393</f>
        <v>9</v>
      </c>
      <c r="D634" s="14"/>
      <c r="K634" s="14"/>
      <c r="Q634" s="14"/>
    </row>
    <row r="635" spans="1:17" x14ac:dyDescent="0.25">
      <c r="A635" s="14"/>
      <c r="D635" s="14"/>
      <c r="K635" s="14"/>
      <c r="Q635" s="14"/>
    </row>
    <row r="636" spans="1:17" x14ac:dyDescent="0.25">
      <c r="B636" s="13" t="s">
        <v>778</v>
      </c>
      <c r="C636" s="61">
        <f>SUM(H239:H243)+H486</f>
        <v>10</v>
      </c>
      <c r="D636" s="14"/>
      <c r="K636" s="14"/>
      <c r="Q636" s="14"/>
    </row>
    <row r="637" spans="1:17" x14ac:dyDescent="0.25">
      <c r="B637" s="13" t="s">
        <v>1444</v>
      </c>
      <c r="C637" s="61">
        <f>H244+H487</f>
        <v>2</v>
      </c>
      <c r="Q637" s="14"/>
    </row>
    <row r="638" spans="1:17" x14ac:dyDescent="0.25">
      <c r="B638" s="13" t="s">
        <v>1631</v>
      </c>
      <c r="C638" s="61">
        <f>H245</f>
        <v>1</v>
      </c>
      <c r="Q638" s="14"/>
    </row>
    <row r="639" spans="1:17" x14ac:dyDescent="0.25">
      <c r="B639" s="13" t="s">
        <v>1968</v>
      </c>
      <c r="C639" s="61">
        <f>H246+H488</f>
        <v>2</v>
      </c>
      <c r="Q639" s="14"/>
    </row>
    <row r="640" spans="1:17" x14ac:dyDescent="0.25">
      <c r="B640" s="13" t="s">
        <v>1099</v>
      </c>
      <c r="C640" s="61">
        <f>SUM(H247:H249)+SUM(H489:H490)</f>
        <v>8</v>
      </c>
      <c r="Q640" s="14"/>
    </row>
    <row r="641" spans="1:17" x14ac:dyDescent="0.25">
      <c r="B641" s="13" t="s">
        <v>2114</v>
      </c>
      <c r="C641" s="61">
        <v>0</v>
      </c>
      <c r="Q641" s="14"/>
    </row>
    <row r="642" spans="1:17" x14ac:dyDescent="0.25">
      <c r="B642" s="13" t="s">
        <v>783</v>
      </c>
      <c r="C642" s="61">
        <f>H491</f>
        <v>1</v>
      </c>
      <c r="Q642" s="14"/>
    </row>
    <row r="643" spans="1:17" x14ac:dyDescent="0.25">
      <c r="B643" s="13" t="s">
        <v>1264</v>
      </c>
      <c r="C643" s="61">
        <f>SUM(H250:H251)+H492</f>
        <v>9</v>
      </c>
      <c r="Q643" s="14"/>
    </row>
    <row r="644" spans="1:17" x14ac:dyDescent="0.25">
      <c r="B644" s="13" t="s">
        <v>980</v>
      </c>
      <c r="C644" s="61">
        <v>0</v>
      </c>
      <c r="Q644" s="14"/>
    </row>
    <row r="645" spans="1:17" x14ac:dyDescent="0.25">
      <c r="B645" s="13" t="s">
        <v>1157</v>
      </c>
      <c r="C645" s="61">
        <v>0</v>
      </c>
      <c r="Q645" s="14"/>
    </row>
    <row r="646" spans="1:17" x14ac:dyDescent="0.25">
      <c r="B646" s="13" t="s">
        <v>3757</v>
      </c>
      <c r="C646" s="61">
        <v>0</v>
      </c>
      <c r="Q646" s="14"/>
    </row>
    <row r="647" spans="1:17" x14ac:dyDescent="0.25">
      <c r="B647" s="13" t="s">
        <v>1248</v>
      </c>
      <c r="C647" s="61">
        <f>H252+H493</f>
        <v>2</v>
      </c>
      <c r="Q647" s="14"/>
    </row>
    <row r="648" spans="1:17" x14ac:dyDescent="0.25">
      <c r="B648" s="13" t="s">
        <v>1688</v>
      </c>
      <c r="C648" s="61">
        <v>0</v>
      </c>
      <c r="Q648" s="14"/>
    </row>
    <row r="649" spans="1:17" x14ac:dyDescent="0.25">
      <c r="B649" s="13" t="s">
        <v>793</v>
      </c>
      <c r="C649" s="61">
        <f>H253+H494</f>
        <v>2</v>
      </c>
      <c r="Q649" s="14"/>
    </row>
    <row r="650" spans="1:17" x14ac:dyDescent="0.25">
      <c r="B650" s="13" t="s">
        <v>1666</v>
      </c>
      <c r="C650" s="61">
        <f>H254+H495</f>
        <v>2</v>
      </c>
      <c r="Q650" s="14"/>
    </row>
    <row r="651" spans="1:17" x14ac:dyDescent="0.25">
      <c r="B651" s="13" t="s">
        <v>878</v>
      </c>
      <c r="C651" s="61">
        <f>H255+H496</f>
        <v>2</v>
      </c>
      <c r="Q651" s="14"/>
    </row>
    <row r="652" spans="1:17" x14ac:dyDescent="0.25">
      <c r="B652" s="13" t="s">
        <v>1977</v>
      </c>
      <c r="C652" s="61">
        <v>0</v>
      </c>
      <c r="Q652" s="14"/>
    </row>
    <row r="653" spans="1:17" x14ac:dyDescent="0.25">
      <c r="A653" s="14"/>
      <c r="B653" s="13" t="s">
        <v>2120</v>
      </c>
      <c r="C653" s="61">
        <v>0</v>
      </c>
      <c r="Q653" s="14"/>
    </row>
    <row r="654" spans="1:17" x14ac:dyDescent="0.25">
      <c r="A654" s="14"/>
      <c r="B654" s="13" t="s">
        <v>3759</v>
      </c>
      <c r="C654" s="61">
        <v>0</v>
      </c>
      <c r="Q654" s="14"/>
    </row>
    <row r="655" spans="1:17" x14ac:dyDescent="0.25">
      <c r="A655" s="14"/>
      <c r="B655" s="13" t="s">
        <v>1691</v>
      </c>
      <c r="C655" s="61">
        <f>H497</f>
        <v>1</v>
      </c>
      <c r="D655" s="14"/>
      <c r="K655" s="14"/>
      <c r="Q655" s="14"/>
    </row>
    <row r="656" spans="1:17" x14ac:dyDescent="0.25">
      <c r="A656" s="14"/>
      <c r="B656" s="13" t="s">
        <v>804</v>
      </c>
      <c r="C656" s="61">
        <f>SUM(H256:H257)+H498</f>
        <v>8</v>
      </c>
      <c r="D656" s="14"/>
      <c r="K656" s="14"/>
      <c r="Q656" s="14"/>
    </row>
    <row r="657" spans="1:17" x14ac:dyDescent="0.25">
      <c r="A657" s="14" t="s">
        <v>2457</v>
      </c>
      <c r="B657" s="13" t="s">
        <v>2456</v>
      </c>
      <c r="C657" s="61">
        <v>0</v>
      </c>
      <c r="D657" s="14"/>
      <c r="K657" s="14"/>
      <c r="Q657" s="14"/>
    </row>
    <row r="658" spans="1:17" x14ac:dyDescent="0.25">
      <c r="A658" s="14"/>
      <c r="B658" s="13" t="s">
        <v>984</v>
      </c>
      <c r="C658" s="61">
        <v>0</v>
      </c>
      <c r="D658" s="14"/>
      <c r="K658" s="14"/>
      <c r="Q658" s="14"/>
    </row>
    <row r="659" spans="1:17" x14ac:dyDescent="0.25">
      <c r="A659" s="14"/>
      <c r="B659" s="13" t="s">
        <v>785</v>
      </c>
      <c r="C659" s="61">
        <f>SUM(H258:H260)+H499</f>
        <v>8</v>
      </c>
      <c r="D659" s="14"/>
      <c r="K659" s="14"/>
      <c r="Q659" s="14"/>
    </row>
    <row r="660" spans="1:17" x14ac:dyDescent="0.25">
      <c r="A660" s="14"/>
      <c r="B660" s="13" t="s">
        <v>795</v>
      </c>
      <c r="C660" s="61">
        <f>SUM(H261:H265)+SUM(H500:H503)</f>
        <v>51</v>
      </c>
      <c r="D660" s="14"/>
      <c r="K660" s="14"/>
      <c r="Q660" s="14"/>
    </row>
    <row r="661" spans="1:17" x14ac:dyDescent="0.25">
      <c r="A661" s="14"/>
      <c r="B661" s="13" t="s">
        <v>989</v>
      </c>
      <c r="C661" s="61">
        <v>0</v>
      </c>
      <c r="D661" s="14"/>
      <c r="K661" s="14"/>
      <c r="Q661" s="14"/>
    </row>
    <row r="662" spans="1:17" x14ac:dyDescent="0.25">
      <c r="A662" s="14"/>
      <c r="B662" s="13" t="s">
        <v>1671</v>
      </c>
      <c r="C662" s="61">
        <f>H504</f>
        <v>1</v>
      </c>
      <c r="D662" s="14"/>
      <c r="K662" s="14"/>
      <c r="Q662" s="14"/>
    </row>
    <row r="663" spans="1:17" x14ac:dyDescent="0.25">
      <c r="A663" s="14"/>
      <c r="B663" s="13" t="s">
        <v>1677</v>
      </c>
      <c r="C663" s="61">
        <f>H266+H505</f>
        <v>2</v>
      </c>
      <c r="D663" s="14"/>
      <c r="K663" s="14"/>
      <c r="Q663" s="14"/>
    </row>
    <row r="664" spans="1:17" x14ac:dyDescent="0.25">
      <c r="A664" s="14"/>
      <c r="B664" s="13" t="s">
        <v>4076</v>
      </c>
      <c r="C664" s="61">
        <v>0</v>
      </c>
      <c r="D664" s="14"/>
      <c r="K664" s="14"/>
      <c r="Q664" s="14"/>
    </row>
    <row r="665" spans="1:17" x14ac:dyDescent="0.25">
      <c r="A665" s="14"/>
      <c r="B665" s="13" t="s">
        <v>772</v>
      </c>
      <c r="C665" s="61">
        <f>SUM(H267:H270)+H506</f>
        <v>7</v>
      </c>
      <c r="D665" s="14"/>
      <c r="K665" s="14"/>
      <c r="Q665" s="14"/>
    </row>
    <row r="666" spans="1:17" x14ac:dyDescent="0.25">
      <c r="A666" s="14"/>
      <c r="B666" s="13" t="s">
        <v>1245</v>
      </c>
      <c r="C666" s="61">
        <v>0</v>
      </c>
      <c r="D666" s="14"/>
      <c r="K666" s="14"/>
      <c r="Q666" s="14"/>
    </row>
    <row r="667" spans="1:17" x14ac:dyDescent="0.25">
      <c r="A667" s="14"/>
      <c r="B667" s="13" t="s">
        <v>789</v>
      </c>
      <c r="C667" s="61">
        <v>0</v>
      </c>
      <c r="D667" s="14"/>
      <c r="K667" s="14"/>
      <c r="Q667" s="14"/>
    </row>
    <row r="668" spans="1:17" x14ac:dyDescent="0.25">
      <c r="A668" s="14"/>
      <c r="B668" s="13" t="s">
        <v>3861</v>
      </c>
      <c r="C668" s="61">
        <v>0</v>
      </c>
      <c r="D668" s="14"/>
      <c r="K668" s="14"/>
      <c r="Q668" s="14"/>
    </row>
    <row r="669" spans="1:17" x14ac:dyDescent="0.25">
      <c r="A669" s="14"/>
      <c r="B669" s="13" t="s">
        <v>875</v>
      </c>
      <c r="C669" s="61">
        <f>H513</f>
        <v>1</v>
      </c>
      <c r="D669" s="14"/>
      <c r="K669" s="14"/>
      <c r="Q669" s="14"/>
    </row>
    <row r="670" spans="1:17" x14ac:dyDescent="0.25">
      <c r="A670" s="14"/>
      <c r="B670" s="13" t="s">
        <v>1347</v>
      </c>
      <c r="D670" s="14"/>
      <c r="K670" s="14"/>
      <c r="Q670" s="14"/>
    </row>
    <row r="671" spans="1:17" x14ac:dyDescent="0.25">
      <c r="A671" s="14"/>
      <c r="B671" s="12" t="s">
        <v>771</v>
      </c>
      <c r="C671" s="61">
        <f>SUM(C672+C678)+SUM(H481/2)+H482+H512</f>
        <v>192</v>
      </c>
      <c r="D671" s="14"/>
      <c r="K671" s="14"/>
      <c r="Q671" s="14"/>
    </row>
    <row r="672" spans="1:17" x14ac:dyDescent="0.25">
      <c r="A672" s="14"/>
      <c r="B672" s="13" t="s">
        <v>2251</v>
      </c>
      <c r="C672" s="61">
        <f>SUM(C636:C640)+C643+SUM(H433/2)+SUM(H483:H485)+SUM(H508/3)+SUM(H509/2)</f>
        <v>44</v>
      </c>
      <c r="D672" s="14"/>
      <c r="K672" s="14"/>
      <c r="Q672" s="14"/>
    </row>
    <row r="673" spans="1:17" x14ac:dyDescent="0.25">
      <c r="A673" s="14"/>
      <c r="B673" s="13" t="s">
        <v>1351</v>
      </c>
      <c r="C673" s="61">
        <f>C649+C642+C660+SUM(H508/3)+SUM(H509/2)</f>
        <v>56.5</v>
      </c>
      <c r="D673" s="14"/>
      <c r="K673" s="14"/>
      <c r="Q673" s="14"/>
    </row>
    <row r="674" spans="1:17" x14ac:dyDescent="0.25">
      <c r="A674" s="14"/>
      <c r="B674" s="13" t="s">
        <v>1352</v>
      </c>
      <c r="C674" s="61">
        <f>C650+C655+C659+C665+SUM(H507/2)+SUM(H508/3)</f>
        <v>20.5</v>
      </c>
      <c r="D674" s="14"/>
      <c r="K674" s="14"/>
      <c r="Q674" s="14"/>
    </row>
    <row r="675" spans="1:17" x14ac:dyDescent="0.25">
      <c r="A675" s="14"/>
      <c r="B675" s="13" t="s">
        <v>1353</v>
      </c>
      <c r="C675" s="61">
        <f>C669+SUM(H510/2)</f>
        <v>1.5</v>
      </c>
      <c r="D675" s="14"/>
      <c r="K675" s="14"/>
      <c r="Q675" s="14"/>
    </row>
    <row r="676" spans="1:17" x14ac:dyDescent="0.25">
      <c r="A676" s="14"/>
      <c r="B676" s="13" t="s">
        <v>1354</v>
      </c>
      <c r="C676" s="61">
        <f>C647+C651+C656+C662+SUM(H507/2)+SUM(H510/2)+H511</f>
        <v>15</v>
      </c>
      <c r="D676" s="14"/>
      <c r="K676" s="14"/>
      <c r="Q676" s="14"/>
    </row>
    <row r="677" spans="1:17" x14ac:dyDescent="0.25">
      <c r="A677" s="14"/>
      <c r="B677" s="13" t="s">
        <v>1355</v>
      </c>
      <c r="C677" s="61">
        <f>C663</f>
        <v>2</v>
      </c>
      <c r="D677" s="14"/>
      <c r="K677" s="14"/>
      <c r="Q677" s="14"/>
    </row>
    <row r="678" spans="1:17" x14ac:dyDescent="0.25">
      <c r="A678" s="14"/>
      <c r="B678" s="13" t="s">
        <v>2250</v>
      </c>
      <c r="C678" s="61">
        <f>SUM(C673:C677)</f>
        <v>95.5</v>
      </c>
      <c r="D678" s="14"/>
      <c r="K678" s="14"/>
      <c r="Q678" s="14"/>
    </row>
    <row r="679" spans="1:17" x14ac:dyDescent="0.25">
      <c r="A679" s="14"/>
      <c r="D679" s="14"/>
      <c r="K679" s="14"/>
      <c r="Q679" s="14"/>
    </row>
    <row r="680" spans="1:17" x14ac:dyDescent="0.25">
      <c r="A680" s="14"/>
      <c r="B680" s="52" t="s">
        <v>2252</v>
      </c>
      <c r="C680" s="61">
        <f>SUM(H271:H272)+H279+SUM(H281:H282)+SUM(H376:H377)</f>
        <v>161</v>
      </c>
      <c r="D680" s="14"/>
      <c r="K680" s="14"/>
      <c r="Q680" s="14"/>
    </row>
    <row r="681" spans="1:17" x14ac:dyDescent="0.25">
      <c r="A681" s="14"/>
      <c r="B681" s="52"/>
      <c r="D681" s="14"/>
      <c r="K681" s="14"/>
      <c r="Q681" s="14"/>
    </row>
    <row r="682" spans="1:17" x14ac:dyDescent="0.25">
      <c r="A682" s="14"/>
      <c r="B682" s="12" t="s">
        <v>2253</v>
      </c>
      <c r="C682" s="61">
        <f>C574+C613+C629+C671+C680</f>
        <v>1820</v>
      </c>
      <c r="D682" s="14"/>
      <c r="K682" s="14"/>
      <c r="Q682" s="14"/>
    </row>
    <row r="683" spans="1:17" x14ac:dyDescent="0.25">
      <c r="A683" s="14"/>
      <c r="D683" s="14"/>
      <c r="K683" s="14"/>
      <c r="Q683" s="14"/>
    </row>
    <row r="684" spans="1:17" x14ac:dyDescent="0.25">
      <c r="A684" s="14"/>
      <c r="B684" s="13" t="s">
        <v>5756</v>
      </c>
      <c r="C684" s="61">
        <f>C523+C525+C529+C550+C560+C568+C565</f>
        <v>108</v>
      </c>
      <c r="D684" s="14"/>
      <c r="K684" s="14"/>
      <c r="Q684" s="14"/>
    </row>
    <row r="685" spans="1:17" x14ac:dyDescent="0.25">
      <c r="A685" s="14"/>
      <c r="B685" s="13" t="s">
        <v>1272</v>
      </c>
      <c r="C685" s="61">
        <f>C574-C684</f>
        <v>893</v>
      </c>
      <c r="D685" s="14"/>
      <c r="K685" s="14"/>
      <c r="Q685" s="14"/>
    </row>
    <row r="686" spans="1:17" x14ac:dyDescent="0.25">
      <c r="A686" s="14"/>
      <c r="D686" s="14"/>
      <c r="K686" s="14"/>
      <c r="Q686" s="14"/>
    </row>
    <row r="687" spans="1:17" x14ac:dyDescent="0.25">
      <c r="A687" s="14"/>
      <c r="B687" s="13" t="s">
        <v>1359</v>
      </c>
      <c r="C687" s="61">
        <f>C684</f>
        <v>108</v>
      </c>
      <c r="D687" s="14"/>
      <c r="K687" s="14"/>
      <c r="Q687" s="14"/>
    </row>
    <row r="688" spans="1:17" x14ac:dyDescent="0.25">
      <c r="A688" s="14"/>
      <c r="B688" s="13" t="s">
        <v>1891</v>
      </c>
      <c r="C688" s="61">
        <f>C682-C684</f>
        <v>1712</v>
      </c>
      <c r="D688" s="14"/>
      <c r="K688" s="14"/>
      <c r="Q688" s="14"/>
    </row>
    <row r="689" spans="1:17" x14ac:dyDescent="0.25">
      <c r="A689" s="14"/>
      <c r="D689" s="14"/>
      <c r="K689" s="14"/>
      <c r="Q689" s="14"/>
    </row>
    <row r="690" spans="1:17" x14ac:dyDescent="0.25">
      <c r="A690" s="14"/>
      <c r="B690" s="13" t="s">
        <v>11</v>
      </c>
      <c r="C690" s="61">
        <f>C574</f>
        <v>1001</v>
      </c>
      <c r="D690" s="14"/>
      <c r="K690" s="14"/>
      <c r="Q690" s="14"/>
    </row>
    <row r="691" spans="1:17" x14ac:dyDescent="0.25">
      <c r="A691" s="14"/>
      <c r="B691" s="13" t="s">
        <v>35</v>
      </c>
      <c r="C691" s="61">
        <f>C613</f>
        <v>391</v>
      </c>
      <c r="D691" s="14"/>
      <c r="K691" s="14"/>
      <c r="Q691" s="14"/>
    </row>
    <row r="692" spans="1:17" x14ac:dyDescent="0.25">
      <c r="A692" s="14"/>
      <c r="B692" s="13" t="s">
        <v>56</v>
      </c>
      <c r="C692" s="61">
        <f>C629</f>
        <v>75</v>
      </c>
      <c r="D692" s="14"/>
      <c r="K692" s="14"/>
      <c r="Q692" s="14"/>
    </row>
    <row r="693" spans="1:17" x14ac:dyDescent="0.25">
      <c r="A693" s="14"/>
      <c r="B693" s="13" t="s">
        <v>771</v>
      </c>
      <c r="C693" s="61">
        <f>C671</f>
        <v>192</v>
      </c>
      <c r="D693" s="14"/>
      <c r="K693" s="14"/>
      <c r="Q693" s="14"/>
    </row>
    <row r="694" spans="1:17" x14ac:dyDescent="0.25">
      <c r="A694" s="14"/>
      <c r="B694" s="14"/>
      <c r="D694" s="14"/>
      <c r="K694" s="14"/>
      <c r="Q694" s="14"/>
    </row>
    <row r="696" spans="1:17" ht="12" thickBot="1" x14ac:dyDescent="0.3"/>
    <row r="697" spans="1:17" ht="12.75" x14ac:dyDescent="0.25">
      <c r="B697" s="85" t="s">
        <v>5449</v>
      </c>
      <c r="C697" s="88">
        <v>139</v>
      </c>
    </row>
    <row r="698" spans="1:17" ht="12.75" x14ac:dyDescent="0.25">
      <c r="B698" s="86" t="s">
        <v>5450</v>
      </c>
      <c r="C698" s="89">
        <v>54.5</v>
      </c>
    </row>
    <row r="699" spans="1:17" ht="12.75" x14ac:dyDescent="0.25">
      <c r="B699" s="86" t="s">
        <v>5451</v>
      </c>
      <c r="C699" s="89">
        <v>117.5</v>
      </c>
    </row>
    <row r="700" spans="1:17" ht="12.75" x14ac:dyDescent="0.25">
      <c r="B700" s="86" t="s">
        <v>5452</v>
      </c>
      <c r="C700" s="89">
        <v>510</v>
      </c>
    </row>
    <row r="701" spans="1:17" ht="13.5" thickBot="1" x14ac:dyDescent="0.3">
      <c r="B701" s="87" t="s">
        <v>5453</v>
      </c>
      <c r="C701" s="90">
        <v>130</v>
      </c>
    </row>
    <row r="702" spans="1:17" ht="12.75" x14ac:dyDescent="0.25">
      <c r="B702" s="85" t="s">
        <v>5454</v>
      </c>
      <c r="C702" s="88">
        <v>179</v>
      </c>
    </row>
    <row r="703" spans="1:17" ht="12.75" x14ac:dyDescent="0.25">
      <c r="B703" s="86" t="s">
        <v>5455</v>
      </c>
      <c r="C703" s="89">
        <v>33.5</v>
      </c>
    </row>
    <row r="704" spans="1:17" ht="12.75" x14ac:dyDescent="0.25">
      <c r="B704" s="86" t="s">
        <v>5456</v>
      </c>
      <c r="C704" s="89">
        <v>38.5</v>
      </c>
    </row>
    <row r="705" spans="2:3" ht="12.75" x14ac:dyDescent="0.25">
      <c r="B705" s="86" t="s">
        <v>5457</v>
      </c>
      <c r="C705" s="89">
        <v>32</v>
      </c>
    </row>
    <row r="706" spans="2:3" ht="13.5" thickBot="1" x14ac:dyDescent="0.3">
      <c r="B706" s="87" t="s">
        <v>5458</v>
      </c>
      <c r="C706" s="90">
        <v>25</v>
      </c>
    </row>
    <row r="707" spans="2:3" ht="12.75" x14ac:dyDescent="0.25">
      <c r="B707" s="85" t="s">
        <v>923</v>
      </c>
      <c r="C707" s="88">
        <v>7</v>
      </c>
    </row>
    <row r="708" spans="2:3" ht="12.75" x14ac:dyDescent="0.25">
      <c r="B708" s="86" t="s">
        <v>924</v>
      </c>
      <c r="C708" s="89">
        <v>21</v>
      </c>
    </row>
    <row r="709" spans="2:3" ht="12.75" x14ac:dyDescent="0.25">
      <c r="B709" s="86" t="s">
        <v>925</v>
      </c>
      <c r="C709" s="89">
        <v>14</v>
      </c>
    </row>
    <row r="710" spans="2:3" ht="12.75" x14ac:dyDescent="0.25">
      <c r="B710" s="86" t="s">
        <v>926</v>
      </c>
      <c r="C710" s="89">
        <v>11</v>
      </c>
    </row>
    <row r="711" spans="2:3" ht="13.5" thickBot="1" x14ac:dyDescent="0.3">
      <c r="B711" s="87" t="s">
        <v>629</v>
      </c>
      <c r="C711" s="90">
        <v>9</v>
      </c>
    </row>
    <row r="712" spans="2:3" ht="12.75" x14ac:dyDescent="0.25">
      <c r="B712" s="85" t="s">
        <v>776</v>
      </c>
      <c r="C712" s="88">
        <v>44</v>
      </c>
    </row>
    <row r="713" spans="2:3" ht="12.75" x14ac:dyDescent="0.25">
      <c r="B713" s="86" t="s">
        <v>1351</v>
      </c>
      <c r="C713" s="89">
        <v>56.5</v>
      </c>
    </row>
    <row r="714" spans="2:3" ht="12.75" x14ac:dyDescent="0.25">
      <c r="B714" s="86" t="s">
        <v>1352</v>
      </c>
      <c r="C714" s="89">
        <v>20.5</v>
      </c>
    </row>
    <row r="715" spans="2:3" ht="12.75" x14ac:dyDescent="0.25">
      <c r="B715" s="86" t="s">
        <v>1353</v>
      </c>
      <c r="C715" s="89">
        <v>1.5</v>
      </c>
    </row>
    <row r="716" spans="2:3" ht="12.75" x14ac:dyDescent="0.25">
      <c r="B716" s="86" t="s">
        <v>1354</v>
      </c>
      <c r="C716" s="89">
        <v>15</v>
      </c>
    </row>
    <row r="717" spans="2:3" ht="13.5" thickBot="1" x14ac:dyDescent="0.3">
      <c r="B717" s="87" t="s">
        <v>1880</v>
      </c>
      <c r="C717" s="90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7"/>
  <sheetViews>
    <sheetView zoomScale="83" workbookViewId="0">
      <pane ySplit="1" topLeftCell="A494" activePane="bottomLeft" state="frozen"/>
      <selection pane="bottomLeft" activeCell="E491" sqref="E491"/>
    </sheetView>
  </sheetViews>
  <sheetFormatPr defaultRowHeight="11.25" x14ac:dyDescent="0.25"/>
  <cols>
    <col min="1" max="1" width="13.28515625" style="11" customWidth="1"/>
    <col min="2" max="2" width="17.140625" style="13" customWidth="1"/>
    <col min="3" max="3" width="21.140625" style="61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4" customWidth="1"/>
    <col min="13" max="13" width="6.85546875" style="14" customWidth="1"/>
    <col min="14" max="14" width="6.5703125" style="14" customWidth="1"/>
    <col min="15" max="16" width="9.140625" style="14"/>
    <col min="17" max="17" width="13.85546875" style="13" customWidth="1"/>
    <col min="18" max="16384" width="9.140625" style="14"/>
  </cols>
  <sheetData>
    <row r="1" spans="1:19" s="11" customFormat="1" ht="54.75" customHeight="1" x14ac:dyDescent="0.25">
      <c r="A1" s="11" t="s">
        <v>1267</v>
      </c>
      <c r="B1" s="12" t="s">
        <v>2</v>
      </c>
      <c r="C1" s="82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5254</v>
      </c>
      <c r="B2" s="13" t="s">
        <v>411</v>
      </c>
      <c r="C2" s="61" t="s">
        <v>2436</v>
      </c>
      <c r="D2" s="13" t="s">
        <v>18</v>
      </c>
      <c r="E2" s="13" t="s">
        <v>606</v>
      </c>
      <c r="F2" s="14" t="s">
        <v>11</v>
      </c>
      <c r="G2" s="13"/>
      <c r="H2" s="14">
        <f t="shared" ref="H2:H12" si="0">G2+I2</f>
        <v>1</v>
      </c>
      <c r="I2" s="13">
        <v>1</v>
      </c>
      <c r="J2" s="13">
        <v>1</v>
      </c>
      <c r="K2" s="13" t="s">
        <v>733</v>
      </c>
      <c r="L2" s="14" t="s">
        <v>177</v>
      </c>
      <c r="M2" s="14">
        <v>78</v>
      </c>
      <c r="N2" s="14">
        <v>504</v>
      </c>
      <c r="O2" s="14">
        <v>507800</v>
      </c>
      <c r="P2" s="14">
        <v>250400</v>
      </c>
      <c r="R2" s="14"/>
      <c r="S2" s="14"/>
    </row>
    <row r="3" spans="1:19" ht="33.75" x14ac:dyDescent="0.25">
      <c r="A3" s="11" t="s">
        <v>5254</v>
      </c>
      <c r="B3" s="13" t="s">
        <v>76</v>
      </c>
      <c r="C3" s="61" t="s">
        <v>330</v>
      </c>
      <c r="D3" s="13" t="s">
        <v>4474</v>
      </c>
      <c r="E3" s="14" t="s">
        <v>1281</v>
      </c>
      <c r="F3" s="14" t="s">
        <v>11</v>
      </c>
      <c r="G3" s="13">
        <v>8</v>
      </c>
      <c r="H3" s="14">
        <f>G3+I3</f>
        <v>8</v>
      </c>
      <c r="I3" s="13"/>
      <c r="J3" s="13">
        <v>7</v>
      </c>
      <c r="K3" s="13" t="s">
        <v>5348</v>
      </c>
      <c r="L3" s="14" t="s">
        <v>177</v>
      </c>
      <c r="M3" s="14">
        <v>193</v>
      </c>
      <c r="N3" s="14">
        <v>983</v>
      </c>
      <c r="O3" s="14">
        <v>519300</v>
      </c>
      <c r="P3" s="14">
        <v>298300</v>
      </c>
      <c r="Q3" s="14"/>
    </row>
    <row r="4" spans="1:19" ht="22.5" x14ac:dyDescent="0.25">
      <c r="A4" s="11" t="s">
        <v>5254</v>
      </c>
      <c r="B4" s="13" t="s">
        <v>76</v>
      </c>
      <c r="C4" s="61" t="s">
        <v>501</v>
      </c>
      <c r="D4" s="13" t="s">
        <v>90</v>
      </c>
      <c r="E4" s="13" t="s">
        <v>176</v>
      </c>
      <c r="F4" s="14" t="s">
        <v>11</v>
      </c>
      <c r="G4" s="13"/>
      <c r="H4" s="14">
        <f t="shared" si="0"/>
        <v>1</v>
      </c>
      <c r="I4" s="13">
        <v>1</v>
      </c>
      <c r="J4" s="13">
        <v>1</v>
      </c>
      <c r="K4" s="13" t="s">
        <v>488</v>
      </c>
      <c r="L4" s="14" t="s">
        <v>175</v>
      </c>
      <c r="M4" s="14">
        <v>577</v>
      </c>
      <c r="N4" s="14">
        <v>647</v>
      </c>
      <c r="O4" s="14">
        <v>557700</v>
      </c>
      <c r="P4" s="14">
        <v>364700</v>
      </c>
      <c r="Q4" s="14"/>
    </row>
    <row r="5" spans="1:19" ht="33.75" x14ac:dyDescent="0.25">
      <c r="A5" s="11" t="s">
        <v>5254</v>
      </c>
      <c r="B5" s="13" t="s">
        <v>76</v>
      </c>
      <c r="C5" s="61" t="s">
        <v>174</v>
      </c>
      <c r="D5" s="13" t="s">
        <v>3823</v>
      </c>
      <c r="E5" s="13" t="s">
        <v>176</v>
      </c>
      <c r="F5" s="14" t="s">
        <v>11</v>
      </c>
      <c r="G5" s="13"/>
      <c r="H5" s="14">
        <f t="shared" si="0"/>
        <v>3</v>
      </c>
      <c r="I5" s="14">
        <v>3</v>
      </c>
      <c r="J5" s="14">
        <v>2</v>
      </c>
      <c r="K5" s="13" t="s">
        <v>5278</v>
      </c>
      <c r="L5" s="14" t="s">
        <v>175</v>
      </c>
      <c r="M5" s="14">
        <v>1385</v>
      </c>
      <c r="N5" s="14">
        <v>735</v>
      </c>
      <c r="O5" s="14">
        <v>513850</v>
      </c>
      <c r="P5" s="14">
        <v>307350</v>
      </c>
    </row>
    <row r="6" spans="1:19" ht="33.75" x14ac:dyDescent="0.25">
      <c r="A6" s="11" t="s">
        <v>5254</v>
      </c>
      <c r="B6" s="13" t="s">
        <v>76</v>
      </c>
      <c r="C6" s="61" t="s">
        <v>3369</v>
      </c>
      <c r="D6" s="13" t="s">
        <v>4698</v>
      </c>
      <c r="E6" s="13" t="s">
        <v>176</v>
      </c>
      <c r="F6" s="14" t="s">
        <v>11</v>
      </c>
      <c r="G6" s="13"/>
      <c r="H6" s="14">
        <f t="shared" si="0"/>
        <v>1</v>
      </c>
      <c r="I6" s="14">
        <v>1</v>
      </c>
      <c r="J6" s="14">
        <v>1</v>
      </c>
      <c r="K6" s="13" t="s">
        <v>1092</v>
      </c>
      <c r="L6" s="14" t="s">
        <v>177</v>
      </c>
      <c r="M6" s="14">
        <v>208</v>
      </c>
      <c r="N6" s="14">
        <v>989</v>
      </c>
      <c r="O6" s="14">
        <v>520800</v>
      </c>
      <c r="P6" s="14">
        <v>298900</v>
      </c>
    </row>
    <row r="7" spans="1:19" ht="45" x14ac:dyDescent="0.25">
      <c r="A7" s="11" t="s">
        <v>5254</v>
      </c>
      <c r="B7" s="13" t="s">
        <v>76</v>
      </c>
      <c r="C7" s="61" t="s">
        <v>2487</v>
      </c>
      <c r="D7" s="13" t="s">
        <v>2546</v>
      </c>
      <c r="E7" s="13" t="s">
        <v>176</v>
      </c>
      <c r="F7" s="14" t="s">
        <v>11</v>
      </c>
      <c r="G7" s="13">
        <v>1</v>
      </c>
      <c r="H7" s="14">
        <f t="shared" si="0"/>
        <v>1</v>
      </c>
      <c r="J7" s="14">
        <v>1</v>
      </c>
      <c r="K7" s="13" t="s">
        <v>4894</v>
      </c>
      <c r="L7" s="14" t="s">
        <v>177</v>
      </c>
      <c r="M7" s="14">
        <v>22714</v>
      </c>
      <c r="N7" s="14">
        <v>98911</v>
      </c>
      <c r="O7" s="14">
        <v>522714</v>
      </c>
      <c r="P7" s="14">
        <v>298911</v>
      </c>
    </row>
    <row r="8" spans="1:19" ht="22.5" x14ac:dyDescent="0.25">
      <c r="A8" s="11" t="s">
        <v>5254</v>
      </c>
      <c r="B8" s="13" t="s">
        <v>76</v>
      </c>
      <c r="C8" s="61" t="s">
        <v>946</v>
      </c>
      <c r="D8" s="13" t="s">
        <v>1932</v>
      </c>
      <c r="E8" s="13" t="s">
        <v>178</v>
      </c>
      <c r="F8" s="14" t="s">
        <v>11</v>
      </c>
      <c r="G8" s="13"/>
      <c r="H8" s="14">
        <f>G8+I8</f>
        <v>1</v>
      </c>
      <c r="I8" s="14">
        <v>1</v>
      </c>
      <c r="J8" s="14">
        <v>1</v>
      </c>
      <c r="K8" s="13" t="s">
        <v>309</v>
      </c>
      <c r="L8" s="14" t="s">
        <v>177</v>
      </c>
      <c r="M8" s="14">
        <v>420</v>
      </c>
      <c r="N8" s="14">
        <v>767</v>
      </c>
      <c r="O8" s="14">
        <v>542000</v>
      </c>
      <c r="P8" s="14">
        <v>276700</v>
      </c>
    </row>
    <row r="9" spans="1:19" ht="22.5" x14ac:dyDescent="0.25">
      <c r="A9" s="11" t="s">
        <v>5254</v>
      </c>
      <c r="B9" s="13" t="s">
        <v>76</v>
      </c>
      <c r="C9" s="61" t="s">
        <v>1872</v>
      </c>
      <c r="D9" s="13" t="s">
        <v>39</v>
      </c>
      <c r="E9" s="13" t="s">
        <v>178</v>
      </c>
      <c r="F9" s="14" t="s">
        <v>11</v>
      </c>
      <c r="G9" s="13">
        <v>1</v>
      </c>
      <c r="H9" s="14">
        <f t="shared" si="0"/>
        <v>2</v>
      </c>
      <c r="I9" s="14">
        <v>1</v>
      </c>
      <c r="J9" s="14">
        <v>2</v>
      </c>
      <c r="K9" s="13" t="s">
        <v>688</v>
      </c>
      <c r="L9" s="14" t="s">
        <v>177</v>
      </c>
      <c r="M9" s="14">
        <v>6390</v>
      </c>
      <c r="N9" s="14">
        <v>8496</v>
      </c>
      <c r="O9" s="14">
        <v>563900</v>
      </c>
      <c r="P9" s="14">
        <v>284960</v>
      </c>
    </row>
    <row r="10" spans="1:19" ht="22.5" x14ac:dyDescent="0.25">
      <c r="A10" s="11" t="s">
        <v>5254</v>
      </c>
      <c r="B10" s="13" t="s">
        <v>213</v>
      </c>
      <c r="C10" s="61" t="s">
        <v>214</v>
      </c>
      <c r="D10" s="13" t="s">
        <v>215</v>
      </c>
      <c r="E10" s="13" t="s">
        <v>216</v>
      </c>
      <c r="F10" s="14" t="s">
        <v>11</v>
      </c>
      <c r="G10" s="13"/>
      <c r="H10" s="14">
        <f t="shared" si="0"/>
        <v>2</v>
      </c>
      <c r="I10" s="14">
        <v>2</v>
      </c>
      <c r="J10" s="14">
        <v>2</v>
      </c>
      <c r="K10" s="13" t="s">
        <v>690</v>
      </c>
      <c r="L10" s="14" t="s">
        <v>218</v>
      </c>
      <c r="M10" s="14">
        <v>7365</v>
      </c>
      <c r="N10" s="14">
        <v>1960</v>
      </c>
      <c r="O10" s="14">
        <v>473650</v>
      </c>
      <c r="P10" s="14">
        <v>519600</v>
      </c>
      <c r="Q10" s="14"/>
    </row>
    <row r="11" spans="1:19" ht="22.5" x14ac:dyDescent="0.25">
      <c r="A11" s="11" t="s">
        <v>5254</v>
      </c>
      <c r="B11" s="13" t="s">
        <v>42</v>
      </c>
      <c r="C11" s="61" t="s">
        <v>142</v>
      </c>
      <c r="D11" s="13" t="s">
        <v>3943</v>
      </c>
      <c r="E11" s="14" t="s">
        <v>143</v>
      </c>
      <c r="F11" s="14" t="s">
        <v>11</v>
      </c>
      <c r="G11" s="13"/>
      <c r="H11" s="14">
        <f t="shared" si="0"/>
        <v>1</v>
      </c>
      <c r="I11" s="14">
        <v>1</v>
      </c>
      <c r="J11" s="14">
        <v>1</v>
      </c>
      <c r="K11" s="13" t="s">
        <v>309</v>
      </c>
      <c r="L11" s="14" t="s">
        <v>144</v>
      </c>
      <c r="M11" s="14">
        <v>685</v>
      </c>
      <c r="N11" s="14">
        <v>407</v>
      </c>
      <c r="O11" s="14">
        <v>168500</v>
      </c>
      <c r="P11" s="14">
        <v>40700</v>
      </c>
      <c r="Q11" s="14"/>
    </row>
    <row r="12" spans="1:19" ht="33.75" x14ac:dyDescent="0.25">
      <c r="A12" s="11" t="s">
        <v>5254</v>
      </c>
      <c r="B12" s="13" t="s">
        <v>42</v>
      </c>
      <c r="C12" s="61" t="s">
        <v>573</v>
      </c>
      <c r="D12" s="13" t="s">
        <v>3840</v>
      </c>
      <c r="E12" s="14" t="s">
        <v>43</v>
      </c>
      <c r="F12" s="14" t="s">
        <v>11</v>
      </c>
      <c r="G12" s="13"/>
      <c r="H12" s="14">
        <f t="shared" si="0"/>
        <v>2</v>
      </c>
      <c r="I12" s="14">
        <v>2</v>
      </c>
      <c r="J12" s="14">
        <v>2</v>
      </c>
      <c r="K12" s="13" t="s">
        <v>5349</v>
      </c>
      <c r="L12" s="14" t="s">
        <v>144</v>
      </c>
      <c r="M12" s="14">
        <v>601</v>
      </c>
      <c r="N12" s="14">
        <v>395</v>
      </c>
      <c r="O12" s="14">
        <v>160100</v>
      </c>
      <c r="P12" s="14">
        <v>39500</v>
      </c>
      <c r="Q12" s="14"/>
    </row>
    <row r="13" spans="1:19" x14ac:dyDescent="0.25">
      <c r="A13" s="11" t="s">
        <v>5254</v>
      </c>
      <c r="B13" s="13" t="s">
        <v>42</v>
      </c>
      <c r="C13" s="61" t="s">
        <v>2464</v>
      </c>
      <c r="D13" s="13" t="s">
        <v>39</v>
      </c>
      <c r="E13" s="14" t="s">
        <v>2463</v>
      </c>
      <c r="F13" s="14" t="s">
        <v>11</v>
      </c>
      <c r="G13" s="13"/>
      <c r="H13" s="14">
        <f t="shared" ref="H13" si="1">G13+I13</f>
        <v>1</v>
      </c>
      <c r="I13" s="14">
        <v>1</v>
      </c>
      <c r="J13" s="14">
        <v>1</v>
      </c>
      <c r="K13" s="13" t="s">
        <v>476</v>
      </c>
      <c r="L13" s="14" t="s">
        <v>144</v>
      </c>
      <c r="M13" s="14">
        <v>80126</v>
      </c>
      <c r="N13" s="14">
        <v>61238</v>
      </c>
      <c r="O13" s="14">
        <v>180126</v>
      </c>
      <c r="P13" s="14">
        <v>61238</v>
      </c>
      <c r="Q13" s="14"/>
    </row>
    <row r="14" spans="1:19" x14ac:dyDescent="0.25">
      <c r="A14" s="11" t="s">
        <v>5254</v>
      </c>
      <c r="B14" s="13" t="s">
        <v>126</v>
      </c>
      <c r="C14" s="61" t="s">
        <v>2466</v>
      </c>
      <c r="D14" s="13" t="s">
        <v>90</v>
      </c>
      <c r="E14" s="14" t="s">
        <v>444</v>
      </c>
      <c r="F14" s="14" t="s">
        <v>11</v>
      </c>
      <c r="G14" s="13"/>
      <c r="H14" s="14">
        <f t="shared" ref="H14:H34" si="2">G14+I14</f>
        <v>1</v>
      </c>
      <c r="I14" s="14">
        <v>1</v>
      </c>
      <c r="J14" s="14">
        <v>1</v>
      </c>
      <c r="K14" s="13" t="s">
        <v>414</v>
      </c>
      <c r="L14" s="14" t="s">
        <v>445</v>
      </c>
      <c r="M14" s="14">
        <v>2315</v>
      </c>
      <c r="N14" s="14">
        <v>5804</v>
      </c>
      <c r="O14" s="14">
        <v>423150</v>
      </c>
      <c r="P14" s="14">
        <v>358040</v>
      </c>
      <c r="Q14" s="14"/>
    </row>
    <row r="15" spans="1:19" x14ac:dyDescent="0.25">
      <c r="A15" s="11" t="s">
        <v>5254</v>
      </c>
      <c r="B15" s="13" t="s">
        <v>191</v>
      </c>
      <c r="C15" s="61" t="s">
        <v>43</v>
      </c>
      <c r="D15" s="13" t="s">
        <v>1278</v>
      </c>
      <c r="E15" s="14" t="s">
        <v>43</v>
      </c>
      <c r="F15" s="14" t="s">
        <v>11</v>
      </c>
      <c r="G15" s="13">
        <v>1</v>
      </c>
      <c r="H15" s="14">
        <f>G15+I15</f>
        <v>1</v>
      </c>
      <c r="J15" s="14">
        <v>1</v>
      </c>
      <c r="K15" s="13" t="s">
        <v>733</v>
      </c>
      <c r="L15" s="14" t="s">
        <v>520</v>
      </c>
      <c r="M15" s="14">
        <v>64087</v>
      </c>
      <c r="N15" s="14">
        <v>76444</v>
      </c>
      <c r="O15" s="14">
        <v>264087</v>
      </c>
      <c r="P15" s="14">
        <v>76444</v>
      </c>
    </row>
    <row r="16" spans="1:19" x14ac:dyDescent="0.25">
      <c r="A16" s="11" t="s">
        <v>5254</v>
      </c>
      <c r="B16" s="13" t="s">
        <v>191</v>
      </c>
      <c r="C16" s="61" t="s">
        <v>2527</v>
      </c>
      <c r="D16" s="13" t="s">
        <v>39</v>
      </c>
      <c r="E16" s="14" t="s">
        <v>43</v>
      </c>
      <c r="F16" s="14" t="s">
        <v>11</v>
      </c>
      <c r="G16" s="13"/>
      <c r="H16" s="14">
        <f>G16+I16</f>
        <v>1</v>
      </c>
      <c r="I16" s="14">
        <v>1</v>
      </c>
      <c r="J16" s="14">
        <v>1</v>
      </c>
      <c r="K16" s="13" t="s">
        <v>733</v>
      </c>
      <c r="L16" s="14" t="s">
        <v>520</v>
      </c>
      <c r="M16" s="14">
        <v>558</v>
      </c>
      <c r="N16" s="14">
        <v>632</v>
      </c>
      <c r="O16" s="14">
        <v>255800</v>
      </c>
      <c r="P16" s="14">
        <v>63200</v>
      </c>
    </row>
    <row r="17" spans="1:17" x14ac:dyDescent="0.25">
      <c r="A17" s="11" t="s">
        <v>5254</v>
      </c>
      <c r="B17" s="13" t="s">
        <v>68</v>
      </c>
      <c r="C17" s="61" t="s">
        <v>891</v>
      </c>
      <c r="D17" s="13" t="s">
        <v>90</v>
      </c>
      <c r="E17" s="14" t="s">
        <v>198</v>
      </c>
      <c r="F17" s="14" t="s">
        <v>11</v>
      </c>
      <c r="G17" s="13"/>
      <c r="H17" s="14">
        <f t="shared" ref="H17" si="3">G17+I17</f>
        <v>1</v>
      </c>
      <c r="I17" s="14">
        <v>1</v>
      </c>
      <c r="J17" s="14">
        <v>1</v>
      </c>
      <c r="K17" s="13" t="s">
        <v>488</v>
      </c>
      <c r="L17" s="14" t="s">
        <v>145</v>
      </c>
      <c r="M17" s="14">
        <v>6563</v>
      </c>
      <c r="N17" s="14">
        <v>8900</v>
      </c>
      <c r="O17" s="14">
        <v>365630</v>
      </c>
      <c r="P17" s="14">
        <v>89000</v>
      </c>
      <c r="Q17" s="14"/>
    </row>
    <row r="18" spans="1:17" x14ac:dyDescent="0.25">
      <c r="A18" s="11" t="s">
        <v>5254</v>
      </c>
      <c r="B18" s="13" t="s">
        <v>68</v>
      </c>
      <c r="C18" s="61" t="s">
        <v>382</v>
      </c>
      <c r="D18" s="13" t="s">
        <v>1278</v>
      </c>
      <c r="E18" s="14" t="s">
        <v>314</v>
      </c>
      <c r="F18" s="14" t="s">
        <v>11</v>
      </c>
      <c r="G18" s="13">
        <v>4</v>
      </c>
      <c r="H18" s="14">
        <f t="shared" si="2"/>
        <v>4</v>
      </c>
      <c r="J18" s="14">
        <v>3</v>
      </c>
      <c r="K18" s="13" t="s">
        <v>5341</v>
      </c>
      <c r="L18" s="14" t="s">
        <v>119</v>
      </c>
      <c r="M18" s="14">
        <v>96585</v>
      </c>
      <c r="N18" s="14">
        <v>18584</v>
      </c>
      <c r="O18" s="14">
        <v>396585</v>
      </c>
      <c r="P18" s="14">
        <v>118584</v>
      </c>
      <c r="Q18" s="14"/>
    </row>
    <row r="19" spans="1:17" x14ac:dyDescent="0.25">
      <c r="A19" s="11" t="s">
        <v>5254</v>
      </c>
      <c r="B19" s="13" t="s">
        <v>68</v>
      </c>
      <c r="C19" s="61" t="s">
        <v>864</v>
      </c>
      <c r="D19" s="13" t="s">
        <v>1940</v>
      </c>
      <c r="E19" s="13" t="s">
        <v>198</v>
      </c>
      <c r="F19" s="14" t="s">
        <v>11</v>
      </c>
      <c r="G19" s="13">
        <v>3</v>
      </c>
      <c r="H19" s="14">
        <f t="shared" si="2"/>
        <v>3</v>
      </c>
      <c r="J19" s="14">
        <v>3</v>
      </c>
      <c r="K19" s="13" t="s">
        <v>5308</v>
      </c>
      <c r="L19" s="14" t="s">
        <v>145</v>
      </c>
      <c r="M19" s="14">
        <v>690</v>
      </c>
      <c r="N19" s="14">
        <v>906</v>
      </c>
      <c r="O19" s="14">
        <v>369000</v>
      </c>
      <c r="P19" s="14">
        <v>90600</v>
      </c>
      <c r="Q19" s="14"/>
    </row>
    <row r="20" spans="1:17" x14ac:dyDescent="0.25">
      <c r="A20" s="11" t="s">
        <v>5254</v>
      </c>
      <c r="B20" s="13" t="s">
        <v>68</v>
      </c>
      <c r="C20" s="61" t="s">
        <v>381</v>
      </c>
      <c r="D20" s="13" t="s">
        <v>20</v>
      </c>
      <c r="E20" s="14" t="s">
        <v>314</v>
      </c>
      <c r="F20" s="14" t="s">
        <v>11</v>
      </c>
      <c r="G20" s="13"/>
      <c r="H20" s="14">
        <f t="shared" si="2"/>
        <v>4</v>
      </c>
      <c r="I20" s="14">
        <v>4</v>
      </c>
      <c r="J20" s="14">
        <v>2</v>
      </c>
      <c r="K20" s="13" t="s">
        <v>5281</v>
      </c>
      <c r="L20" s="14" t="s">
        <v>110</v>
      </c>
      <c r="M20" s="14">
        <v>17</v>
      </c>
      <c r="N20" s="14">
        <v>160</v>
      </c>
      <c r="O20" s="14">
        <v>401700</v>
      </c>
      <c r="P20" s="14">
        <v>116000</v>
      </c>
      <c r="Q20" s="14"/>
    </row>
    <row r="21" spans="1:17" x14ac:dyDescent="0.25">
      <c r="A21" s="11" t="s">
        <v>5254</v>
      </c>
      <c r="B21" s="13" t="s">
        <v>68</v>
      </c>
      <c r="C21" s="61" t="s">
        <v>1652</v>
      </c>
      <c r="D21" s="13" t="s">
        <v>1653</v>
      </c>
      <c r="E21" s="14" t="s">
        <v>68</v>
      </c>
      <c r="F21" s="14" t="s">
        <v>11</v>
      </c>
      <c r="G21" s="13"/>
      <c r="H21" s="14">
        <f t="shared" si="2"/>
        <v>1</v>
      </c>
      <c r="I21" s="14">
        <v>1</v>
      </c>
      <c r="J21" s="14">
        <v>1</v>
      </c>
      <c r="K21" s="13" t="s">
        <v>372</v>
      </c>
      <c r="L21" s="14" t="s">
        <v>110</v>
      </c>
      <c r="M21" s="14">
        <v>462</v>
      </c>
      <c r="N21" s="14">
        <v>1156</v>
      </c>
      <c r="O21" s="14">
        <v>404620</v>
      </c>
      <c r="P21" s="14">
        <v>111560</v>
      </c>
      <c r="Q21" s="14"/>
    </row>
    <row r="22" spans="1:17" ht="22.5" x14ac:dyDescent="0.25">
      <c r="A22" s="11" t="s">
        <v>5254</v>
      </c>
      <c r="B22" s="13" t="s">
        <v>68</v>
      </c>
      <c r="C22" s="61" t="s">
        <v>1959</v>
      </c>
      <c r="D22" s="13" t="s">
        <v>138</v>
      </c>
      <c r="E22" s="13" t="s">
        <v>864</v>
      </c>
      <c r="F22" s="14" t="s">
        <v>11</v>
      </c>
      <c r="G22" s="13"/>
      <c r="H22" s="14">
        <f>G22+I22</f>
        <v>2</v>
      </c>
      <c r="I22" s="14">
        <v>2</v>
      </c>
      <c r="J22" s="14">
        <v>2</v>
      </c>
      <c r="K22" s="13" t="s">
        <v>5283</v>
      </c>
      <c r="L22" s="14" t="s">
        <v>145</v>
      </c>
      <c r="M22" s="14">
        <v>704</v>
      </c>
      <c r="N22" s="14">
        <v>899</v>
      </c>
      <c r="O22" s="14">
        <v>370400</v>
      </c>
      <c r="P22" s="14">
        <v>89900</v>
      </c>
      <c r="Q22" s="14"/>
    </row>
    <row r="23" spans="1:17" ht="22.5" x14ac:dyDescent="0.25">
      <c r="A23" s="11" t="s">
        <v>5254</v>
      </c>
      <c r="B23" s="13" t="s">
        <v>68</v>
      </c>
      <c r="C23" s="61" t="s">
        <v>117</v>
      </c>
      <c r="D23" s="13" t="s">
        <v>92</v>
      </c>
      <c r="E23" s="14" t="s">
        <v>118</v>
      </c>
      <c r="F23" s="14" t="s">
        <v>11</v>
      </c>
      <c r="G23" s="13">
        <v>1</v>
      </c>
      <c r="H23" s="14">
        <f t="shared" si="2"/>
        <v>6</v>
      </c>
      <c r="I23" s="14">
        <v>5</v>
      </c>
      <c r="J23" s="14">
        <v>4</v>
      </c>
      <c r="K23" s="13" t="s">
        <v>5282</v>
      </c>
      <c r="L23" s="14" t="s">
        <v>119</v>
      </c>
      <c r="M23" s="14">
        <v>8492</v>
      </c>
      <c r="N23" s="14">
        <v>1226</v>
      </c>
      <c r="O23" s="14">
        <v>384920</v>
      </c>
      <c r="P23" s="14">
        <v>112260</v>
      </c>
      <c r="Q23" s="14"/>
    </row>
    <row r="24" spans="1:17" ht="22.5" x14ac:dyDescent="0.25">
      <c r="A24" s="11" t="s">
        <v>5254</v>
      </c>
      <c r="B24" s="13" t="s">
        <v>68</v>
      </c>
      <c r="C24" s="61" t="s">
        <v>197</v>
      </c>
      <c r="D24" s="13" t="s">
        <v>92</v>
      </c>
      <c r="E24" s="14" t="s">
        <v>198</v>
      </c>
      <c r="F24" s="14" t="s">
        <v>11</v>
      </c>
      <c r="G24" s="13">
        <v>1</v>
      </c>
      <c r="H24" s="14">
        <f t="shared" si="2"/>
        <v>3</v>
      </c>
      <c r="I24" s="14">
        <v>2</v>
      </c>
      <c r="J24" s="14">
        <v>2</v>
      </c>
      <c r="K24" s="13" t="s">
        <v>5279</v>
      </c>
      <c r="L24" s="14" t="s">
        <v>145</v>
      </c>
      <c r="M24" s="14">
        <v>6693</v>
      </c>
      <c r="N24" s="14">
        <v>8848</v>
      </c>
      <c r="O24" s="14">
        <v>366930</v>
      </c>
      <c r="P24" s="14">
        <v>88480</v>
      </c>
      <c r="Q24" s="14"/>
    </row>
    <row r="25" spans="1:17" ht="22.5" x14ac:dyDescent="0.25">
      <c r="A25" s="11" t="s">
        <v>5254</v>
      </c>
      <c r="B25" s="13" t="s">
        <v>68</v>
      </c>
      <c r="C25" s="61" t="s">
        <v>402</v>
      </c>
      <c r="D25" s="13" t="s">
        <v>5023</v>
      </c>
      <c r="E25" s="14" t="s">
        <v>21</v>
      </c>
      <c r="F25" s="14" t="s">
        <v>11</v>
      </c>
      <c r="G25" s="13">
        <v>2</v>
      </c>
      <c r="H25" s="14">
        <f t="shared" si="2"/>
        <v>9</v>
      </c>
      <c r="I25" s="14">
        <v>7</v>
      </c>
      <c r="J25" s="14">
        <v>7</v>
      </c>
      <c r="K25" s="13" t="s">
        <v>5347</v>
      </c>
      <c r="L25" s="14" t="s">
        <v>145</v>
      </c>
      <c r="M25" s="14">
        <v>70986</v>
      </c>
      <c r="N25" s="14">
        <v>89924</v>
      </c>
      <c r="O25" s="14">
        <v>370986</v>
      </c>
      <c r="P25" s="14">
        <v>89924</v>
      </c>
      <c r="Q25" s="14"/>
    </row>
    <row r="26" spans="1:17" x14ac:dyDescent="0.25">
      <c r="A26" s="11" t="s">
        <v>5254</v>
      </c>
      <c r="B26" s="13" t="s">
        <v>68</v>
      </c>
      <c r="C26" s="61" t="s">
        <v>5325</v>
      </c>
      <c r="D26" s="13" t="s">
        <v>90</v>
      </c>
      <c r="E26" s="14" t="s">
        <v>314</v>
      </c>
      <c r="F26" s="14" t="s">
        <v>11</v>
      </c>
      <c r="G26" s="13">
        <v>1</v>
      </c>
      <c r="H26" s="14">
        <f t="shared" ref="H26" si="4">G26+I26</f>
        <v>1</v>
      </c>
      <c r="J26" s="14">
        <v>1</v>
      </c>
      <c r="K26" s="13" t="s">
        <v>459</v>
      </c>
      <c r="L26" s="14" t="s">
        <v>145</v>
      </c>
      <c r="M26" s="14">
        <v>916</v>
      </c>
      <c r="N26" s="14">
        <v>985</v>
      </c>
      <c r="O26" s="14">
        <v>391600</v>
      </c>
      <c r="P26" s="14">
        <v>98500</v>
      </c>
      <c r="Q26" s="14"/>
    </row>
    <row r="27" spans="1:17" ht="22.5" x14ac:dyDescent="0.25">
      <c r="A27" s="11" t="s">
        <v>5254</v>
      </c>
      <c r="B27" s="13" t="s">
        <v>209</v>
      </c>
      <c r="C27" s="61" t="s">
        <v>210</v>
      </c>
      <c r="D27" s="13" t="s">
        <v>92</v>
      </c>
      <c r="E27" s="14" t="s">
        <v>211</v>
      </c>
      <c r="F27" s="14" t="s">
        <v>11</v>
      </c>
      <c r="G27" s="13"/>
      <c r="H27" s="14">
        <f t="shared" si="2"/>
        <v>1</v>
      </c>
      <c r="I27" s="14">
        <v>1</v>
      </c>
      <c r="J27" s="14">
        <v>1</v>
      </c>
      <c r="K27" s="13" t="s">
        <v>309</v>
      </c>
      <c r="L27" s="14" t="s">
        <v>108</v>
      </c>
      <c r="M27" s="14">
        <v>6515</v>
      </c>
      <c r="N27" s="14">
        <v>8055</v>
      </c>
      <c r="O27" s="14">
        <v>565150</v>
      </c>
      <c r="P27" s="14">
        <v>180550</v>
      </c>
      <c r="Q27" s="14"/>
    </row>
    <row r="28" spans="1:17" ht="45" x14ac:dyDescent="0.25">
      <c r="A28" s="11" t="s">
        <v>5254</v>
      </c>
      <c r="B28" s="13" t="s">
        <v>64</v>
      </c>
      <c r="C28" s="61" t="s">
        <v>195</v>
      </c>
      <c r="D28" s="13" t="s">
        <v>3822</v>
      </c>
      <c r="E28" s="14" t="s">
        <v>69</v>
      </c>
      <c r="F28" s="14" t="s">
        <v>11</v>
      </c>
      <c r="G28" s="13">
        <v>1</v>
      </c>
      <c r="H28" s="14">
        <f t="shared" si="2"/>
        <v>2</v>
      </c>
      <c r="I28" s="14">
        <v>1</v>
      </c>
      <c r="J28" s="14">
        <v>2</v>
      </c>
      <c r="K28" s="13" t="s">
        <v>5277</v>
      </c>
      <c r="L28" s="14" t="s">
        <v>113</v>
      </c>
      <c r="M28" s="14">
        <v>9265</v>
      </c>
      <c r="N28" s="14">
        <v>1610</v>
      </c>
      <c r="O28" s="14">
        <v>392650</v>
      </c>
      <c r="P28" s="14">
        <v>216100</v>
      </c>
      <c r="Q28" s="14"/>
    </row>
    <row r="29" spans="1:17" ht="33.75" x14ac:dyDescent="0.25">
      <c r="A29" s="11" t="s">
        <v>5254</v>
      </c>
      <c r="B29" s="13" t="s">
        <v>64</v>
      </c>
      <c r="C29" s="61" t="s">
        <v>1117</v>
      </c>
      <c r="D29" s="13" t="s">
        <v>3668</v>
      </c>
      <c r="E29" s="13" t="s">
        <v>4754</v>
      </c>
      <c r="F29" s="14" t="s">
        <v>11</v>
      </c>
      <c r="G29" s="13">
        <v>1</v>
      </c>
      <c r="H29" s="14">
        <f>G29+I29</f>
        <v>3</v>
      </c>
      <c r="I29" s="14">
        <v>2</v>
      </c>
      <c r="J29" s="14">
        <v>3</v>
      </c>
      <c r="K29" s="13" t="s">
        <v>5275</v>
      </c>
      <c r="L29" s="14" t="s">
        <v>111</v>
      </c>
      <c r="M29" s="14">
        <v>72</v>
      </c>
      <c r="N29" s="14">
        <v>188</v>
      </c>
      <c r="O29" s="14">
        <v>407200</v>
      </c>
      <c r="P29" s="14">
        <v>218800</v>
      </c>
      <c r="Q29" s="14"/>
    </row>
    <row r="30" spans="1:17" x14ac:dyDescent="0.25">
      <c r="A30" s="11" t="s">
        <v>5254</v>
      </c>
      <c r="B30" s="13" t="s">
        <v>261</v>
      </c>
      <c r="C30" s="61" t="s">
        <v>290</v>
      </c>
      <c r="D30" s="13" t="s">
        <v>1276</v>
      </c>
      <c r="E30" s="14" t="s">
        <v>290</v>
      </c>
      <c r="F30" s="14" t="s">
        <v>11</v>
      </c>
      <c r="G30" s="13">
        <v>1</v>
      </c>
      <c r="H30" s="14">
        <f>G30+I30</f>
        <v>1</v>
      </c>
      <c r="J30" s="14">
        <v>1</v>
      </c>
      <c r="K30" s="13" t="s">
        <v>5412</v>
      </c>
      <c r="L30" s="14" t="s">
        <v>110</v>
      </c>
      <c r="M30" s="14">
        <v>71683</v>
      </c>
      <c r="N30" s="14">
        <v>20323</v>
      </c>
      <c r="O30" s="14">
        <v>471683</v>
      </c>
      <c r="P30" s="14">
        <v>120323</v>
      </c>
      <c r="Q30" s="14"/>
    </row>
    <row r="31" spans="1:17" ht="22.5" x14ac:dyDescent="0.25">
      <c r="A31" s="11" t="s">
        <v>5254</v>
      </c>
      <c r="B31" s="13" t="s">
        <v>261</v>
      </c>
      <c r="C31" s="61" t="s">
        <v>602</v>
      </c>
      <c r="D31" s="13" t="s">
        <v>3779</v>
      </c>
      <c r="E31" s="14" t="s">
        <v>601</v>
      </c>
      <c r="F31" s="14" t="s">
        <v>11</v>
      </c>
      <c r="G31" s="13"/>
      <c r="H31" s="14">
        <f t="shared" si="2"/>
        <v>2</v>
      </c>
      <c r="I31" s="14">
        <v>2</v>
      </c>
      <c r="J31" s="14">
        <v>2</v>
      </c>
      <c r="K31" s="13" t="s">
        <v>5345</v>
      </c>
      <c r="L31" s="14" t="s">
        <v>110</v>
      </c>
      <c r="M31" s="14">
        <v>48</v>
      </c>
      <c r="N31" s="14">
        <v>209</v>
      </c>
      <c r="O31" s="14">
        <v>404800</v>
      </c>
      <c r="P31" s="14">
        <v>120900</v>
      </c>
      <c r="Q31" s="14"/>
    </row>
    <row r="32" spans="1:17" ht="33.75" x14ac:dyDescent="0.25">
      <c r="A32" s="11" t="s">
        <v>5254</v>
      </c>
      <c r="B32" s="13" t="s">
        <v>283</v>
      </c>
      <c r="C32" s="61" t="s">
        <v>1388</v>
      </c>
      <c r="D32" s="13" t="s">
        <v>4022</v>
      </c>
      <c r="E32" s="14" t="s">
        <v>1389</v>
      </c>
      <c r="F32" s="14" t="s">
        <v>11</v>
      </c>
      <c r="G32" s="13">
        <v>1</v>
      </c>
      <c r="H32" s="14">
        <f t="shared" si="2"/>
        <v>1</v>
      </c>
      <c r="J32" s="14">
        <v>1</v>
      </c>
      <c r="K32" s="13" t="s">
        <v>204</v>
      </c>
      <c r="L32" s="14" t="s">
        <v>108</v>
      </c>
      <c r="M32" s="14">
        <v>6159</v>
      </c>
      <c r="N32" s="14">
        <v>7308</v>
      </c>
      <c r="O32" s="14">
        <v>561590</v>
      </c>
      <c r="P32" s="14">
        <v>173080</v>
      </c>
      <c r="Q32" s="14"/>
    </row>
    <row r="33" spans="1:17" ht="22.5" x14ac:dyDescent="0.25">
      <c r="A33" s="11" t="s">
        <v>5254</v>
      </c>
      <c r="B33" s="13" t="s">
        <v>1933</v>
      </c>
      <c r="C33" s="61" t="s">
        <v>2244</v>
      </c>
      <c r="D33" s="13" t="s">
        <v>540</v>
      </c>
      <c r="E33" s="13" t="s">
        <v>2245</v>
      </c>
      <c r="F33" s="14" t="s">
        <v>11</v>
      </c>
      <c r="G33" s="13"/>
      <c r="H33" s="14">
        <f t="shared" si="2"/>
        <v>2</v>
      </c>
      <c r="I33" s="14">
        <v>2</v>
      </c>
      <c r="J33" s="14">
        <v>2</v>
      </c>
      <c r="K33" s="13" t="s">
        <v>5340</v>
      </c>
      <c r="L33" s="14" t="s">
        <v>445</v>
      </c>
      <c r="M33" s="14">
        <v>469</v>
      </c>
      <c r="N33" s="14">
        <v>291</v>
      </c>
      <c r="O33" s="14">
        <v>446900</v>
      </c>
      <c r="P33" s="14">
        <v>329100</v>
      </c>
      <c r="Q33" s="14"/>
    </row>
    <row r="34" spans="1:17" x14ac:dyDescent="0.25">
      <c r="A34" s="11" t="s">
        <v>5254</v>
      </c>
      <c r="B34" s="13" t="s">
        <v>78</v>
      </c>
      <c r="C34" s="61" t="s">
        <v>565</v>
      </c>
      <c r="D34" s="13" t="s">
        <v>158</v>
      </c>
      <c r="E34" s="14" t="s">
        <v>566</v>
      </c>
      <c r="F34" s="14" t="s">
        <v>11</v>
      </c>
      <c r="G34" s="13"/>
      <c r="H34" s="14">
        <f t="shared" si="2"/>
        <v>1</v>
      </c>
      <c r="I34" s="14">
        <v>1</v>
      </c>
      <c r="J34" s="14">
        <v>1</v>
      </c>
      <c r="K34" s="13" t="s">
        <v>240</v>
      </c>
      <c r="L34" s="14" t="s">
        <v>177</v>
      </c>
      <c r="M34" s="14">
        <v>81758</v>
      </c>
      <c r="N34" s="14">
        <v>89781</v>
      </c>
      <c r="O34" s="14">
        <v>581758</v>
      </c>
      <c r="P34" s="14">
        <v>289781</v>
      </c>
      <c r="Q34" s="14"/>
    </row>
    <row r="35" spans="1:17" ht="22.5" x14ac:dyDescent="0.25">
      <c r="A35" s="11" t="s">
        <v>5254</v>
      </c>
      <c r="B35" s="13" t="s">
        <v>206</v>
      </c>
      <c r="C35" s="61" t="s">
        <v>2452</v>
      </c>
      <c r="D35" s="13" t="s">
        <v>90</v>
      </c>
      <c r="E35" s="13" t="s">
        <v>2453</v>
      </c>
      <c r="F35" s="14" t="s">
        <v>11</v>
      </c>
      <c r="G35" s="13">
        <v>1</v>
      </c>
      <c r="H35" s="14">
        <f t="shared" ref="H35:H51" si="5">G35+I35</f>
        <v>6</v>
      </c>
      <c r="I35" s="14">
        <v>5</v>
      </c>
      <c r="J35" s="14">
        <v>4</v>
      </c>
      <c r="K35" s="13" t="s">
        <v>5342</v>
      </c>
      <c r="L35" s="14" t="s">
        <v>111</v>
      </c>
      <c r="M35" s="14">
        <v>9623</v>
      </c>
      <c r="N35" s="14">
        <v>7126</v>
      </c>
      <c r="O35" s="14">
        <v>496230</v>
      </c>
      <c r="P35" s="14">
        <v>271260</v>
      </c>
      <c r="Q35" s="14"/>
    </row>
    <row r="36" spans="1:17" x14ac:dyDescent="0.25">
      <c r="A36" s="11" t="s">
        <v>5254</v>
      </c>
      <c r="B36" s="13" t="s">
        <v>206</v>
      </c>
      <c r="C36" s="61" t="s">
        <v>1936</v>
      </c>
      <c r="D36" s="13" t="s">
        <v>2254</v>
      </c>
      <c r="E36" s="14" t="s">
        <v>1936</v>
      </c>
      <c r="F36" s="14" t="s">
        <v>11</v>
      </c>
      <c r="G36" s="13">
        <v>2</v>
      </c>
      <c r="H36" s="14">
        <f>G36+I36</f>
        <v>2</v>
      </c>
      <c r="J36" s="14">
        <v>2</v>
      </c>
      <c r="K36" s="13" t="s">
        <v>792</v>
      </c>
      <c r="L36" s="14" t="s">
        <v>111</v>
      </c>
      <c r="M36" s="14">
        <v>983</v>
      </c>
      <c r="N36" s="14">
        <v>725</v>
      </c>
      <c r="O36" s="14">
        <v>498300</v>
      </c>
      <c r="P36" s="14">
        <v>272500</v>
      </c>
      <c r="Q36" s="14"/>
    </row>
    <row r="37" spans="1:17" ht="33.75" x14ac:dyDescent="0.25">
      <c r="A37" s="11" t="s">
        <v>5254</v>
      </c>
      <c r="B37" s="13" t="s">
        <v>46</v>
      </c>
      <c r="C37" s="61" t="s">
        <v>2440</v>
      </c>
      <c r="D37" s="13" t="s">
        <v>3538</v>
      </c>
      <c r="E37" s="14" t="s">
        <v>45</v>
      </c>
      <c r="F37" s="14" t="s">
        <v>11</v>
      </c>
      <c r="G37" s="13">
        <v>1</v>
      </c>
      <c r="H37" s="14">
        <f t="shared" si="5"/>
        <v>1</v>
      </c>
      <c r="J37" s="14">
        <v>1</v>
      </c>
      <c r="K37" s="13" t="s">
        <v>948</v>
      </c>
      <c r="L37" s="14" t="s">
        <v>398</v>
      </c>
      <c r="M37" s="14">
        <v>9280</v>
      </c>
      <c r="N37" s="14">
        <v>2931</v>
      </c>
      <c r="O37" s="14">
        <v>392800</v>
      </c>
      <c r="P37" s="14">
        <v>629310</v>
      </c>
      <c r="Q37" s="14"/>
    </row>
    <row r="38" spans="1:17" ht="22.5" x14ac:dyDescent="0.25">
      <c r="A38" s="11" t="s">
        <v>5254</v>
      </c>
      <c r="B38" s="13" t="s">
        <v>62</v>
      </c>
      <c r="C38" s="61" t="s">
        <v>1122</v>
      </c>
      <c r="D38" s="13" t="s">
        <v>5273</v>
      </c>
      <c r="E38" s="13" t="s">
        <v>102</v>
      </c>
      <c r="F38" s="14" t="s">
        <v>11</v>
      </c>
      <c r="G38" s="13"/>
      <c r="H38" s="14">
        <f>G38+I38</f>
        <v>2</v>
      </c>
      <c r="I38" s="14">
        <v>2</v>
      </c>
      <c r="J38" s="14">
        <v>2</v>
      </c>
      <c r="K38" s="13" t="s">
        <v>5274</v>
      </c>
      <c r="L38" s="14" t="s">
        <v>110</v>
      </c>
      <c r="M38" s="14">
        <v>5167</v>
      </c>
      <c r="N38" s="14">
        <v>9830</v>
      </c>
      <c r="O38" s="14">
        <v>451670</v>
      </c>
      <c r="P38" s="14">
        <v>198300</v>
      </c>
      <c r="Q38" s="14"/>
    </row>
    <row r="39" spans="1:17" ht="22.5" x14ac:dyDescent="0.25">
      <c r="A39" s="11" t="s">
        <v>5254</v>
      </c>
      <c r="B39" s="13" t="s">
        <v>62</v>
      </c>
      <c r="C39" s="61" t="s">
        <v>2481</v>
      </c>
      <c r="D39" s="13" t="s">
        <v>5146</v>
      </c>
      <c r="E39" s="13" t="s">
        <v>101</v>
      </c>
      <c r="F39" s="14" t="s">
        <v>11</v>
      </c>
      <c r="G39" s="13"/>
      <c r="H39" s="14">
        <f t="shared" si="5"/>
        <v>1</v>
      </c>
      <c r="I39" s="14">
        <v>1</v>
      </c>
      <c r="J39" s="14">
        <v>1</v>
      </c>
      <c r="K39" s="13" t="s">
        <v>476</v>
      </c>
      <c r="L39" s="14" t="s">
        <v>111</v>
      </c>
      <c r="M39" s="14">
        <v>4534</v>
      </c>
      <c r="N39" s="14">
        <v>1027</v>
      </c>
      <c r="O39" s="14">
        <v>445340</v>
      </c>
      <c r="P39" s="14">
        <v>210270</v>
      </c>
      <c r="Q39" s="14"/>
    </row>
    <row r="40" spans="1:17" ht="22.5" x14ac:dyDescent="0.25">
      <c r="A40" s="11" t="s">
        <v>5254</v>
      </c>
      <c r="B40" s="13" t="s">
        <v>62</v>
      </c>
      <c r="C40" s="61" t="s">
        <v>2830</v>
      </c>
      <c r="D40" s="13" t="s">
        <v>865</v>
      </c>
      <c r="E40" s="13" t="s">
        <v>386</v>
      </c>
      <c r="F40" s="14" t="s">
        <v>11</v>
      </c>
      <c r="G40" s="13"/>
      <c r="H40" s="14">
        <f t="shared" si="5"/>
        <v>1</v>
      </c>
      <c r="I40" s="14">
        <v>1</v>
      </c>
      <c r="J40" s="14">
        <v>1</v>
      </c>
      <c r="K40" s="13" t="s">
        <v>324</v>
      </c>
      <c r="L40" s="14" t="s">
        <v>110</v>
      </c>
      <c r="M40" s="14">
        <v>5738</v>
      </c>
      <c r="N40" s="14">
        <v>9546</v>
      </c>
      <c r="O40" s="14">
        <v>457380</v>
      </c>
      <c r="P40" s="14">
        <v>195460</v>
      </c>
      <c r="Q40" s="14"/>
    </row>
    <row r="41" spans="1:17" x14ac:dyDescent="0.25">
      <c r="A41" s="11" t="s">
        <v>5254</v>
      </c>
      <c r="B41" s="13" t="s">
        <v>62</v>
      </c>
      <c r="C41" s="61" t="s">
        <v>498</v>
      </c>
      <c r="D41" s="13" t="s">
        <v>499</v>
      </c>
      <c r="E41" s="13" t="s">
        <v>101</v>
      </c>
      <c r="F41" s="14" t="s">
        <v>11</v>
      </c>
      <c r="G41" s="13"/>
      <c r="H41" s="14">
        <f t="shared" si="5"/>
        <v>1</v>
      </c>
      <c r="I41" s="14">
        <v>1</v>
      </c>
      <c r="J41" s="14">
        <v>1</v>
      </c>
      <c r="K41" s="13" t="s">
        <v>476</v>
      </c>
      <c r="L41" s="14" t="s">
        <v>111</v>
      </c>
      <c r="M41" s="14">
        <v>4252</v>
      </c>
      <c r="N41" s="14">
        <v>866</v>
      </c>
      <c r="O41" s="14">
        <v>442520</v>
      </c>
      <c r="P41" s="14">
        <v>208660</v>
      </c>
      <c r="Q41" s="14"/>
    </row>
    <row r="42" spans="1:17" ht="22.5" x14ac:dyDescent="0.25">
      <c r="A42" s="11" t="s">
        <v>5254</v>
      </c>
      <c r="B42" s="13" t="s">
        <v>62</v>
      </c>
      <c r="C42" s="61" t="s">
        <v>1590</v>
      </c>
      <c r="D42" s="13" t="s">
        <v>401</v>
      </c>
      <c r="E42" s="13" t="s">
        <v>102</v>
      </c>
      <c r="F42" s="14" t="s">
        <v>11</v>
      </c>
      <c r="G42" s="13"/>
      <c r="H42" s="14">
        <f t="shared" si="5"/>
        <v>1</v>
      </c>
      <c r="I42" s="14">
        <v>1</v>
      </c>
      <c r="J42" s="14">
        <v>1</v>
      </c>
      <c r="K42" s="13" t="s">
        <v>456</v>
      </c>
      <c r="L42" s="14" t="s">
        <v>110</v>
      </c>
      <c r="M42" s="14">
        <v>3143</v>
      </c>
      <c r="N42" s="14">
        <v>8630</v>
      </c>
      <c r="O42" s="14">
        <v>431430</v>
      </c>
      <c r="P42" s="14">
        <v>186300</v>
      </c>
      <c r="Q42" s="14"/>
    </row>
    <row r="43" spans="1:17" ht="22.5" x14ac:dyDescent="0.25">
      <c r="A43" s="11" t="s">
        <v>5254</v>
      </c>
      <c r="B43" s="13" t="s">
        <v>62</v>
      </c>
      <c r="C43" s="61" t="s">
        <v>4310</v>
      </c>
      <c r="D43" s="13" t="s">
        <v>8</v>
      </c>
      <c r="E43" s="13" t="s">
        <v>101</v>
      </c>
      <c r="F43" s="14" t="s">
        <v>11</v>
      </c>
      <c r="G43" s="13"/>
      <c r="H43" s="14">
        <f t="shared" si="5"/>
        <v>2</v>
      </c>
      <c r="I43" s="14">
        <v>2</v>
      </c>
      <c r="J43" s="14">
        <v>2</v>
      </c>
      <c r="K43" s="13" t="s">
        <v>5417</v>
      </c>
      <c r="L43" s="14" t="s">
        <v>111</v>
      </c>
      <c r="M43" s="14">
        <v>297</v>
      </c>
      <c r="N43" s="14">
        <v>308</v>
      </c>
      <c r="O43" s="14">
        <v>429700</v>
      </c>
      <c r="P43" s="14">
        <v>230800</v>
      </c>
      <c r="Q43" s="14"/>
    </row>
    <row r="44" spans="1:17" ht="33.75" x14ac:dyDescent="0.25">
      <c r="A44" s="11" t="s">
        <v>5254</v>
      </c>
      <c r="B44" s="13" t="s">
        <v>62</v>
      </c>
      <c r="C44" s="61" t="s">
        <v>3413</v>
      </c>
      <c r="D44" s="13" t="s">
        <v>4026</v>
      </c>
      <c r="E44" s="13" t="s">
        <v>102</v>
      </c>
      <c r="F44" s="14" t="s">
        <v>11</v>
      </c>
      <c r="G44" s="13"/>
      <c r="H44" s="14">
        <f t="shared" si="5"/>
        <v>1</v>
      </c>
      <c r="I44" s="14">
        <v>1</v>
      </c>
      <c r="J44" s="14">
        <v>1</v>
      </c>
      <c r="K44" s="13" t="s">
        <v>264</v>
      </c>
      <c r="L44" s="14" t="s">
        <v>110</v>
      </c>
      <c r="M44" s="14">
        <v>28090</v>
      </c>
      <c r="N44" s="14">
        <v>85396</v>
      </c>
      <c r="O44" s="14">
        <v>428090</v>
      </c>
      <c r="P44" s="14">
        <v>185396</v>
      </c>
      <c r="Q44" s="14"/>
    </row>
    <row r="45" spans="1:17" ht="22.5" x14ac:dyDescent="0.25">
      <c r="A45" s="11" t="s">
        <v>5254</v>
      </c>
      <c r="B45" s="13" t="s">
        <v>62</v>
      </c>
      <c r="C45" s="61" t="s">
        <v>4027</v>
      </c>
      <c r="D45" s="13" t="s">
        <v>26</v>
      </c>
      <c r="E45" s="13" t="s">
        <v>102</v>
      </c>
      <c r="F45" s="14" t="s">
        <v>11</v>
      </c>
      <c r="G45" s="13">
        <v>1</v>
      </c>
      <c r="H45" s="14">
        <f t="shared" si="5"/>
        <v>1</v>
      </c>
      <c r="J45" s="14">
        <v>1</v>
      </c>
      <c r="K45" s="13" t="s">
        <v>1092</v>
      </c>
      <c r="L45" s="14" t="s">
        <v>110</v>
      </c>
      <c r="M45" s="14">
        <v>28090</v>
      </c>
      <c r="N45" s="14">
        <v>85396</v>
      </c>
      <c r="O45" s="14">
        <v>428090</v>
      </c>
      <c r="P45" s="14">
        <v>185396</v>
      </c>
      <c r="Q45" s="14"/>
    </row>
    <row r="46" spans="1:17" ht="22.5" x14ac:dyDescent="0.25">
      <c r="A46" s="11" t="s">
        <v>5254</v>
      </c>
      <c r="B46" s="13" t="s">
        <v>22</v>
      </c>
      <c r="C46" s="61" t="s">
        <v>1591</v>
      </c>
      <c r="D46" s="13" t="s">
        <v>3889</v>
      </c>
      <c r="E46" s="14" t="s">
        <v>1592</v>
      </c>
      <c r="F46" s="14" t="s">
        <v>11</v>
      </c>
      <c r="G46" s="13"/>
      <c r="H46" s="14">
        <f t="shared" si="5"/>
        <v>1</v>
      </c>
      <c r="I46" s="14">
        <v>1</v>
      </c>
      <c r="J46" s="14">
        <v>1</v>
      </c>
      <c r="K46" s="13" t="s">
        <v>456</v>
      </c>
      <c r="L46" s="14" t="s">
        <v>119</v>
      </c>
      <c r="M46" s="14">
        <v>1962</v>
      </c>
      <c r="N46" s="14">
        <v>2626</v>
      </c>
      <c r="O46" s="14">
        <v>319620</v>
      </c>
      <c r="P46" s="14">
        <v>126260</v>
      </c>
      <c r="Q46" s="14"/>
    </row>
    <row r="47" spans="1:17" ht="33.75" x14ac:dyDescent="0.25">
      <c r="A47" s="11" t="s">
        <v>5254</v>
      </c>
      <c r="B47" s="13" t="s">
        <v>22</v>
      </c>
      <c r="C47" s="61" t="s">
        <v>3275</v>
      </c>
      <c r="D47" s="13" t="s">
        <v>148</v>
      </c>
      <c r="E47" s="14" t="s">
        <v>149</v>
      </c>
      <c r="F47" s="14" t="s">
        <v>11</v>
      </c>
      <c r="G47" s="13"/>
      <c r="H47" s="14">
        <f t="shared" si="5"/>
        <v>1</v>
      </c>
      <c r="I47" s="14">
        <v>1</v>
      </c>
      <c r="J47" s="14">
        <v>1</v>
      </c>
      <c r="K47" s="13" t="s">
        <v>240</v>
      </c>
      <c r="L47" s="14" t="s">
        <v>119</v>
      </c>
      <c r="M47" s="14">
        <v>423</v>
      </c>
      <c r="N47" s="14">
        <v>403</v>
      </c>
      <c r="O47" s="14">
        <v>342300</v>
      </c>
      <c r="P47" s="14">
        <v>140300</v>
      </c>
      <c r="Q47" s="14"/>
    </row>
    <row r="48" spans="1:17" x14ac:dyDescent="0.25">
      <c r="A48" s="11" t="s">
        <v>5254</v>
      </c>
      <c r="B48" s="13" t="s">
        <v>22</v>
      </c>
      <c r="C48" s="61" t="s">
        <v>149</v>
      </c>
      <c r="D48" s="13" t="s">
        <v>1278</v>
      </c>
      <c r="E48" s="14" t="s">
        <v>149</v>
      </c>
      <c r="F48" s="14" t="s">
        <v>11</v>
      </c>
      <c r="G48" s="13">
        <v>2</v>
      </c>
      <c r="H48" s="14">
        <f>G48+I48</f>
        <v>3</v>
      </c>
      <c r="I48" s="14">
        <v>1</v>
      </c>
      <c r="J48" s="14">
        <v>3</v>
      </c>
      <c r="K48" s="13" t="s">
        <v>5269</v>
      </c>
      <c r="L48" s="14" t="s">
        <v>119</v>
      </c>
      <c r="M48" s="14">
        <v>35170</v>
      </c>
      <c r="N48" s="14">
        <v>29909</v>
      </c>
      <c r="O48" s="14">
        <v>335170</v>
      </c>
      <c r="P48" s="14">
        <v>129909</v>
      </c>
      <c r="Q48" s="14"/>
    </row>
    <row r="49" spans="1:17" ht="33.75" x14ac:dyDescent="0.25">
      <c r="A49" s="11" t="s">
        <v>5254</v>
      </c>
      <c r="B49" s="13" t="s">
        <v>22</v>
      </c>
      <c r="C49" s="61" t="s">
        <v>147</v>
      </c>
      <c r="D49" s="13" t="s">
        <v>148</v>
      </c>
      <c r="E49" s="14" t="s">
        <v>149</v>
      </c>
      <c r="F49" s="14" t="s">
        <v>11</v>
      </c>
      <c r="G49" s="13">
        <v>2</v>
      </c>
      <c r="H49" s="14">
        <f t="shared" si="5"/>
        <v>4</v>
      </c>
      <c r="I49" s="14">
        <v>2</v>
      </c>
      <c r="J49" s="14">
        <v>2</v>
      </c>
      <c r="K49" s="13" t="s">
        <v>5270</v>
      </c>
      <c r="L49" s="14" t="s">
        <v>119</v>
      </c>
      <c r="M49" s="14">
        <v>423</v>
      </c>
      <c r="N49" s="14">
        <v>403</v>
      </c>
      <c r="O49" s="14">
        <v>342300</v>
      </c>
      <c r="P49" s="14">
        <v>140300</v>
      </c>
      <c r="Q49" s="14"/>
    </row>
    <row r="50" spans="1:17" ht="33.75" x14ac:dyDescent="0.25">
      <c r="A50" s="11" t="s">
        <v>5254</v>
      </c>
      <c r="B50" s="13" t="s">
        <v>609</v>
      </c>
      <c r="C50" s="61" t="s">
        <v>3158</v>
      </c>
      <c r="D50" s="13" t="s">
        <v>3159</v>
      </c>
      <c r="E50" s="14" t="s">
        <v>1377</v>
      </c>
      <c r="F50" s="14" t="s">
        <v>11</v>
      </c>
      <c r="G50" s="13"/>
      <c r="H50" s="14">
        <f t="shared" si="5"/>
        <v>2</v>
      </c>
      <c r="I50" s="14">
        <v>2</v>
      </c>
      <c r="J50" s="14">
        <v>2</v>
      </c>
      <c r="K50" s="13" t="s">
        <v>688</v>
      </c>
      <c r="L50" s="14" t="s">
        <v>111</v>
      </c>
      <c r="M50" s="14">
        <v>8222</v>
      </c>
      <c r="N50" s="14">
        <v>398</v>
      </c>
      <c r="O50" s="14">
        <v>482220</v>
      </c>
      <c r="P50" s="14">
        <v>203980</v>
      </c>
      <c r="Q50" s="14"/>
    </row>
    <row r="51" spans="1:17" x14ac:dyDescent="0.25">
      <c r="A51" s="11" t="s">
        <v>5254</v>
      </c>
      <c r="B51" s="13" t="s">
        <v>609</v>
      </c>
      <c r="C51" s="61" t="s">
        <v>2087</v>
      </c>
      <c r="D51" s="13" t="s">
        <v>39</v>
      </c>
      <c r="E51" s="14" t="s">
        <v>1369</v>
      </c>
      <c r="F51" s="14" t="s">
        <v>11</v>
      </c>
      <c r="G51" s="13"/>
      <c r="H51" s="14">
        <f t="shared" si="5"/>
        <v>1</v>
      </c>
      <c r="I51" s="14">
        <v>1</v>
      </c>
      <c r="J51" s="14">
        <v>1</v>
      </c>
      <c r="K51" s="13" t="s">
        <v>466</v>
      </c>
      <c r="L51" s="14" t="s">
        <v>140</v>
      </c>
      <c r="M51" s="14">
        <v>288</v>
      </c>
      <c r="N51" s="14">
        <v>487</v>
      </c>
      <c r="O51" s="14">
        <v>628800</v>
      </c>
      <c r="P51" s="14">
        <v>248700</v>
      </c>
      <c r="Q51" s="14"/>
    </row>
    <row r="52" spans="1:17" x14ac:dyDescent="0.25">
      <c r="A52" s="11" t="s">
        <v>5254</v>
      </c>
      <c r="B52" s="13" t="s">
        <v>93</v>
      </c>
      <c r="C52" s="61" t="s">
        <v>2102</v>
      </c>
      <c r="D52" s="13" t="s">
        <v>39</v>
      </c>
      <c r="E52" s="14" t="s">
        <v>2103</v>
      </c>
      <c r="F52" s="14" t="s">
        <v>11</v>
      </c>
      <c r="G52" s="13"/>
      <c r="H52" s="14">
        <f t="shared" ref="H52:H84" si="6">G52+I52</f>
        <v>1</v>
      </c>
      <c r="I52" s="14">
        <v>1</v>
      </c>
      <c r="J52" s="14">
        <v>1</v>
      </c>
      <c r="K52" s="13" t="s">
        <v>466</v>
      </c>
      <c r="L52" s="14" t="s">
        <v>2104</v>
      </c>
      <c r="M52" s="14">
        <v>5570</v>
      </c>
      <c r="N52" s="14">
        <v>9567</v>
      </c>
      <c r="O52" s="14">
        <v>555700</v>
      </c>
      <c r="P52" s="14">
        <v>95670</v>
      </c>
      <c r="Q52" s="14"/>
    </row>
    <row r="53" spans="1:17" ht="22.5" x14ac:dyDescent="0.25">
      <c r="A53" s="11" t="s">
        <v>5254</v>
      </c>
      <c r="B53" s="13" t="s">
        <v>24</v>
      </c>
      <c r="C53" s="61" t="s">
        <v>1648</v>
      </c>
      <c r="D53" s="13" t="s">
        <v>540</v>
      </c>
      <c r="E53" s="13" t="s">
        <v>21</v>
      </c>
      <c r="F53" s="14" t="s">
        <v>11</v>
      </c>
      <c r="G53" s="13"/>
      <c r="H53" s="14">
        <f t="shared" si="6"/>
        <v>1</v>
      </c>
      <c r="I53" s="14">
        <v>1</v>
      </c>
      <c r="J53" s="14">
        <v>1</v>
      </c>
      <c r="K53" s="13" t="s">
        <v>372</v>
      </c>
      <c r="L53" s="14" t="s">
        <v>110</v>
      </c>
      <c r="M53" s="14">
        <v>247</v>
      </c>
      <c r="N53" s="14">
        <v>770</v>
      </c>
      <c r="O53" s="14">
        <v>424700</v>
      </c>
      <c r="P53" s="14">
        <v>177000</v>
      </c>
      <c r="Q53" s="14"/>
    </row>
    <row r="54" spans="1:17" ht="22.5" x14ac:dyDescent="0.25">
      <c r="A54" s="11" t="s">
        <v>5254</v>
      </c>
      <c r="B54" s="13" t="s">
        <v>24</v>
      </c>
      <c r="C54" s="61" t="s">
        <v>589</v>
      </c>
      <c r="D54" s="13" t="s">
        <v>5021</v>
      </c>
      <c r="E54" s="14" t="s">
        <v>1196</v>
      </c>
      <c r="F54" s="14" t="s">
        <v>11</v>
      </c>
      <c r="G54" s="13">
        <v>1</v>
      </c>
      <c r="H54" s="14">
        <f t="shared" si="6"/>
        <v>1</v>
      </c>
      <c r="J54" s="14">
        <v>1</v>
      </c>
      <c r="K54" s="13" t="s">
        <v>3385</v>
      </c>
      <c r="L54" s="14" t="s">
        <v>110</v>
      </c>
      <c r="M54" s="14">
        <v>175</v>
      </c>
      <c r="N54" s="14">
        <v>423</v>
      </c>
      <c r="O54" s="14">
        <v>417500</v>
      </c>
      <c r="P54" s="14">
        <v>142300</v>
      </c>
      <c r="Q54" s="14"/>
    </row>
    <row r="55" spans="1:17" ht="22.5" x14ac:dyDescent="0.25">
      <c r="A55" s="11" t="s">
        <v>5254</v>
      </c>
      <c r="B55" s="13" t="s">
        <v>24</v>
      </c>
      <c r="C55" s="61" t="s">
        <v>23</v>
      </c>
      <c r="D55" s="13" t="s">
        <v>124</v>
      </c>
      <c r="E55" s="14" t="s">
        <v>21</v>
      </c>
      <c r="F55" s="14" t="s">
        <v>11</v>
      </c>
      <c r="G55" s="13">
        <v>4</v>
      </c>
      <c r="H55" s="14">
        <f t="shared" si="6"/>
        <v>9</v>
      </c>
      <c r="I55" s="14">
        <v>5</v>
      </c>
      <c r="J55" s="14">
        <v>7</v>
      </c>
      <c r="K55" s="13" t="s">
        <v>5382</v>
      </c>
      <c r="L55" s="14" t="s">
        <v>110</v>
      </c>
      <c r="M55" s="14">
        <v>1026</v>
      </c>
      <c r="N55" s="14">
        <v>6996</v>
      </c>
      <c r="O55" s="14">
        <v>410260</v>
      </c>
      <c r="P55" s="14">
        <v>169960</v>
      </c>
      <c r="Q55" s="14"/>
    </row>
    <row r="56" spans="1:17" x14ac:dyDescent="0.25">
      <c r="A56" s="11" t="s">
        <v>5254</v>
      </c>
      <c r="B56" s="13" t="s">
        <v>24</v>
      </c>
      <c r="C56" s="61" t="s">
        <v>1340</v>
      </c>
      <c r="D56" s="13" t="s">
        <v>1198</v>
      </c>
      <c r="E56" s="14" t="s">
        <v>1839</v>
      </c>
      <c r="F56" s="14" t="s">
        <v>11</v>
      </c>
      <c r="G56" s="13">
        <v>1</v>
      </c>
      <c r="H56" s="14">
        <f t="shared" si="6"/>
        <v>3</v>
      </c>
      <c r="I56" s="14">
        <v>2</v>
      </c>
      <c r="J56" s="14">
        <v>2</v>
      </c>
      <c r="K56" s="13" t="s">
        <v>5339</v>
      </c>
      <c r="L56" s="14" t="s">
        <v>110</v>
      </c>
      <c r="M56" s="14">
        <v>7995</v>
      </c>
      <c r="N56" s="14">
        <v>8199</v>
      </c>
      <c r="O56" s="14">
        <v>379950</v>
      </c>
      <c r="P56" s="14">
        <v>81990</v>
      </c>
      <c r="Q56" s="14"/>
    </row>
    <row r="57" spans="1:17" x14ac:dyDescent="0.25">
      <c r="A57" s="11" t="s">
        <v>5254</v>
      </c>
      <c r="B57" s="13" t="s">
        <v>24</v>
      </c>
      <c r="C57" s="61" t="s">
        <v>1171</v>
      </c>
      <c r="D57" s="13" t="s">
        <v>18</v>
      </c>
      <c r="E57" s="14" t="s">
        <v>21</v>
      </c>
      <c r="F57" s="14" t="s">
        <v>11</v>
      </c>
      <c r="G57" s="13">
        <v>1</v>
      </c>
      <c r="H57" s="14">
        <f t="shared" si="6"/>
        <v>4</v>
      </c>
      <c r="I57" s="14">
        <v>3</v>
      </c>
      <c r="J57" s="14">
        <v>3</v>
      </c>
      <c r="K57" s="13" t="s">
        <v>5290</v>
      </c>
      <c r="L57" s="14" t="s">
        <v>110</v>
      </c>
      <c r="M57" s="14">
        <v>134</v>
      </c>
      <c r="N57" s="14">
        <v>416</v>
      </c>
      <c r="O57" s="14">
        <v>413400</v>
      </c>
      <c r="P57" s="14">
        <v>141600</v>
      </c>
      <c r="Q57" s="14"/>
    </row>
    <row r="58" spans="1:17" ht="22.5" x14ac:dyDescent="0.25">
      <c r="A58" s="11" t="s">
        <v>5254</v>
      </c>
      <c r="B58" s="13" t="s">
        <v>24</v>
      </c>
      <c r="C58" s="61" t="s">
        <v>15</v>
      </c>
      <c r="D58" s="13" t="s">
        <v>4522</v>
      </c>
      <c r="E58" s="14" t="s">
        <v>21</v>
      </c>
      <c r="F58" s="14" t="s">
        <v>11</v>
      </c>
      <c r="G58" s="13">
        <v>2</v>
      </c>
      <c r="H58" s="14">
        <f t="shared" si="6"/>
        <v>7</v>
      </c>
      <c r="I58" s="14">
        <v>5</v>
      </c>
      <c r="J58" s="14">
        <v>4</v>
      </c>
      <c r="K58" s="13" t="s">
        <v>5285</v>
      </c>
      <c r="L58" s="14" t="s">
        <v>110</v>
      </c>
      <c r="M58" s="14">
        <v>1501</v>
      </c>
      <c r="N58" s="14">
        <v>4375</v>
      </c>
      <c r="O58" s="14">
        <v>415010</v>
      </c>
      <c r="P58" s="14">
        <v>143750</v>
      </c>
      <c r="Q58" s="14"/>
    </row>
    <row r="59" spans="1:17" ht="22.5" x14ac:dyDescent="0.25">
      <c r="A59" s="11" t="s">
        <v>5254</v>
      </c>
      <c r="B59" s="13" t="s">
        <v>24</v>
      </c>
      <c r="C59" s="61" t="s">
        <v>2174</v>
      </c>
      <c r="D59" s="13" t="s">
        <v>3809</v>
      </c>
      <c r="E59" s="13" t="s">
        <v>15</v>
      </c>
      <c r="F59" s="14" t="s">
        <v>11</v>
      </c>
      <c r="G59" s="13"/>
      <c r="H59" s="14">
        <f t="shared" si="6"/>
        <v>1</v>
      </c>
      <c r="I59" s="14">
        <v>1</v>
      </c>
      <c r="J59" s="14">
        <v>1</v>
      </c>
      <c r="K59" s="13" t="s">
        <v>1103</v>
      </c>
      <c r="L59" s="14" t="s">
        <v>110</v>
      </c>
      <c r="M59" s="14">
        <v>1501</v>
      </c>
      <c r="N59" s="14">
        <v>4375</v>
      </c>
      <c r="O59" s="14">
        <v>415010</v>
      </c>
      <c r="P59" s="14">
        <v>143750</v>
      </c>
      <c r="Q59" s="14"/>
    </row>
    <row r="60" spans="1:17" ht="22.5" x14ac:dyDescent="0.25">
      <c r="A60" s="11" t="s">
        <v>5254</v>
      </c>
      <c r="B60" s="13" t="s">
        <v>24</v>
      </c>
      <c r="C60" s="61" t="s">
        <v>2175</v>
      </c>
      <c r="D60" s="13" t="s">
        <v>3809</v>
      </c>
      <c r="E60" s="13" t="s">
        <v>15</v>
      </c>
      <c r="F60" s="14" t="s">
        <v>11</v>
      </c>
      <c r="G60" s="13"/>
      <c r="H60" s="14">
        <f t="shared" si="6"/>
        <v>2</v>
      </c>
      <c r="I60" s="14">
        <v>2</v>
      </c>
      <c r="J60" s="14">
        <v>1</v>
      </c>
      <c r="K60" s="13" t="s">
        <v>1103</v>
      </c>
      <c r="L60" s="14" t="s">
        <v>110</v>
      </c>
      <c r="M60" s="14">
        <v>1501</v>
      </c>
      <c r="N60" s="14">
        <v>4375</v>
      </c>
      <c r="O60" s="14">
        <v>415010</v>
      </c>
      <c r="P60" s="14">
        <v>143750</v>
      </c>
      <c r="Q60" s="14"/>
    </row>
    <row r="61" spans="1:17" x14ac:dyDescent="0.25">
      <c r="A61" s="11" t="s">
        <v>5254</v>
      </c>
      <c r="B61" s="13" t="s">
        <v>24</v>
      </c>
      <c r="C61" s="61" t="s">
        <v>5020</v>
      </c>
      <c r="D61" s="13" t="s">
        <v>18</v>
      </c>
      <c r="E61" s="14" t="s">
        <v>21</v>
      </c>
      <c r="F61" s="14" t="s">
        <v>11</v>
      </c>
      <c r="G61" s="13"/>
      <c r="H61" s="14">
        <f>G61+I61</f>
        <v>1</v>
      </c>
      <c r="I61" s="14">
        <v>1</v>
      </c>
      <c r="J61" s="14">
        <v>1</v>
      </c>
      <c r="K61" s="13" t="s">
        <v>372</v>
      </c>
      <c r="L61" s="14" t="s">
        <v>110</v>
      </c>
      <c r="M61" s="14">
        <v>1125</v>
      </c>
      <c r="N61" s="14">
        <v>4280</v>
      </c>
      <c r="O61" s="14">
        <v>411250</v>
      </c>
      <c r="P61" s="14">
        <v>142800</v>
      </c>
      <c r="Q61" s="14"/>
    </row>
    <row r="62" spans="1:17" x14ac:dyDescent="0.25">
      <c r="A62" s="11" t="s">
        <v>5254</v>
      </c>
      <c r="B62" s="13" t="s">
        <v>24</v>
      </c>
      <c r="C62" s="61" t="s">
        <v>89</v>
      </c>
      <c r="D62" s="13" t="s">
        <v>90</v>
      </c>
      <c r="E62" s="14" t="s">
        <v>21</v>
      </c>
      <c r="F62" s="14" t="s">
        <v>11</v>
      </c>
      <c r="G62" s="13"/>
      <c r="H62" s="14">
        <f t="shared" si="6"/>
        <v>1</v>
      </c>
      <c r="I62" s="14">
        <v>1</v>
      </c>
      <c r="J62" s="14">
        <v>1</v>
      </c>
      <c r="K62" s="13" t="s">
        <v>733</v>
      </c>
      <c r="L62" s="14" t="s">
        <v>110</v>
      </c>
      <c r="M62" s="14">
        <v>685</v>
      </c>
      <c r="N62" s="14">
        <v>6733</v>
      </c>
      <c r="O62" s="14">
        <v>406850</v>
      </c>
      <c r="P62" s="14">
        <v>167330</v>
      </c>
      <c r="Q62" s="14"/>
    </row>
    <row r="63" spans="1:17" ht="22.5" x14ac:dyDescent="0.25">
      <c r="A63" s="11" t="s">
        <v>5254</v>
      </c>
      <c r="B63" s="13" t="s">
        <v>24</v>
      </c>
      <c r="C63" s="61" t="s">
        <v>987</v>
      </c>
      <c r="D63" s="13" t="s">
        <v>540</v>
      </c>
      <c r="E63" s="14" t="s">
        <v>21</v>
      </c>
      <c r="F63" s="14" t="s">
        <v>11</v>
      </c>
      <c r="G63" s="13"/>
      <c r="H63" s="14">
        <f t="shared" si="6"/>
        <v>2</v>
      </c>
      <c r="I63" s="14">
        <v>2</v>
      </c>
      <c r="J63" s="14">
        <v>2</v>
      </c>
      <c r="K63" s="13" t="s">
        <v>5377</v>
      </c>
      <c r="L63" s="14" t="s">
        <v>110</v>
      </c>
      <c r="M63" s="14">
        <v>137</v>
      </c>
      <c r="N63" s="14">
        <v>423</v>
      </c>
      <c r="O63" s="14">
        <v>413700</v>
      </c>
      <c r="P63" s="14">
        <v>142300</v>
      </c>
      <c r="Q63" s="14"/>
    </row>
    <row r="64" spans="1:17" ht="22.5" x14ac:dyDescent="0.25">
      <c r="A64" s="11" t="s">
        <v>5254</v>
      </c>
      <c r="B64" s="13" t="s">
        <v>24</v>
      </c>
      <c r="C64" s="61" t="s">
        <v>5256</v>
      </c>
      <c r="D64" s="13" t="s">
        <v>5257</v>
      </c>
      <c r="E64" s="14" t="s">
        <v>21</v>
      </c>
      <c r="F64" s="14" t="s">
        <v>11</v>
      </c>
      <c r="G64" s="13">
        <v>1</v>
      </c>
      <c r="H64" s="14">
        <f t="shared" ref="H64" si="7">G64+I64</f>
        <v>1</v>
      </c>
      <c r="J64" s="14">
        <v>1</v>
      </c>
      <c r="K64" s="13" t="s">
        <v>948</v>
      </c>
      <c r="L64" s="14" t="s">
        <v>110</v>
      </c>
      <c r="M64" s="14">
        <v>1488</v>
      </c>
      <c r="N64" s="14">
        <v>2792</v>
      </c>
      <c r="O64" s="14">
        <v>414880</v>
      </c>
      <c r="P64" s="14">
        <v>127920</v>
      </c>
      <c r="Q64" s="14"/>
    </row>
    <row r="65" spans="1:17" ht="33.75" x14ac:dyDescent="0.25">
      <c r="A65" s="11" t="s">
        <v>5254</v>
      </c>
      <c r="B65" s="13" t="s">
        <v>24</v>
      </c>
      <c r="C65" s="61" t="s">
        <v>403</v>
      </c>
      <c r="D65" s="13" t="s">
        <v>3887</v>
      </c>
      <c r="E65" s="14" t="s">
        <v>21</v>
      </c>
      <c r="F65" s="14" t="s">
        <v>11</v>
      </c>
      <c r="G65" s="13"/>
      <c r="H65" s="14">
        <f t="shared" si="6"/>
        <v>1</v>
      </c>
      <c r="I65" s="14">
        <v>1</v>
      </c>
      <c r="J65" s="14">
        <v>1</v>
      </c>
      <c r="K65" s="13" t="s">
        <v>324</v>
      </c>
      <c r="L65" s="14" t="s">
        <v>110</v>
      </c>
      <c r="M65" s="14">
        <v>908</v>
      </c>
      <c r="N65" s="14">
        <v>5820</v>
      </c>
      <c r="O65" s="14">
        <v>409080</v>
      </c>
      <c r="P65" s="14">
        <v>158200</v>
      </c>
      <c r="Q65" s="14"/>
    </row>
    <row r="66" spans="1:17" ht="22.5" x14ac:dyDescent="0.25">
      <c r="A66" s="11" t="s">
        <v>5254</v>
      </c>
      <c r="B66" s="13" t="s">
        <v>24</v>
      </c>
      <c r="C66" s="61" t="s">
        <v>2267</v>
      </c>
      <c r="D66" s="13" t="s">
        <v>540</v>
      </c>
      <c r="E66" s="14" t="s">
        <v>21</v>
      </c>
      <c r="F66" s="14" t="s">
        <v>11</v>
      </c>
      <c r="G66" s="13"/>
      <c r="H66" s="14">
        <f t="shared" si="6"/>
        <v>2</v>
      </c>
      <c r="I66" s="14">
        <v>2</v>
      </c>
      <c r="J66" s="14">
        <v>2</v>
      </c>
      <c r="K66" s="13" t="s">
        <v>5338</v>
      </c>
      <c r="L66" s="14" t="s">
        <v>110</v>
      </c>
      <c r="M66" s="14">
        <v>116</v>
      </c>
      <c r="N66" s="14">
        <v>413</v>
      </c>
      <c r="O66" s="14">
        <v>411600</v>
      </c>
      <c r="P66" s="14">
        <v>141300</v>
      </c>
      <c r="Q66" s="14"/>
    </row>
    <row r="67" spans="1:17" ht="22.5" x14ac:dyDescent="0.25">
      <c r="A67" s="11" t="s">
        <v>5254</v>
      </c>
      <c r="B67" s="13" t="s">
        <v>24</v>
      </c>
      <c r="C67" s="61" t="s">
        <v>3778</v>
      </c>
      <c r="D67" s="13" t="s">
        <v>1278</v>
      </c>
      <c r="E67" s="14" t="s">
        <v>21</v>
      </c>
      <c r="F67" s="14" t="s">
        <v>11</v>
      </c>
      <c r="G67" s="13">
        <v>1</v>
      </c>
      <c r="H67" s="14">
        <f t="shared" si="6"/>
        <v>2</v>
      </c>
      <c r="I67" s="14">
        <v>1</v>
      </c>
      <c r="J67" s="14">
        <v>2</v>
      </c>
      <c r="K67" s="13" t="s">
        <v>373</v>
      </c>
      <c r="L67" s="14" t="s">
        <v>110</v>
      </c>
      <c r="M67" s="14">
        <v>125</v>
      </c>
      <c r="N67" s="14">
        <v>708</v>
      </c>
      <c r="O67" s="14">
        <v>412500</v>
      </c>
      <c r="P67" s="14">
        <v>170800</v>
      </c>
      <c r="Q67" s="14"/>
    </row>
    <row r="68" spans="1:17" ht="33.75" x14ac:dyDescent="0.25">
      <c r="A68" s="11" t="s">
        <v>5254</v>
      </c>
      <c r="B68" s="13" t="s">
        <v>24</v>
      </c>
      <c r="C68" s="61" t="s">
        <v>122</v>
      </c>
      <c r="D68" s="13" t="s">
        <v>3886</v>
      </c>
      <c r="E68" s="14" t="s">
        <v>21</v>
      </c>
      <c r="F68" s="14" t="s">
        <v>11</v>
      </c>
      <c r="G68" s="13"/>
      <c r="H68" s="14">
        <f t="shared" si="6"/>
        <v>2</v>
      </c>
      <c r="I68" s="14">
        <v>2</v>
      </c>
      <c r="J68" s="14">
        <v>1</v>
      </c>
      <c r="K68" s="13" t="s">
        <v>1108</v>
      </c>
      <c r="L68" s="14" t="s">
        <v>110</v>
      </c>
      <c r="M68" s="14">
        <v>1184</v>
      </c>
      <c r="N68" s="14">
        <v>6802</v>
      </c>
      <c r="O68" s="14">
        <v>411840</v>
      </c>
      <c r="P68" s="14">
        <v>168020</v>
      </c>
      <c r="Q68" s="14"/>
    </row>
    <row r="69" spans="1:17" ht="22.5" x14ac:dyDescent="0.25">
      <c r="A69" s="11" t="s">
        <v>5254</v>
      </c>
      <c r="B69" s="13" t="s">
        <v>24</v>
      </c>
      <c r="C69" s="61" t="s">
        <v>27</v>
      </c>
      <c r="D69" s="13" t="s">
        <v>125</v>
      </c>
      <c r="E69" s="14" t="s">
        <v>21</v>
      </c>
      <c r="F69" s="14" t="s">
        <v>11</v>
      </c>
      <c r="G69" s="13"/>
      <c r="H69" s="14">
        <f t="shared" si="6"/>
        <v>4</v>
      </c>
      <c r="I69" s="14">
        <v>4</v>
      </c>
      <c r="J69" s="14">
        <v>2</v>
      </c>
      <c r="K69" s="13" t="s">
        <v>2446</v>
      </c>
      <c r="L69" s="14" t="s">
        <v>110</v>
      </c>
      <c r="M69" s="14">
        <v>1001</v>
      </c>
      <c r="N69" s="14">
        <v>6853</v>
      </c>
      <c r="O69" s="14">
        <v>410010</v>
      </c>
      <c r="P69" s="14">
        <v>168530</v>
      </c>
      <c r="Q69" s="14"/>
    </row>
    <row r="70" spans="1:17" x14ac:dyDescent="0.25">
      <c r="A70" s="11" t="s">
        <v>5254</v>
      </c>
      <c r="B70" s="13" t="s">
        <v>24</v>
      </c>
      <c r="C70" s="61" t="s">
        <v>60</v>
      </c>
      <c r="D70" s="13" t="s">
        <v>26</v>
      </c>
      <c r="E70" s="14" t="s">
        <v>21</v>
      </c>
      <c r="F70" s="14" t="s">
        <v>11</v>
      </c>
      <c r="G70" s="13"/>
      <c r="H70" s="14">
        <f t="shared" si="6"/>
        <v>1</v>
      </c>
      <c r="I70" s="14">
        <v>1</v>
      </c>
      <c r="J70" s="14">
        <v>1</v>
      </c>
      <c r="K70" s="13" t="s">
        <v>1092</v>
      </c>
      <c r="L70" s="14" t="s">
        <v>110</v>
      </c>
      <c r="M70" s="14">
        <v>900</v>
      </c>
      <c r="N70" s="14">
        <v>6927</v>
      </c>
      <c r="O70" s="14">
        <v>409000</v>
      </c>
      <c r="P70" s="14">
        <v>169270</v>
      </c>
      <c r="Q70" s="14"/>
    </row>
    <row r="71" spans="1:17" ht="22.5" x14ac:dyDescent="0.25">
      <c r="A71" s="11" t="s">
        <v>5254</v>
      </c>
      <c r="B71" s="13" t="s">
        <v>24</v>
      </c>
      <c r="C71" s="61" t="s">
        <v>13</v>
      </c>
      <c r="D71" s="13" t="s">
        <v>511</v>
      </c>
      <c r="E71" s="14" t="s">
        <v>21</v>
      </c>
      <c r="F71" s="14" t="s">
        <v>11</v>
      </c>
      <c r="G71" s="13">
        <v>18</v>
      </c>
      <c r="H71" s="14">
        <f t="shared" si="6"/>
        <v>43</v>
      </c>
      <c r="I71" s="14">
        <v>25</v>
      </c>
      <c r="J71" s="14">
        <v>20</v>
      </c>
      <c r="K71" s="13" t="s">
        <v>5424</v>
      </c>
      <c r="L71" s="14" t="s">
        <v>110</v>
      </c>
      <c r="M71" s="14">
        <v>1224</v>
      </c>
      <c r="N71" s="14">
        <v>4128</v>
      </c>
      <c r="O71" s="14">
        <v>412240</v>
      </c>
      <c r="P71" s="14">
        <v>141280</v>
      </c>
      <c r="Q71" s="14"/>
    </row>
    <row r="72" spans="1:17" x14ac:dyDescent="0.25">
      <c r="A72" s="11" t="s">
        <v>5254</v>
      </c>
      <c r="B72" s="13" t="s">
        <v>24</v>
      </c>
      <c r="C72" s="61" t="s">
        <v>25</v>
      </c>
      <c r="D72" s="13" t="s">
        <v>26</v>
      </c>
      <c r="E72" s="14" t="s">
        <v>21</v>
      </c>
      <c r="F72" s="14" t="s">
        <v>11</v>
      </c>
      <c r="G72" s="13">
        <v>1</v>
      </c>
      <c r="H72" s="14">
        <f t="shared" si="6"/>
        <v>6</v>
      </c>
      <c r="I72" s="14">
        <v>5</v>
      </c>
      <c r="J72" s="14">
        <v>4</v>
      </c>
      <c r="K72" s="13" t="s">
        <v>5346</v>
      </c>
      <c r="L72" s="14" t="s">
        <v>110</v>
      </c>
      <c r="M72" s="14">
        <v>1046</v>
      </c>
      <c r="N72" s="14">
        <v>6774</v>
      </c>
      <c r="O72" s="14">
        <v>410460</v>
      </c>
      <c r="P72" s="14">
        <v>167740</v>
      </c>
      <c r="Q72" s="14"/>
    </row>
    <row r="73" spans="1:17" x14ac:dyDescent="0.25">
      <c r="A73" s="11" t="s">
        <v>5254</v>
      </c>
      <c r="B73" s="13" t="s">
        <v>24</v>
      </c>
      <c r="C73" s="61" t="s">
        <v>4235</v>
      </c>
      <c r="D73" s="13" t="s">
        <v>4236</v>
      </c>
      <c r="E73" s="14" t="s">
        <v>21</v>
      </c>
      <c r="F73" s="14" t="s">
        <v>11</v>
      </c>
      <c r="G73" s="13"/>
      <c r="H73" s="14">
        <f t="shared" si="6"/>
        <v>1</v>
      </c>
      <c r="I73" s="14">
        <v>1</v>
      </c>
      <c r="J73" s="14">
        <v>1</v>
      </c>
      <c r="K73" s="13" t="s">
        <v>204</v>
      </c>
      <c r="L73" s="14" t="s">
        <v>110</v>
      </c>
      <c r="M73" s="14">
        <v>1046</v>
      </c>
      <c r="N73" s="14">
        <v>6774</v>
      </c>
      <c r="O73" s="14">
        <v>410460</v>
      </c>
      <c r="P73" s="14">
        <v>167740</v>
      </c>
      <c r="Q73" s="14"/>
    </row>
    <row r="74" spans="1:17" x14ac:dyDescent="0.25">
      <c r="A74" s="11" t="s">
        <v>5254</v>
      </c>
      <c r="B74" s="13" t="s">
        <v>24</v>
      </c>
      <c r="C74" s="61" t="s">
        <v>1154</v>
      </c>
      <c r="D74" s="13" t="s">
        <v>121</v>
      </c>
      <c r="E74" s="14" t="s">
        <v>21</v>
      </c>
      <c r="F74" s="14" t="s">
        <v>11</v>
      </c>
      <c r="G74" s="13"/>
      <c r="H74" s="14">
        <f t="shared" si="6"/>
        <v>2</v>
      </c>
      <c r="I74" s="14">
        <v>2</v>
      </c>
      <c r="J74" s="14">
        <v>2</v>
      </c>
      <c r="K74" s="13" t="s">
        <v>5284</v>
      </c>
      <c r="L74" s="14" t="s">
        <v>110</v>
      </c>
      <c r="M74" s="14">
        <v>1196</v>
      </c>
      <c r="N74" s="14">
        <v>6835</v>
      </c>
      <c r="O74" s="14">
        <v>411960</v>
      </c>
      <c r="P74" s="14">
        <v>168350</v>
      </c>
      <c r="Q74" s="14"/>
    </row>
    <row r="75" spans="1:17" x14ac:dyDescent="0.25">
      <c r="A75" s="11" t="s">
        <v>5254</v>
      </c>
      <c r="B75" s="13" t="s">
        <v>24</v>
      </c>
      <c r="C75" s="61" t="s">
        <v>5336</v>
      </c>
      <c r="D75" s="13" t="s">
        <v>90</v>
      </c>
      <c r="E75" s="14" t="s">
        <v>21</v>
      </c>
      <c r="F75" s="14" t="s">
        <v>11</v>
      </c>
      <c r="G75" s="13"/>
      <c r="H75" s="14">
        <f t="shared" ref="H75" si="8">G75+I75</f>
        <v>1</v>
      </c>
      <c r="I75" s="14">
        <v>1</v>
      </c>
      <c r="J75" s="14">
        <v>1</v>
      </c>
      <c r="K75" s="13" t="s">
        <v>733</v>
      </c>
      <c r="L75" s="14" t="s">
        <v>110</v>
      </c>
      <c r="M75" s="14">
        <v>228</v>
      </c>
      <c r="N75" s="14">
        <v>349</v>
      </c>
      <c r="O75" s="14">
        <v>422800</v>
      </c>
      <c r="P75" s="14">
        <v>134900</v>
      </c>
      <c r="Q75" s="14"/>
    </row>
    <row r="76" spans="1:17" ht="22.5" x14ac:dyDescent="0.25">
      <c r="A76" s="11" t="s">
        <v>5254</v>
      </c>
      <c r="B76" s="13" t="s">
        <v>24</v>
      </c>
      <c r="C76" s="61" t="s">
        <v>28</v>
      </c>
      <c r="D76" s="13" t="s">
        <v>19</v>
      </c>
      <c r="E76" s="14" t="s">
        <v>21</v>
      </c>
      <c r="F76" s="14" t="s">
        <v>11</v>
      </c>
      <c r="G76" s="13"/>
      <c r="H76" s="14">
        <f t="shared" si="6"/>
        <v>5</v>
      </c>
      <c r="I76" s="14">
        <v>5</v>
      </c>
      <c r="J76" s="14">
        <v>3</v>
      </c>
      <c r="K76" s="13" t="s">
        <v>5280</v>
      </c>
      <c r="L76" s="14" t="s">
        <v>110</v>
      </c>
      <c r="M76" s="14">
        <v>86</v>
      </c>
      <c r="N76" s="14">
        <v>714</v>
      </c>
      <c r="O76" s="14">
        <v>408600</v>
      </c>
      <c r="P76" s="14">
        <v>171400</v>
      </c>
      <c r="Q76" s="14"/>
    </row>
    <row r="77" spans="1:17" ht="34.5" customHeight="1" x14ac:dyDescent="0.25">
      <c r="A77" s="11" t="s">
        <v>5254</v>
      </c>
      <c r="B77" s="13" t="s">
        <v>24</v>
      </c>
      <c r="C77" s="61" t="s">
        <v>14</v>
      </c>
      <c r="D77" s="13" t="s">
        <v>5186</v>
      </c>
      <c r="E77" s="14" t="s">
        <v>21</v>
      </c>
      <c r="F77" s="14" t="s">
        <v>11</v>
      </c>
      <c r="G77" s="13"/>
      <c r="H77" s="14">
        <f t="shared" si="6"/>
        <v>1</v>
      </c>
      <c r="I77" s="14">
        <v>1</v>
      </c>
      <c r="J77" s="14">
        <v>1</v>
      </c>
      <c r="K77" s="13" t="s">
        <v>1103</v>
      </c>
      <c r="L77" s="14" t="s">
        <v>110</v>
      </c>
      <c r="M77" s="14">
        <v>1506</v>
      </c>
      <c r="N77" s="14">
        <v>4337</v>
      </c>
      <c r="O77" s="14">
        <v>415060</v>
      </c>
      <c r="P77" s="14">
        <v>143370</v>
      </c>
      <c r="Q77" s="14"/>
    </row>
    <row r="78" spans="1:17" ht="45" x14ac:dyDescent="0.25">
      <c r="A78" s="11" t="s">
        <v>5254</v>
      </c>
      <c r="B78" s="13" t="s">
        <v>139</v>
      </c>
      <c r="C78" s="61" t="s">
        <v>454</v>
      </c>
      <c r="D78" s="13" t="s">
        <v>4560</v>
      </c>
      <c r="E78" s="14" t="s">
        <v>455</v>
      </c>
      <c r="F78" s="14" t="s">
        <v>11</v>
      </c>
      <c r="G78" s="13">
        <v>1</v>
      </c>
      <c r="H78" s="14">
        <f t="shared" si="6"/>
        <v>2</v>
      </c>
      <c r="I78" s="14">
        <v>1</v>
      </c>
      <c r="J78" s="14">
        <v>2</v>
      </c>
      <c r="K78" s="13" t="s">
        <v>5343</v>
      </c>
      <c r="L78" s="14" t="s">
        <v>137</v>
      </c>
      <c r="M78" s="14">
        <v>99</v>
      </c>
      <c r="N78" s="14">
        <v>657</v>
      </c>
      <c r="O78" s="14">
        <v>509900</v>
      </c>
      <c r="P78" s="14">
        <v>465700</v>
      </c>
      <c r="Q78" s="14"/>
    </row>
    <row r="79" spans="1:17" ht="45" x14ac:dyDescent="0.25">
      <c r="A79" s="11" t="s">
        <v>5254</v>
      </c>
      <c r="B79" s="13" t="s">
        <v>269</v>
      </c>
      <c r="C79" s="61" t="s">
        <v>5070</v>
      </c>
      <c r="D79" s="13" t="s">
        <v>3914</v>
      </c>
      <c r="E79" s="14" t="s">
        <v>437</v>
      </c>
      <c r="F79" s="14" t="s">
        <v>11</v>
      </c>
      <c r="G79" s="13"/>
      <c r="H79" s="14">
        <f>G79+I79</f>
        <v>1</v>
      </c>
      <c r="I79" s="14">
        <v>1</v>
      </c>
      <c r="J79" s="14">
        <v>1</v>
      </c>
      <c r="K79" s="13" t="s">
        <v>252</v>
      </c>
      <c r="L79" s="14" t="s">
        <v>271</v>
      </c>
      <c r="M79" s="14">
        <v>8804</v>
      </c>
      <c r="N79" s="14">
        <v>6688</v>
      </c>
      <c r="O79" s="14">
        <v>488040</v>
      </c>
      <c r="P79" s="14">
        <v>466880</v>
      </c>
      <c r="Q79" s="14"/>
    </row>
    <row r="80" spans="1:17" ht="22.5" x14ac:dyDescent="0.25">
      <c r="A80" s="11" t="s">
        <v>5254</v>
      </c>
      <c r="B80" s="13" t="s">
        <v>269</v>
      </c>
      <c r="C80" s="61" t="s">
        <v>1922</v>
      </c>
      <c r="D80" s="13" t="s">
        <v>1923</v>
      </c>
      <c r="E80" s="14" t="s">
        <v>1924</v>
      </c>
      <c r="F80" s="14" t="s">
        <v>11</v>
      </c>
      <c r="G80" s="13">
        <v>1</v>
      </c>
      <c r="H80" s="14">
        <f t="shared" si="6"/>
        <v>1</v>
      </c>
      <c r="J80" s="14">
        <v>1</v>
      </c>
      <c r="K80" s="13" t="s">
        <v>948</v>
      </c>
      <c r="L80" s="14" t="s">
        <v>137</v>
      </c>
      <c r="M80" s="14">
        <v>2864</v>
      </c>
      <c r="N80" s="14">
        <v>80974</v>
      </c>
      <c r="O80" s="14">
        <v>502864</v>
      </c>
      <c r="P80" s="14">
        <v>480974</v>
      </c>
      <c r="Q80" s="14"/>
    </row>
    <row r="81" spans="1:17" ht="22.5" x14ac:dyDescent="0.25">
      <c r="A81" s="11" t="s">
        <v>5254</v>
      </c>
      <c r="B81" s="13" t="s">
        <v>269</v>
      </c>
      <c r="C81" s="61" t="s">
        <v>2007</v>
      </c>
      <c r="D81" s="13" t="s">
        <v>3498</v>
      </c>
      <c r="E81" s="14" t="s">
        <v>272</v>
      </c>
      <c r="F81" s="14" t="s">
        <v>11</v>
      </c>
      <c r="G81" s="13">
        <v>1</v>
      </c>
      <c r="H81" s="14">
        <f>G81+I81</f>
        <v>1</v>
      </c>
      <c r="J81" s="14">
        <v>1</v>
      </c>
      <c r="K81" s="13" t="s">
        <v>948</v>
      </c>
      <c r="L81" s="14" t="s">
        <v>271</v>
      </c>
      <c r="M81" s="14">
        <v>9305</v>
      </c>
      <c r="N81" s="14">
        <v>7625</v>
      </c>
      <c r="O81" s="14">
        <v>493050</v>
      </c>
      <c r="P81" s="14">
        <v>476250</v>
      </c>
      <c r="Q81" s="14"/>
    </row>
    <row r="82" spans="1:17" ht="22.5" x14ac:dyDescent="0.25">
      <c r="A82" s="11" t="s">
        <v>5254</v>
      </c>
      <c r="B82" s="13" t="s">
        <v>269</v>
      </c>
      <c r="C82" s="61" t="s">
        <v>1620</v>
      </c>
      <c r="D82" s="13" t="s">
        <v>540</v>
      </c>
      <c r="E82" s="14" t="s">
        <v>437</v>
      </c>
      <c r="F82" s="14" t="s">
        <v>11</v>
      </c>
      <c r="G82" s="13">
        <v>1</v>
      </c>
      <c r="H82" s="14">
        <f t="shared" si="6"/>
        <v>1</v>
      </c>
      <c r="J82" s="14">
        <v>1</v>
      </c>
      <c r="K82" s="13" t="s">
        <v>948</v>
      </c>
      <c r="L82" s="14" t="s">
        <v>271</v>
      </c>
      <c r="M82" s="14">
        <v>8363</v>
      </c>
      <c r="N82" s="14">
        <v>6345</v>
      </c>
      <c r="O82" s="14">
        <v>483630</v>
      </c>
      <c r="P82" s="14">
        <v>463450</v>
      </c>
      <c r="Q82" s="14"/>
    </row>
    <row r="83" spans="1:17" ht="33.75" x14ac:dyDescent="0.25">
      <c r="A83" s="11" t="s">
        <v>5254</v>
      </c>
      <c r="B83" s="13" t="s">
        <v>1682</v>
      </c>
      <c r="C83" s="61" t="s">
        <v>1683</v>
      </c>
      <c r="D83" s="13" t="s">
        <v>2925</v>
      </c>
      <c r="E83" s="14" t="s">
        <v>2928</v>
      </c>
      <c r="F83" s="14" t="s">
        <v>11</v>
      </c>
      <c r="G83" s="13"/>
      <c r="H83" s="14">
        <f t="shared" si="6"/>
        <v>2</v>
      </c>
      <c r="I83" s="14">
        <v>2</v>
      </c>
      <c r="J83" s="14">
        <v>1</v>
      </c>
      <c r="K83" s="13" t="s">
        <v>372</v>
      </c>
      <c r="L83" s="14" t="s">
        <v>697</v>
      </c>
      <c r="M83" s="14">
        <v>53546</v>
      </c>
      <c r="N83" s="14">
        <v>87430</v>
      </c>
      <c r="O83" s="14">
        <v>453546</v>
      </c>
      <c r="P83" s="14">
        <v>87430</v>
      </c>
      <c r="Q83" s="14"/>
    </row>
    <row r="84" spans="1:17" ht="33.75" x14ac:dyDescent="0.25">
      <c r="A84" s="11" t="s">
        <v>5254</v>
      </c>
      <c r="B84" s="13" t="s">
        <v>231</v>
      </c>
      <c r="C84" s="61" t="s">
        <v>2055</v>
      </c>
      <c r="D84" s="13" t="s">
        <v>2056</v>
      </c>
      <c r="E84" s="14" t="s">
        <v>86</v>
      </c>
      <c r="F84" s="14" t="s">
        <v>35</v>
      </c>
      <c r="G84" s="13"/>
      <c r="H84" s="14">
        <f t="shared" si="6"/>
        <v>1</v>
      </c>
      <c r="I84" s="14">
        <v>1</v>
      </c>
      <c r="J84" s="14">
        <v>1</v>
      </c>
      <c r="K84" s="13" t="s">
        <v>494</v>
      </c>
      <c r="L84" s="14" t="s">
        <v>115</v>
      </c>
      <c r="M84" s="14">
        <v>7792</v>
      </c>
      <c r="N84" s="14">
        <v>1967</v>
      </c>
      <c r="O84" s="14">
        <v>377920</v>
      </c>
      <c r="P84" s="14">
        <v>819670</v>
      </c>
      <c r="Q84" s="14"/>
    </row>
    <row r="85" spans="1:17" x14ac:dyDescent="0.25">
      <c r="A85" s="11" t="s">
        <v>5254</v>
      </c>
      <c r="B85" s="13" t="s">
        <v>231</v>
      </c>
      <c r="C85" s="61" t="s">
        <v>5317</v>
      </c>
      <c r="D85" s="13" t="s">
        <v>1668</v>
      </c>
      <c r="E85" s="14" t="s">
        <v>86</v>
      </c>
      <c r="F85" s="14" t="s">
        <v>35</v>
      </c>
      <c r="G85" s="13"/>
      <c r="H85" s="14">
        <f>G85+I85</f>
        <v>1</v>
      </c>
      <c r="I85" s="14">
        <v>1</v>
      </c>
      <c r="J85" s="14">
        <v>1</v>
      </c>
      <c r="K85" s="13" t="s">
        <v>372</v>
      </c>
      <c r="L85" s="14" t="s">
        <v>115</v>
      </c>
      <c r="M85" s="14">
        <v>67</v>
      </c>
      <c r="N85" s="14">
        <v>63</v>
      </c>
      <c r="O85" s="14">
        <v>367000</v>
      </c>
      <c r="P85" s="14">
        <v>863000</v>
      </c>
      <c r="Q85" s="14"/>
    </row>
    <row r="86" spans="1:17" ht="22.5" x14ac:dyDescent="0.25">
      <c r="A86" s="11" t="s">
        <v>5254</v>
      </c>
      <c r="B86" s="13" t="s">
        <v>394</v>
      </c>
      <c r="C86" s="61" t="s">
        <v>5319</v>
      </c>
      <c r="D86" s="13" t="s">
        <v>5320</v>
      </c>
      <c r="E86" s="13" t="s">
        <v>5321</v>
      </c>
      <c r="F86" s="14" t="s">
        <v>35</v>
      </c>
      <c r="G86" s="13"/>
      <c r="H86" s="14">
        <f t="shared" ref="H86" si="9">G86+I86</f>
        <v>1</v>
      </c>
      <c r="I86" s="14">
        <v>1</v>
      </c>
      <c r="J86" s="14">
        <v>1</v>
      </c>
      <c r="K86" s="13" t="s">
        <v>414</v>
      </c>
      <c r="L86" s="14" t="s">
        <v>398</v>
      </c>
      <c r="M86" s="14">
        <v>212</v>
      </c>
      <c r="N86" s="14">
        <v>433</v>
      </c>
      <c r="O86" s="14">
        <v>321200</v>
      </c>
      <c r="P86" s="14">
        <v>643300</v>
      </c>
      <c r="Q86" s="14"/>
    </row>
    <row r="87" spans="1:17" ht="45" x14ac:dyDescent="0.25">
      <c r="A87" s="11" t="s">
        <v>5254</v>
      </c>
      <c r="B87" s="13" t="s">
        <v>394</v>
      </c>
      <c r="C87" s="61" t="s">
        <v>395</v>
      </c>
      <c r="D87" s="13" t="s">
        <v>5014</v>
      </c>
      <c r="E87" s="13" t="s">
        <v>5013</v>
      </c>
      <c r="F87" s="14" t="s">
        <v>35</v>
      </c>
      <c r="G87" s="13"/>
      <c r="H87" s="14">
        <f t="shared" ref="H87" si="10">G87+I87</f>
        <v>1</v>
      </c>
      <c r="I87" s="14">
        <v>1</v>
      </c>
      <c r="J87" s="14">
        <v>1</v>
      </c>
      <c r="K87" s="13" t="s">
        <v>1103</v>
      </c>
      <c r="L87" s="14" t="s">
        <v>398</v>
      </c>
      <c r="M87" s="14">
        <v>2057</v>
      </c>
      <c r="N87" s="14">
        <v>4029</v>
      </c>
      <c r="O87" s="14">
        <v>320570</v>
      </c>
      <c r="P87" s="14">
        <v>640290</v>
      </c>
      <c r="Q87" s="14"/>
    </row>
    <row r="88" spans="1:17" x14ac:dyDescent="0.25">
      <c r="A88" s="11" t="s">
        <v>5254</v>
      </c>
      <c r="B88" s="13" t="s">
        <v>407</v>
      </c>
      <c r="C88" s="61" t="s">
        <v>487</v>
      </c>
      <c r="D88" s="13" t="s">
        <v>90</v>
      </c>
      <c r="E88" s="13" t="s">
        <v>408</v>
      </c>
      <c r="F88" s="14" t="s">
        <v>35</v>
      </c>
      <c r="G88" s="13"/>
      <c r="H88" s="14">
        <f t="shared" ref="H88:H121" si="11">G88+I88</f>
        <v>1</v>
      </c>
      <c r="I88" s="14">
        <v>1</v>
      </c>
      <c r="J88" s="14">
        <v>1</v>
      </c>
      <c r="K88" s="13" t="s">
        <v>396</v>
      </c>
      <c r="L88" s="14" t="s">
        <v>398</v>
      </c>
      <c r="M88" s="14">
        <v>35024</v>
      </c>
      <c r="N88" s="14">
        <v>99759</v>
      </c>
      <c r="O88" s="14">
        <v>335024</v>
      </c>
      <c r="P88" s="14">
        <v>699759</v>
      </c>
      <c r="Q88" s="14"/>
    </row>
    <row r="89" spans="1:17" ht="22.5" x14ac:dyDescent="0.25">
      <c r="A89" s="11" t="s">
        <v>5254</v>
      </c>
      <c r="B89" s="13" t="s">
        <v>407</v>
      </c>
      <c r="C89" s="61" t="s">
        <v>409</v>
      </c>
      <c r="D89" s="13" t="s">
        <v>3809</v>
      </c>
      <c r="E89" s="13" t="s">
        <v>408</v>
      </c>
      <c r="F89" s="14" t="s">
        <v>35</v>
      </c>
      <c r="G89" s="13"/>
      <c r="H89" s="14">
        <f t="shared" si="11"/>
        <v>2</v>
      </c>
      <c r="I89" s="14">
        <v>2</v>
      </c>
      <c r="J89" s="14">
        <v>2</v>
      </c>
      <c r="K89" s="13" t="s">
        <v>5287</v>
      </c>
      <c r="L89" s="14" t="s">
        <v>130</v>
      </c>
      <c r="M89" s="14">
        <v>28198</v>
      </c>
      <c r="N89" s="14">
        <v>3123</v>
      </c>
      <c r="O89" s="14">
        <v>328198</v>
      </c>
      <c r="P89" s="14">
        <v>703123</v>
      </c>
      <c r="Q89" s="14"/>
    </row>
    <row r="90" spans="1:17" x14ac:dyDescent="0.25">
      <c r="A90" s="11" t="s">
        <v>5254</v>
      </c>
      <c r="B90" s="13" t="s">
        <v>407</v>
      </c>
      <c r="C90" s="61" t="s">
        <v>5314</v>
      </c>
      <c r="D90" s="13" t="s">
        <v>4436</v>
      </c>
      <c r="E90" s="13" t="s">
        <v>4479</v>
      </c>
      <c r="F90" s="14" t="s">
        <v>35</v>
      </c>
      <c r="G90" s="13"/>
      <c r="H90" s="14">
        <f t="shared" ref="H90" si="12">G90+I90</f>
        <v>1</v>
      </c>
      <c r="I90" s="14">
        <v>1</v>
      </c>
      <c r="J90" s="14">
        <v>1</v>
      </c>
      <c r="K90" s="13" t="s">
        <v>372</v>
      </c>
      <c r="L90" s="14" t="s">
        <v>130</v>
      </c>
      <c r="M90" s="14">
        <v>25</v>
      </c>
      <c r="N90" s="14">
        <v>7</v>
      </c>
      <c r="O90" s="14">
        <v>325000</v>
      </c>
      <c r="P90" s="14">
        <v>707000</v>
      </c>
      <c r="Q90" s="14"/>
    </row>
    <row r="91" spans="1:17" x14ac:dyDescent="0.25">
      <c r="A91" s="11" t="s">
        <v>5254</v>
      </c>
      <c r="B91" s="13" t="s">
        <v>676</v>
      </c>
      <c r="C91" s="61" t="s">
        <v>4283</v>
      </c>
      <c r="D91" s="13" t="s">
        <v>8</v>
      </c>
      <c r="E91" s="14" t="s">
        <v>428</v>
      </c>
      <c r="F91" s="14" t="s">
        <v>35</v>
      </c>
      <c r="G91" s="13"/>
      <c r="H91" s="14">
        <f>G91+I91</f>
        <v>1</v>
      </c>
      <c r="I91" s="14">
        <v>1</v>
      </c>
      <c r="J91" s="14">
        <v>1</v>
      </c>
      <c r="K91" s="13" t="s">
        <v>507</v>
      </c>
      <c r="L91" s="14" t="s">
        <v>956</v>
      </c>
      <c r="M91" s="14">
        <v>908</v>
      </c>
      <c r="N91" s="14">
        <v>323</v>
      </c>
      <c r="O91" s="14">
        <v>190800</v>
      </c>
      <c r="P91" s="14">
        <v>632300</v>
      </c>
      <c r="Q91" s="14"/>
    </row>
    <row r="92" spans="1:17" ht="22.5" x14ac:dyDescent="0.25">
      <c r="A92" s="11" t="s">
        <v>5254</v>
      </c>
      <c r="B92" s="13" t="s">
        <v>676</v>
      </c>
      <c r="C92" s="61" t="s">
        <v>3836</v>
      </c>
      <c r="D92" s="13" t="s">
        <v>39</v>
      </c>
      <c r="E92" s="13" t="s">
        <v>745</v>
      </c>
      <c r="F92" s="14" t="s">
        <v>35</v>
      </c>
      <c r="G92" s="13"/>
      <c r="H92" s="14">
        <f>G92+I92</f>
        <v>2</v>
      </c>
      <c r="I92" s="14">
        <v>2</v>
      </c>
      <c r="J92" s="14">
        <v>2</v>
      </c>
      <c r="K92" s="13" t="s">
        <v>234</v>
      </c>
      <c r="L92" s="14" t="s">
        <v>116</v>
      </c>
      <c r="M92" s="14">
        <v>74696</v>
      </c>
      <c r="N92" s="14">
        <v>75332</v>
      </c>
      <c r="O92" s="14">
        <v>74696</v>
      </c>
      <c r="P92" s="14">
        <v>875332</v>
      </c>
      <c r="Q92" s="14"/>
    </row>
    <row r="93" spans="1:17" x14ac:dyDescent="0.25">
      <c r="A93" s="11" t="s">
        <v>5254</v>
      </c>
      <c r="B93" s="13" t="s">
        <v>676</v>
      </c>
      <c r="C93" s="61" t="s">
        <v>5326</v>
      </c>
      <c r="D93" s="13" t="s">
        <v>5327</v>
      </c>
      <c r="E93" s="14" t="s">
        <v>2300</v>
      </c>
      <c r="F93" s="14" t="s">
        <v>35</v>
      </c>
      <c r="G93" s="13"/>
      <c r="H93" s="14">
        <f t="shared" ref="H93" si="13">G93+I93</f>
        <v>2</v>
      </c>
      <c r="I93" s="14">
        <v>2</v>
      </c>
      <c r="J93" s="14">
        <v>1</v>
      </c>
      <c r="K93" s="13" t="s">
        <v>459</v>
      </c>
      <c r="L93" s="14" t="s">
        <v>116</v>
      </c>
      <c r="M93" s="14">
        <v>726</v>
      </c>
      <c r="N93" s="14">
        <v>289</v>
      </c>
      <c r="O93" s="14">
        <v>72600</v>
      </c>
      <c r="P93" s="14">
        <v>828900</v>
      </c>
      <c r="Q93" s="14"/>
    </row>
    <row r="94" spans="1:17" ht="22.5" x14ac:dyDescent="0.25">
      <c r="A94" s="11" t="s">
        <v>5254</v>
      </c>
      <c r="B94" s="13" t="s">
        <v>676</v>
      </c>
      <c r="C94" s="61" t="s">
        <v>5154</v>
      </c>
      <c r="D94" s="13" t="s">
        <v>5156</v>
      </c>
      <c r="E94" s="13" t="s">
        <v>5155</v>
      </c>
      <c r="F94" s="14" t="s">
        <v>35</v>
      </c>
      <c r="G94" s="13"/>
      <c r="H94" s="14">
        <f t="shared" si="11"/>
        <v>2</v>
      </c>
      <c r="I94" s="14">
        <v>2</v>
      </c>
      <c r="J94" s="14">
        <v>2</v>
      </c>
      <c r="K94" s="13" t="s">
        <v>5350</v>
      </c>
      <c r="L94" s="14" t="s">
        <v>116</v>
      </c>
      <c r="M94" s="14">
        <v>8728</v>
      </c>
      <c r="N94" s="14">
        <v>5390</v>
      </c>
      <c r="O94" s="14">
        <v>87280</v>
      </c>
      <c r="P94" s="14">
        <v>853900</v>
      </c>
      <c r="Q94" s="14"/>
    </row>
    <row r="95" spans="1:17" x14ac:dyDescent="0.25">
      <c r="A95" s="11" t="s">
        <v>5254</v>
      </c>
      <c r="B95" s="13" t="s">
        <v>4204</v>
      </c>
      <c r="C95" s="61" t="s">
        <v>5337</v>
      </c>
      <c r="D95" s="13" t="s">
        <v>90</v>
      </c>
      <c r="E95" s="14" t="s">
        <v>236</v>
      </c>
      <c r="F95" s="14" t="s">
        <v>35</v>
      </c>
      <c r="G95" s="13"/>
      <c r="H95" s="14">
        <f t="shared" si="11"/>
        <v>1</v>
      </c>
      <c r="I95" s="14">
        <v>1</v>
      </c>
      <c r="J95" s="14">
        <v>1</v>
      </c>
      <c r="K95" s="13" t="s">
        <v>733</v>
      </c>
      <c r="L95" s="14" t="s">
        <v>460</v>
      </c>
      <c r="M95" s="14">
        <v>6662</v>
      </c>
      <c r="N95" s="14">
        <v>4224</v>
      </c>
      <c r="O95" s="14">
        <v>266620</v>
      </c>
      <c r="P95" s="14">
        <v>842240</v>
      </c>
      <c r="Q95" s="14"/>
    </row>
    <row r="96" spans="1:17" ht="22.5" x14ac:dyDescent="0.25">
      <c r="A96" s="11" t="s">
        <v>5254</v>
      </c>
      <c r="B96" s="13" t="s">
        <v>34</v>
      </c>
      <c r="C96" s="61" t="s">
        <v>33</v>
      </c>
      <c r="D96" s="13" t="s">
        <v>1278</v>
      </c>
      <c r="E96" s="13" t="s">
        <v>1070</v>
      </c>
      <c r="F96" s="14" t="s">
        <v>35</v>
      </c>
      <c r="G96" s="13">
        <v>2</v>
      </c>
      <c r="H96" s="14">
        <f t="shared" si="11"/>
        <v>2</v>
      </c>
      <c r="J96" s="14">
        <v>2</v>
      </c>
      <c r="K96" s="13" t="s">
        <v>5268</v>
      </c>
      <c r="L96" s="14" t="s">
        <v>114</v>
      </c>
      <c r="M96" s="14">
        <v>57283</v>
      </c>
      <c r="N96" s="14">
        <v>5722</v>
      </c>
      <c r="O96" s="14">
        <v>353283</v>
      </c>
      <c r="P96" s="14">
        <v>1005722</v>
      </c>
      <c r="Q96" s="14"/>
    </row>
    <row r="97" spans="1:17" x14ac:dyDescent="0.25">
      <c r="A97" s="11" t="s">
        <v>5254</v>
      </c>
      <c r="B97" s="13" t="s">
        <v>34</v>
      </c>
      <c r="C97" s="61" t="s">
        <v>1041</v>
      </c>
      <c r="D97" s="13" t="s">
        <v>39</v>
      </c>
      <c r="E97" s="14" t="s">
        <v>33</v>
      </c>
      <c r="F97" s="14" t="s">
        <v>35</v>
      </c>
      <c r="G97" s="13"/>
      <c r="H97" s="14">
        <f t="shared" si="11"/>
        <v>3</v>
      </c>
      <c r="I97" s="14">
        <v>3</v>
      </c>
      <c r="J97" s="14">
        <v>1</v>
      </c>
      <c r="K97" s="13" t="s">
        <v>240</v>
      </c>
      <c r="L97" s="14" t="s">
        <v>114</v>
      </c>
      <c r="M97" s="14">
        <v>3076</v>
      </c>
      <c r="N97" s="14">
        <v>1270</v>
      </c>
      <c r="O97" s="14">
        <v>330760</v>
      </c>
      <c r="P97" s="14">
        <v>1012700</v>
      </c>
      <c r="Q97" s="14"/>
    </row>
    <row r="98" spans="1:17" ht="22.5" x14ac:dyDescent="0.25">
      <c r="A98" s="11" t="s">
        <v>5254</v>
      </c>
      <c r="B98" s="13" t="s">
        <v>34</v>
      </c>
      <c r="C98" s="61" t="s">
        <v>5272</v>
      </c>
      <c r="D98" s="13" t="s">
        <v>3393</v>
      </c>
      <c r="E98" s="14" t="s">
        <v>33</v>
      </c>
      <c r="F98" s="14" t="s">
        <v>35</v>
      </c>
      <c r="G98" s="13"/>
      <c r="H98" s="14">
        <f t="shared" ref="H98" si="14">G98+I98</f>
        <v>1</v>
      </c>
      <c r="I98" s="14">
        <v>1</v>
      </c>
      <c r="J98" s="14">
        <v>1</v>
      </c>
      <c r="K98" s="13" t="s">
        <v>240</v>
      </c>
      <c r="L98" s="14" t="s">
        <v>114</v>
      </c>
      <c r="M98" s="14">
        <v>3076</v>
      </c>
      <c r="N98" s="14">
        <v>1270</v>
      </c>
      <c r="O98" s="14">
        <v>330760</v>
      </c>
      <c r="P98" s="14">
        <v>1012700</v>
      </c>
      <c r="Q98" s="14"/>
    </row>
    <row r="99" spans="1:17" ht="22.5" x14ac:dyDescent="0.25">
      <c r="A99" s="11" t="s">
        <v>5254</v>
      </c>
      <c r="B99" s="13" t="s">
        <v>34</v>
      </c>
      <c r="C99" s="61" t="s">
        <v>155</v>
      </c>
      <c r="D99" s="13" t="s">
        <v>1212</v>
      </c>
      <c r="E99" s="13" t="s">
        <v>156</v>
      </c>
      <c r="F99" s="14" t="s">
        <v>35</v>
      </c>
      <c r="G99" s="13"/>
      <c r="H99" s="14">
        <f t="shared" si="11"/>
        <v>1</v>
      </c>
      <c r="I99" s="14">
        <v>1</v>
      </c>
      <c r="J99" s="14">
        <v>1</v>
      </c>
      <c r="K99" s="13" t="s">
        <v>204</v>
      </c>
      <c r="L99" s="14" t="s">
        <v>114</v>
      </c>
      <c r="M99" s="14">
        <v>4830</v>
      </c>
      <c r="N99" s="14">
        <v>5180</v>
      </c>
      <c r="O99" s="14">
        <v>348300</v>
      </c>
      <c r="P99" s="14">
        <v>1051800</v>
      </c>
      <c r="Q99" s="14"/>
    </row>
    <row r="100" spans="1:17" x14ac:dyDescent="0.25">
      <c r="A100" s="11" t="s">
        <v>5254</v>
      </c>
      <c r="B100" s="13" t="s">
        <v>34</v>
      </c>
      <c r="C100" s="61" t="s">
        <v>619</v>
      </c>
      <c r="D100" s="13" t="s">
        <v>39</v>
      </c>
      <c r="E100" s="14" t="s">
        <v>620</v>
      </c>
      <c r="F100" s="14" t="s">
        <v>35</v>
      </c>
      <c r="G100" s="13"/>
      <c r="H100" s="14">
        <f t="shared" si="11"/>
        <v>1</v>
      </c>
      <c r="I100" s="14">
        <v>1</v>
      </c>
      <c r="J100" s="14">
        <v>1</v>
      </c>
      <c r="K100" s="13" t="s">
        <v>240</v>
      </c>
      <c r="L100" s="14" t="s">
        <v>114</v>
      </c>
      <c r="M100" s="14">
        <v>428</v>
      </c>
      <c r="N100" s="14">
        <v>493</v>
      </c>
      <c r="O100" s="14">
        <v>342800</v>
      </c>
      <c r="P100" s="14">
        <v>1049300</v>
      </c>
      <c r="Q100" s="14"/>
    </row>
    <row r="101" spans="1:17" ht="22.5" x14ac:dyDescent="0.25">
      <c r="A101" s="11" t="s">
        <v>5254</v>
      </c>
      <c r="B101" s="13" t="s">
        <v>34</v>
      </c>
      <c r="C101" s="61" t="s">
        <v>5267</v>
      </c>
      <c r="D101" s="13" t="s">
        <v>41</v>
      </c>
      <c r="E101" s="14" t="s">
        <v>33</v>
      </c>
      <c r="F101" s="14" t="s">
        <v>35</v>
      </c>
      <c r="G101" s="13">
        <v>3</v>
      </c>
      <c r="H101" s="14">
        <f t="shared" si="11"/>
        <v>5</v>
      </c>
      <c r="I101" s="14">
        <v>2</v>
      </c>
      <c r="J101" s="14">
        <v>4</v>
      </c>
      <c r="K101" s="13" t="s">
        <v>5289</v>
      </c>
      <c r="L101" s="14" t="s">
        <v>114</v>
      </c>
      <c r="M101" s="14">
        <v>3182</v>
      </c>
      <c r="N101" s="14">
        <v>1277</v>
      </c>
      <c r="O101" s="14">
        <v>331820</v>
      </c>
      <c r="P101" s="14">
        <v>1012770</v>
      </c>
      <c r="Q101" s="14"/>
    </row>
    <row r="102" spans="1:17" x14ac:dyDescent="0.25">
      <c r="A102" s="11" t="s">
        <v>5254</v>
      </c>
      <c r="B102" s="13" t="s">
        <v>34</v>
      </c>
      <c r="C102" s="61" t="s">
        <v>1056</v>
      </c>
      <c r="D102" s="13" t="s">
        <v>753</v>
      </c>
      <c r="E102" s="14" t="s">
        <v>469</v>
      </c>
      <c r="F102" s="14" t="s">
        <v>35</v>
      </c>
      <c r="G102" s="13"/>
      <c r="H102" s="14">
        <f t="shared" si="11"/>
        <v>1</v>
      </c>
      <c r="I102" s="14">
        <v>1</v>
      </c>
      <c r="J102" s="14">
        <v>1</v>
      </c>
      <c r="K102" s="13" t="s">
        <v>252</v>
      </c>
      <c r="L102" s="14" t="s">
        <v>114</v>
      </c>
      <c r="M102" s="14">
        <v>3722</v>
      </c>
      <c r="N102" s="14">
        <v>3048</v>
      </c>
      <c r="O102" s="14">
        <v>337220</v>
      </c>
      <c r="P102" s="14">
        <v>1030480</v>
      </c>
      <c r="Q102" s="14"/>
    </row>
    <row r="103" spans="1:17" ht="22.5" x14ac:dyDescent="0.25">
      <c r="A103" s="11" t="s">
        <v>5254</v>
      </c>
      <c r="B103" s="13" t="s">
        <v>34</v>
      </c>
      <c r="C103" s="61" t="s">
        <v>457</v>
      </c>
      <c r="D103" s="13" t="s">
        <v>1047</v>
      </c>
      <c r="E103" s="14" t="s">
        <v>33</v>
      </c>
      <c r="F103" s="14" t="s">
        <v>35</v>
      </c>
      <c r="G103" s="13"/>
      <c r="H103" s="14">
        <f t="shared" si="11"/>
        <v>1</v>
      </c>
      <c r="I103" s="14">
        <v>1</v>
      </c>
      <c r="J103" s="14">
        <v>1</v>
      </c>
      <c r="K103" s="13" t="s">
        <v>252</v>
      </c>
      <c r="L103" s="14" t="s">
        <v>114</v>
      </c>
      <c r="M103" s="14">
        <v>4177</v>
      </c>
      <c r="N103" s="14">
        <v>1292</v>
      </c>
      <c r="O103" s="14">
        <v>341770</v>
      </c>
      <c r="P103" s="14">
        <v>1012920</v>
      </c>
      <c r="Q103" s="14"/>
    </row>
    <row r="104" spans="1:17" x14ac:dyDescent="0.25">
      <c r="A104" s="11" t="s">
        <v>5254</v>
      </c>
      <c r="B104" s="13" t="s">
        <v>34</v>
      </c>
      <c r="C104" s="61" t="s">
        <v>37</v>
      </c>
      <c r="D104" s="13" t="s">
        <v>8</v>
      </c>
      <c r="E104" s="14" t="s">
        <v>33</v>
      </c>
      <c r="F104" s="14" t="s">
        <v>35</v>
      </c>
      <c r="G104" s="13"/>
      <c r="H104" s="14">
        <f t="shared" si="11"/>
        <v>4</v>
      </c>
      <c r="I104" s="14">
        <v>4</v>
      </c>
      <c r="J104" s="14">
        <v>3</v>
      </c>
      <c r="K104" s="13" t="s">
        <v>5286</v>
      </c>
      <c r="L104" s="14" t="s">
        <v>114</v>
      </c>
      <c r="M104" s="14">
        <v>2945</v>
      </c>
      <c r="N104" s="14">
        <v>1335</v>
      </c>
      <c r="O104" s="14">
        <v>329450</v>
      </c>
      <c r="P104" s="14">
        <v>1013350</v>
      </c>
      <c r="Q104" s="14"/>
    </row>
    <row r="105" spans="1:17" ht="33.75" x14ac:dyDescent="0.25">
      <c r="A105" s="11" t="s">
        <v>5254</v>
      </c>
      <c r="B105" s="13" t="s">
        <v>34</v>
      </c>
      <c r="C105" s="61" t="s">
        <v>468</v>
      </c>
      <c r="D105" s="13" t="s">
        <v>4475</v>
      </c>
      <c r="E105" s="14" t="s">
        <v>469</v>
      </c>
      <c r="F105" s="14" t="s">
        <v>35</v>
      </c>
      <c r="G105" s="13"/>
      <c r="H105" s="14">
        <f t="shared" si="11"/>
        <v>1</v>
      </c>
      <c r="I105" s="14">
        <v>1</v>
      </c>
      <c r="J105" s="14">
        <v>1</v>
      </c>
      <c r="K105" s="13" t="s">
        <v>240</v>
      </c>
      <c r="L105" s="14" t="s">
        <v>114</v>
      </c>
      <c r="M105" s="14">
        <v>4398</v>
      </c>
      <c r="N105" s="14">
        <v>3224</v>
      </c>
      <c r="O105" s="14">
        <v>343980</v>
      </c>
      <c r="P105" s="14">
        <v>1032240</v>
      </c>
      <c r="Q105" s="14"/>
    </row>
    <row r="106" spans="1:17" ht="33.75" x14ac:dyDescent="0.25">
      <c r="A106" s="11" t="s">
        <v>5254</v>
      </c>
      <c r="B106" s="13" t="s">
        <v>34</v>
      </c>
      <c r="C106" s="61" t="s">
        <v>38</v>
      </c>
      <c r="D106" s="13" t="s">
        <v>5059</v>
      </c>
      <c r="E106" s="14" t="s">
        <v>33</v>
      </c>
      <c r="F106" s="14" t="s">
        <v>35</v>
      </c>
      <c r="G106" s="13"/>
      <c r="H106" s="14">
        <f t="shared" si="11"/>
        <v>3</v>
      </c>
      <c r="I106" s="14">
        <v>3</v>
      </c>
      <c r="J106" s="14">
        <v>2</v>
      </c>
      <c r="K106" s="13" t="s">
        <v>5271</v>
      </c>
      <c r="L106" s="14" t="s">
        <v>114</v>
      </c>
      <c r="M106" s="14">
        <v>2312</v>
      </c>
      <c r="N106" s="14">
        <v>1874</v>
      </c>
      <c r="O106" s="14">
        <v>323120</v>
      </c>
      <c r="P106" s="14">
        <v>1018740</v>
      </c>
      <c r="Q106" s="14"/>
    </row>
    <row r="107" spans="1:17" x14ac:dyDescent="0.25">
      <c r="A107" s="11" t="s">
        <v>5254</v>
      </c>
      <c r="B107" s="13" t="s">
        <v>34</v>
      </c>
      <c r="C107" s="61" t="s">
        <v>36</v>
      </c>
      <c r="D107" s="13" t="s">
        <v>8</v>
      </c>
      <c r="E107" s="14" t="s">
        <v>33</v>
      </c>
      <c r="F107" s="14" t="s">
        <v>35</v>
      </c>
      <c r="G107" s="13"/>
      <c r="H107" s="14">
        <f t="shared" si="11"/>
        <v>3</v>
      </c>
      <c r="I107" s="14">
        <v>3</v>
      </c>
      <c r="J107" s="14">
        <v>3</v>
      </c>
      <c r="K107" s="13" t="s">
        <v>5286</v>
      </c>
      <c r="L107" s="14" t="s">
        <v>114</v>
      </c>
      <c r="M107" s="14">
        <v>3067</v>
      </c>
      <c r="N107" s="14">
        <v>1252</v>
      </c>
      <c r="O107" s="14">
        <v>330670</v>
      </c>
      <c r="P107" s="14">
        <v>1012520</v>
      </c>
      <c r="Q107" s="14"/>
    </row>
    <row r="108" spans="1:17" ht="33.75" x14ac:dyDescent="0.25">
      <c r="A108" s="11" t="s">
        <v>5254</v>
      </c>
      <c r="B108" s="13" t="s">
        <v>34</v>
      </c>
      <c r="C108" s="61" t="s">
        <v>1415</v>
      </c>
      <c r="D108" s="13" t="s">
        <v>4144</v>
      </c>
      <c r="E108" s="13" t="s">
        <v>33</v>
      </c>
      <c r="F108" s="14" t="s">
        <v>35</v>
      </c>
      <c r="G108" s="13">
        <v>1</v>
      </c>
      <c r="H108" s="14">
        <f t="shared" si="11"/>
        <v>1</v>
      </c>
      <c r="J108" s="14">
        <v>1</v>
      </c>
      <c r="K108" s="13" t="s">
        <v>204</v>
      </c>
      <c r="L108" s="14" t="s">
        <v>114</v>
      </c>
      <c r="M108" s="14">
        <v>2829</v>
      </c>
      <c r="N108" s="14">
        <v>1172</v>
      </c>
      <c r="O108" s="14">
        <v>328290</v>
      </c>
      <c r="P108" s="14">
        <v>1011720</v>
      </c>
      <c r="Q108" s="14"/>
    </row>
    <row r="109" spans="1:17" ht="22.5" x14ac:dyDescent="0.25">
      <c r="A109" s="11" t="s">
        <v>5254</v>
      </c>
      <c r="B109" s="13" t="s">
        <v>99</v>
      </c>
      <c r="C109" s="61" t="s">
        <v>5330</v>
      </c>
      <c r="D109" s="13" t="s">
        <v>39</v>
      </c>
      <c r="E109" s="13" t="s">
        <v>5331</v>
      </c>
      <c r="F109" s="14" t="s">
        <v>35</v>
      </c>
      <c r="G109" s="13"/>
      <c r="H109" s="14">
        <f t="shared" ref="H109" si="15">G109+I109</f>
        <v>1</v>
      </c>
      <c r="I109" s="14">
        <v>1</v>
      </c>
      <c r="J109" s="14">
        <v>1</v>
      </c>
      <c r="K109" s="13" t="s">
        <v>459</v>
      </c>
      <c r="L109" s="14" t="s">
        <v>5332</v>
      </c>
      <c r="M109" s="14">
        <v>642</v>
      </c>
      <c r="N109" s="14">
        <v>977</v>
      </c>
      <c r="O109" s="14">
        <v>64200</v>
      </c>
      <c r="P109" s="14">
        <v>797700</v>
      </c>
      <c r="Q109" s="14"/>
    </row>
    <row r="110" spans="1:17" ht="22.5" x14ac:dyDescent="0.25">
      <c r="A110" s="11" t="s">
        <v>5254</v>
      </c>
      <c r="B110" s="13" t="s">
        <v>99</v>
      </c>
      <c r="C110" s="61" t="s">
        <v>523</v>
      </c>
      <c r="D110" s="13" t="s">
        <v>524</v>
      </c>
      <c r="E110" s="13" t="s">
        <v>974</v>
      </c>
      <c r="F110" s="14" t="s">
        <v>35</v>
      </c>
      <c r="G110" s="13"/>
      <c r="H110" s="14">
        <f t="shared" si="11"/>
        <v>2</v>
      </c>
      <c r="I110" s="14">
        <v>2</v>
      </c>
      <c r="J110" s="14">
        <v>2</v>
      </c>
      <c r="K110" s="13" t="s">
        <v>5288</v>
      </c>
      <c r="L110" s="14" t="s">
        <v>526</v>
      </c>
      <c r="M110" s="14">
        <v>21300</v>
      </c>
      <c r="N110" s="14">
        <v>33017</v>
      </c>
      <c r="O110" s="14">
        <v>121300</v>
      </c>
      <c r="P110" s="14">
        <v>933017</v>
      </c>
      <c r="Q110" s="14"/>
    </row>
    <row r="111" spans="1:17" x14ac:dyDescent="0.25">
      <c r="A111" s="11" t="s">
        <v>5254</v>
      </c>
      <c r="B111" s="13" t="s">
        <v>99</v>
      </c>
      <c r="C111" s="61" t="s">
        <v>97</v>
      </c>
      <c r="D111" s="13" t="s">
        <v>39</v>
      </c>
      <c r="E111" s="14" t="s">
        <v>98</v>
      </c>
      <c r="F111" s="14" t="s">
        <v>35</v>
      </c>
      <c r="G111" s="13"/>
      <c r="H111" s="14">
        <f t="shared" si="11"/>
        <v>4</v>
      </c>
      <c r="I111" s="14">
        <v>4</v>
      </c>
      <c r="J111" s="14">
        <v>2</v>
      </c>
      <c r="K111" s="13" t="s">
        <v>5334</v>
      </c>
      <c r="L111" s="14" t="s">
        <v>116</v>
      </c>
      <c r="M111" s="14">
        <v>9753</v>
      </c>
      <c r="N111" s="14">
        <v>9123</v>
      </c>
      <c r="O111" s="14">
        <v>97530</v>
      </c>
      <c r="P111" s="14">
        <v>891230</v>
      </c>
      <c r="Q111" s="14"/>
    </row>
    <row r="112" spans="1:17" ht="22.5" x14ac:dyDescent="0.25">
      <c r="A112" s="11" t="s">
        <v>5254</v>
      </c>
      <c r="B112" s="13" t="s">
        <v>170</v>
      </c>
      <c r="C112" s="61" t="s">
        <v>972</v>
      </c>
      <c r="D112" s="13" t="s">
        <v>973</v>
      </c>
      <c r="E112" s="14" t="s">
        <v>167</v>
      </c>
      <c r="F112" s="14" t="s">
        <v>35</v>
      </c>
      <c r="G112" s="13"/>
      <c r="H112" s="14">
        <f t="shared" si="11"/>
        <v>1</v>
      </c>
      <c r="I112" s="14">
        <v>1</v>
      </c>
      <c r="J112" s="14">
        <v>1</v>
      </c>
      <c r="K112" s="13" t="s">
        <v>324</v>
      </c>
      <c r="L112" s="14" t="s">
        <v>130</v>
      </c>
      <c r="M112" s="14">
        <v>1633</v>
      </c>
      <c r="N112" s="14">
        <v>4049</v>
      </c>
      <c r="O112" s="14">
        <v>316330</v>
      </c>
      <c r="P112" s="14">
        <v>740490</v>
      </c>
      <c r="Q112" s="14"/>
    </row>
    <row r="113" spans="1:17" x14ac:dyDescent="0.25">
      <c r="A113" s="11" t="s">
        <v>5254</v>
      </c>
      <c r="B113" s="13" t="s">
        <v>1031</v>
      </c>
      <c r="C113" s="61" t="s">
        <v>5328</v>
      </c>
      <c r="D113" s="13" t="s">
        <v>39</v>
      </c>
      <c r="E113" s="14" t="s">
        <v>236</v>
      </c>
      <c r="F113" s="14" t="s">
        <v>35</v>
      </c>
      <c r="G113" s="13"/>
      <c r="H113" s="14">
        <f>G113+I113</f>
        <v>2</v>
      </c>
      <c r="I113" s="14">
        <v>2</v>
      </c>
      <c r="J113" s="14">
        <v>1</v>
      </c>
      <c r="K113" s="13" t="s">
        <v>459</v>
      </c>
      <c r="L113" s="14" t="s">
        <v>526</v>
      </c>
      <c r="M113" s="14">
        <v>352</v>
      </c>
      <c r="N113" s="14">
        <v>513</v>
      </c>
      <c r="O113" s="14">
        <v>135200</v>
      </c>
      <c r="P113" s="14">
        <v>951300</v>
      </c>
      <c r="Q113" s="14"/>
    </row>
    <row r="114" spans="1:17" x14ac:dyDescent="0.25">
      <c r="A114" s="11" t="s">
        <v>5254</v>
      </c>
      <c r="B114" s="13" t="s">
        <v>1031</v>
      </c>
      <c r="C114" s="61" t="s">
        <v>5329</v>
      </c>
      <c r="D114" s="13" t="s">
        <v>39</v>
      </c>
      <c r="E114" s="14" t="s">
        <v>236</v>
      </c>
      <c r="F114" s="14" t="s">
        <v>35</v>
      </c>
      <c r="G114" s="13"/>
      <c r="H114" s="14">
        <f>G114+I114</f>
        <v>3</v>
      </c>
      <c r="I114" s="14">
        <v>3</v>
      </c>
      <c r="J114" s="14">
        <v>2</v>
      </c>
      <c r="K114" s="13" t="s">
        <v>5334</v>
      </c>
      <c r="L114" s="14" t="s">
        <v>526</v>
      </c>
      <c r="M114" s="14">
        <v>214</v>
      </c>
      <c r="N114" s="14">
        <v>450</v>
      </c>
      <c r="O114" s="14">
        <v>121400</v>
      </c>
      <c r="P114" s="14">
        <v>945000</v>
      </c>
      <c r="Q114" s="14"/>
    </row>
    <row r="115" spans="1:17" x14ac:dyDescent="0.25">
      <c r="A115" s="11" t="s">
        <v>5254</v>
      </c>
      <c r="B115" s="13" t="s">
        <v>319</v>
      </c>
      <c r="C115" s="61" t="s">
        <v>2657</v>
      </c>
      <c r="D115" s="13" t="s">
        <v>39</v>
      </c>
      <c r="E115" s="14" t="s">
        <v>2658</v>
      </c>
      <c r="F115" s="14" t="s">
        <v>35</v>
      </c>
      <c r="G115" s="13"/>
      <c r="H115" s="14">
        <f t="shared" si="11"/>
        <v>1</v>
      </c>
      <c r="I115" s="14">
        <v>1</v>
      </c>
      <c r="J115" s="14">
        <v>1</v>
      </c>
      <c r="K115" s="13" t="s">
        <v>459</v>
      </c>
      <c r="L115" s="14" t="s">
        <v>318</v>
      </c>
      <c r="M115" s="14">
        <v>586</v>
      </c>
      <c r="N115" s="14">
        <v>652</v>
      </c>
      <c r="O115" s="14">
        <v>458600</v>
      </c>
      <c r="P115" s="14">
        <v>1165200</v>
      </c>
      <c r="Q115" s="14"/>
    </row>
    <row r="116" spans="1:17" x14ac:dyDescent="0.25">
      <c r="A116" s="11" t="s">
        <v>5254</v>
      </c>
      <c r="B116" s="13" t="s">
        <v>319</v>
      </c>
      <c r="C116" s="61" t="s">
        <v>2554</v>
      </c>
      <c r="D116" s="13" t="s">
        <v>39</v>
      </c>
      <c r="E116" s="14" t="s">
        <v>319</v>
      </c>
      <c r="F116" s="14" t="s">
        <v>35</v>
      </c>
      <c r="G116" s="13">
        <v>1</v>
      </c>
      <c r="H116" s="14">
        <f t="shared" si="11"/>
        <v>1</v>
      </c>
      <c r="J116" s="14">
        <v>1</v>
      </c>
      <c r="K116" s="13" t="s">
        <v>948</v>
      </c>
      <c r="L116" s="14" t="s">
        <v>318</v>
      </c>
      <c r="M116" s="14">
        <v>398</v>
      </c>
      <c r="N116" s="14">
        <v>95</v>
      </c>
      <c r="O116" s="14">
        <v>439800</v>
      </c>
      <c r="P116" s="14">
        <v>1109500</v>
      </c>
      <c r="Q116" s="14"/>
    </row>
    <row r="117" spans="1:17" x14ac:dyDescent="0.25">
      <c r="A117" s="11" t="s">
        <v>5254</v>
      </c>
      <c r="B117" s="13" t="s">
        <v>319</v>
      </c>
      <c r="C117" s="61" t="s">
        <v>1562</v>
      </c>
      <c r="D117" s="13" t="s">
        <v>39</v>
      </c>
      <c r="E117" s="14" t="s">
        <v>319</v>
      </c>
      <c r="F117" s="14" t="s">
        <v>35</v>
      </c>
      <c r="G117" s="13"/>
      <c r="H117" s="14">
        <f t="shared" si="11"/>
        <v>1</v>
      </c>
      <c r="I117" s="14">
        <v>1</v>
      </c>
      <c r="J117" s="14">
        <v>1</v>
      </c>
      <c r="K117" s="13" t="s">
        <v>459</v>
      </c>
      <c r="L117" s="14" t="s">
        <v>318</v>
      </c>
      <c r="M117" s="14">
        <v>277</v>
      </c>
      <c r="N117" s="14">
        <v>484</v>
      </c>
      <c r="O117" s="14">
        <v>427700</v>
      </c>
      <c r="P117" s="14">
        <v>1148400</v>
      </c>
      <c r="Q117" s="14"/>
    </row>
    <row r="118" spans="1:17" x14ac:dyDescent="0.25">
      <c r="A118" s="11" t="s">
        <v>5254</v>
      </c>
      <c r="B118" s="13" t="s">
        <v>319</v>
      </c>
      <c r="C118" s="61" t="s">
        <v>3783</v>
      </c>
      <c r="D118" s="13" t="s">
        <v>39</v>
      </c>
      <c r="E118" s="14" t="s">
        <v>3784</v>
      </c>
      <c r="F118" s="14" t="s">
        <v>35</v>
      </c>
      <c r="G118" s="13"/>
      <c r="H118" s="14">
        <f>G118+I118</f>
        <v>1</v>
      </c>
      <c r="I118" s="14">
        <v>1</v>
      </c>
      <c r="J118" s="14">
        <v>1</v>
      </c>
      <c r="K118" s="13" t="s">
        <v>459</v>
      </c>
      <c r="L118" s="14" t="s">
        <v>318</v>
      </c>
      <c r="M118" s="14">
        <v>2560</v>
      </c>
      <c r="N118" s="14">
        <v>5165</v>
      </c>
      <c r="O118" s="14">
        <v>425600</v>
      </c>
      <c r="P118" s="14">
        <v>1151650</v>
      </c>
      <c r="Q118" s="14"/>
    </row>
    <row r="119" spans="1:17" x14ac:dyDescent="0.25">
      <c r="A119" s="11" t="s">
        <v>5254</v>
      </c>
      <c r="B119" s="13" t="s">
        <v>319</v>
      </c>
      <c r="C119" s="61" t="s">
        <v>2614</v>
      </c>
      <c r="D119" s="13" t="s">
        <v>39</v>
      </c>
      <c r="E119" s="14" t="s">
        <v>2615</v>
      </c>
      <c r="F119" s="14" t="s">
        <v>35</v>
      </c>
      <c r="G119" s="13"/>
      <c r="H119" s="14">
        <f>G119+I119</f>
        <v>1</v>
      </c>
      <c r="I119" s="14">
        <v>1</v>
      </c>
      <c r="J119" s="14">
        <v>1</v>
      </c>
      <c r="K119" s="13" t="s">
        <v>459</v>
      </c>
      <c r="L119" s="14" t="s">
        <v>318</v>
      </c>
      <c r="M119" s="14">
        <v>285</v>
      </c>
      <c r="N119" s="14">
        <v>502</v>
      </c>
      <c r="O119" s="14">
        <v>428500</v>
      </c>
      <c r="P119" s="14">
        <v>1150200</v>
      </c>
      <c r="Q119" s="14"/>
    </row>
    <row r="120" spans="1:17" x14ac:dyDescent="0.25">
      <c r="A120" s="11" t="s">
        <v>5254</v>
      </c>
      <c r="B120" s="13" t="s">
        <v>319</v>
      </c>
      <c r="C120" s="61" t="s">
        <v>3908</v>
      </c>
      <c r="D120" s="13" t="s">
        <v>39</v>
      </c>
      <c r="E120" s="14" t="s">
        <v>2658</v>
      </c>
      <c r="F120" s="14" t="s">
        <v>35</v>
      </c>
      <c r="G120" s="13"/>
      <c r="H120" s="14">
        <f>G120+I120</f>
        <v>1</v>
      </c>
      <c r="I120" s="14">
        <v>1</v>
      </c>
      <c r="J120" s="14">
        <v>1</v>
      </c>
      <c r="K120" s="13" t="s">
        <v>459</v>
      </c>
      <c r="L120" s="14" t="s">
        <v>318</v>
      </c>
      <c r="M120" s="14">
        <v>5872</v>
      </c>
      <c r="N120" s="14">
        <v>6521</v>
      </c>
      <c r="O120" s="14">
        <v>458720</v>
      </c>
      <c r="P120" s="14">
        <v>1165210</v>
      </c>
      <c r="Q120" s="14"/>
    </row>
    <row r="121" spans="1:17" x14ac:dyDescent="0.25">
      <c r="A121" s="11" t="s">
        <v>5254</v>
      </c>
      <c r="B121" s="13" t="s">
        <v>743</v>
      </c>
      <c r="C121" s="61" t="s">
        <v>1680</v>
      </c>
      <c r="D121" s="13" t="s">
        <v>1668</v>
      </c>
      <c r="E121" s="14" t="s">
        <v>236</v>
      </c>
      <c r="F121" s="14" t="s">
        <v>35</v>
      </c>
      <c r="G121" s="13"/>
      <c r="H121" s="14">
        <f t="shared" si="11"/>
        <v>2</v>
      </c>
      <c r="I121" s="14">
        <v>2</v>
      </c>
      <c r="J121" s="14">
        <v>1</v>
      </c>
      <c r="K121" s="13" t="s">
        <v>372</v>
      </c>
      <c r="L121" s="14" t="s">
        <v>460</v>
      </c>
      <c r="M121" s="14">
        <v>6336</v>
      </c>
      <c r="N121" s="14">
        <v>9214</v>
      </c>
      <c r="O121" s="14">
        <v>263360</v>
      </c>
      <c r="P121" s="14">
        <v>892140</v>
      </c>
      <c r="Q121" s="14"/>
    </row>
    <row r="122" spans="1:17" ht="22.5" x14ac:dyDescent="0.25">
      <c r="A122" s="11" t="s">
        <v>5254</v>
      </c>
      <c r="B122" s="13" t="s">
        <v>5310</v>
      </c>
      <c r="C122" s="61" t="s">
        <v>5311</v>
      </c>
      <c r="D122" s="13" t="s">
        <v>151</v>
      </c>
      <c r="E122" s="13" t="s">
        <v>5312</v>
      </c>
      <c r="F122" s="14" t="s">
        <v>56</v>
      </c>
      <c r="G122" s="13"/>
      <c r="H122" s="14">
        <f t="shared" ref="H122:H123" si="16">G122+I122</f>
        <v>1</v>
      </c>
      <c r="I122" s="14">
        <v>1</v>
      </c>
      <c r="J122" s="14">
        <v>1</v>
      </c>
      <c r="K122" s="13" t="s">
        <v>358</v>
      </c>
      <c r="L122" s="14" t="s">
        <v>153</v>
      </c>
      <c r="M122" s="14">
        <v>802</v>
      </c>
      <c r="N122" s="14">
        <v>745</v>
      </c>
      <c r="O122" s="14">
        <v>280200</v>
      </c>
      <c r="P122" s="14">
        <v>274500</v>
      </c>
      <c r="Q122" s="14"/>
    </row>
    <row r="123" spans="1:17" ht="33.75" x14ac:dyDescent="0.25">
      <c r="A123" s="11" t="s">
        <v>5254</v>
      </c>
      <c r="B123" s="13" t="s">
        <v>186</v>
      </c>
      <c r="C123" s="61" t="s">
        <v>5315</v>
      </c>
      <c r="D123" s="13" t="s">
        <v>1668</v>
      </c>
      <c r="E123" s="13" t="s">
        <v>5316</v>
      </c>
      <c r="F123" s="14" t="s">
        <v>56</v>
      </c>
      <c r="G123" s="13"/>
      <c r="H123" s="14">
        <f t="shared" si="16"/>
        <v>1</v>
      </c>
      <c r="I123" s="14">
        <v>1</v>
      </c>
      <c r="J123" s="14">
        <v>1</v>
      </c>
      <c r="K123" s="13" t="s">
        <v>372</v>
      </c>
      <c r="L123" s="14" t="s">
        <v>189</v>
      </c>
      <c r="M123" s="14">
        <v>345</v>
      </c>
      <c r="N123" s="14">
        <v>525</v>
      </c>
      <c r="O123" s="14">
        <v>334500</v>
      </c>
      <c r="P123" s="14">
        <v>352500</v>
      </c>
      <c r="Q123" s="14"/>
    </row>
    <row r="124" spans="1:17" x14ac:dyDescent="0.25">
      <c r="A124" s="11" t="s">
        <v>5254</v>
      </c>
      <c r="B124" s="13" t="s">
        <v>186</v>
      </c>
      <c r="C124" s="61" t="s">
        <v>553</v>
      </c>
      <c r="D124" s="13" t="s">
        <v>90</v>
      </c>
      <c r="E124" s="14" t="s">
        <v>554</v>
      </c>
      <c r="F124" s="14" t="s">
        <v>56</v>
      </c>
      <c r="G124" s="13"/>
      <c r="H124" s="14">
        <f t="shared" ref="H124:H125" si="17">G124+I124</f>
        <v>1</v>
      </c>
      <c r="I124" s="14">
        <v>1</v>
      </c>
      <c r="J124" s="14">
        <v>1</v>
      </c>
      <c r="K124" s="13" t="s">
        <v>389</v>
      </c>
      <c r="L124" s="14" t="s">
        <v>189</v>
      </c>
      <c r="M124" s="14">
        <v>2434</v>
      </c>
      <c r="N124" s="14">
        <v>6393</v>
      </c>
      <c r="O124" s="14">
        <v>324340</v>
      </c>
      <c r="P124" s="14">
        <v>363930</v>
      </c>
      <c r="Q124" s="14"/>
    </row>
    <row r="125" spans="1:17" x14ac:dyDescent="0.25">
      <c r="A125" s="11" t="s">
        <v>5254</v>
      </c>
      <c r="B125" s="13" t="s">
        <v>55</v>
      </c>
      <c r="C125" s="61" t="s">
        <v>58</v>
      </c>
      <c r="D125" s="13" t="s">
        <v>151</v>
      </c>
      <c r="E125" s="14" t="s">
        <v>57</v>
      </c>
      <c r="F125" s="14" t="s">
        <v>56</v>
      </c>
      <c r="G125" s="13"/>
      <c r="H125" s="14">
        <f t="shared" si="17"/>
        <v>1</v>
      </c>
      <c r="I125" s="14">
        <v>1</v>
      </c>
      <c r="J125" s="14">
        <v>1</v>
      </c>
      <c r="K125" s="13" t="s">
        <v>507</v>
      </c>
      <c r="L125" s="14" t="s">
        <v>153</v>
      </c>
      <c r="M125" s="14">
        <v>211</v>
      </c>
      <c r="N125" s="14">
        <v>326</v>
      </c>
      <c r="O125" s="14">
        <v>211100</v>
      </c>
      <c r="P125" s="14">
        <v>232600</v>
      </c>
      <c r="Q125" s="14"/>
    </row>
    <row r="126" spans="1:17" x14ac:dyDescent="0.25">
      <c r="A126" s="11" t="s">
        <v>5254</v>
      </c>
      <c r="B126" s="13" t="s">
        <v>55</v>
      </c>
      <c r="C126" s="61" t="s">
        <v>5333</v>
      </c>
      <c r="D126" s="13" t="s">
        <v>39</v>
      </c>
      <c r="E126" s="14" t="s">
        <v>57</v>
      </c>
      <c r="F126" s="14" t="s">
        <v>56</v>
      </c>
      <c r="G126" s="13"/>
      <c r="H126" s="14">
        <f t="shared" ref="H126" si="18">G126+I126</f>
        <v>1</v>
      </c>
      <c r="I126" s="14">
        <v>1</v>
      </c>
      <c r="J126" s="14">
        <v>1</v>
      </c>
      <c r="K126" s="13" t="s">
        <v>466</v>
      </c>
      <c r="L126" s="14" t="s">
        <v>2908</v>
      </c>
      <c r="M126" s="14">
        <v>979</v>
      </c>
      <c r="N126" s="14">
        <v>947</v>
      </c>
      <c r="O126" s="14">
        <v>197900</v>
      </c>
      <c r="P126" s="14">
        <v>194700</v>
      </c>
      <c r="Q126" s="14"/>
    </row>
    <row r="127" spans="1:17" x14ac:dyDescent="0.25">
      <c r="A127" s="11" t="s">
        <v>5254</v>
      </c>
      <c r="B127" s="13" t="s">
        <v>161</v>
      </c>
      <c r="C127" s="61" t="s">
        <v>1600</v>
      </c>
      <c r="D127" s="13" t="s">
        <v>90</v>
      </c>
      <c r="E127" s="14" t="s">
        <v>301</v>
      </c>
      <c r="F127" s="14" t="s">
        <v>56</v>
      </c>
      <c r="G127" s="13">
        <v>1</v>
      </c>
      <c r="H127" s="14">
        <f t="shared" ref="H127:H130" si="19">G127+I127</f>
        <v>2</v>
      </c>
      <c r="I127" s="14">
        <v>1</v>
      </c>
      <c r="J127" s="14">
        <v>2</v>
      </c>
      <c r="K127" s="13" t="s">
        <v>373</v>
      </c>
      <c r="L127" s="14" t="s">
        <v>164</v>
      </c>
      <c r="M127" s="14">
        <v>36111</v>
      </c>
      <c r="N127" s="14">
        <v>84978</v>
      </c>
      <c r="O127" s="14">
        <v>236111</v>
      </c>
      <c r="P127" s="14">
        <v>384978</v>
      </c>
      <c r="Q127" s="14"/>
    </row>
    <row r="128" spans="1:17" ht="22.5" x14ac:dyDescent="0.25">
      <c r="A128" s="11" t="s">
        <v>5254</v>
      </c>
      <c r="B128" s="13" t="s">
        <v>1444</v>
      </c>
      <c r="C128" s="61" t="s">
        <v>1773</v>
      </c>
      <c r="D128" s="13" t="s">
        <v>39</v>
      </c>
      <c r="E128" s="14" t="s">
        <v>1774</v>
      </c>
      <c r="F128" s="13" t="s">
        <v>776</v>
      </c>
      <c r="G128" s="13"/>
      <c r="H128" s="14">
        <f t="shared" si="19"/>
        <v>1</v>
      </c>
      <c r="I128" s="14">
        <v>1</v>
      </c>
      <c r="J128" s="14">
        <v>1</v>
      </c>
      <c r="K128" s="13" t="s">
        <v>466</v>
      </c>
      <c r="L128" s="14" t="s">
        <v>992</v>
      </c>
      <c r="M128" s="14">
        <v>938</v>
      </c>
      <c r="N128" s="14">
        <v>640</v>
      </c>
      <c r="O128" s="65"/>
      <c r="P128" s="65"/>
      <c r="Q128" s="14"/>
    </row>
    <row r="129" spans="1:17" ht="22.5" x14ac:dyDescent="0.25">
      <c r="A129" s="11" t="s">
        <v>5254</v>
      </c>
      <c r="B129" s="13" t="s">
        <v>1099</v>
      </c>
      <c r="C129" s="61" t="s">
        <v>5313</v>
      </c>
      <c r="D129" s="13" t="s">
        <v>1668</v>
      </c>
      <c r="E129" s="14" t="s">
        <v>1675</v>
      </c>
      <c r="F129" s="13" t="s">
        <v>776</v>
      </c>
      <c r="G129" s="13"/>
      <c r="H129" s="14">
        <f t="shared" si="19"/>
        <v>1</v>
      </c>
      <c r="I129" s="14">
        <v>1</v>
      </c>
      <c r="J129" s="14">
        <v>1</v>
      </c>
      <c r="K129" s="13" t="s">
        <v>372</v>
      </c>
      <c r="L129" s="14" t="s">
        <v>782</v>
      </c>
      <c r="M129" s="14">
        <v>164</v>
      </c>
      <c r="N129" s="14">
        <v>260</v>
      </c>
      <c r="O129" s="65"/>
      <c r="P129" s="65"/>
      <c r="Q129" s="14"/>
    </row>
    <row r="130" spans="1:17" ht="22.5" x14ac:dyDescent="0.25">
      <c r="A130" s="11" t="s">
        <v>5254</v>
      </c>
      <c r="B130" s="13" t="s">
        <v>1248</v>
      </c>
      <c r="C130" s="61" t="s">
        <v>5309</v>
      </c>
      <c r="D130" s="13" t="s">
        <v>1668</v>
      </c>
      <c r="E130" s="14" t="s">
        <v>1248</v>
      </c>
      <c r="F130" s="13" t="s">
        <v>773</v>
      </c>
      <c r="G130" s="13"/>
      <c r="H130" s="14">
        <f t="shared" si="19"/>
        <v>3</v>
      </c>
      <c r="I130" s="14">
        <v>3</v>
      </c>
      <c r="J130" s="14">
        <v>2</v>
      </c>
      <c r="K130" s="13" t="s">
        <v>373</v>
      </c>
      <c r="L130" s="14" t="s">
        <v>808</v>
      </c>
      <c r="M130" s="14">
        <v>684</v>
      </c>
      <c r="N130" s="14">
        <v>43</v>
      </c>
      <c r="Q130" s="14"/>
    </row>
    <row r="131" spans="1:17" x14ac:dyDescent="0.25">
      <c r="A131" s="11" t="s">
        <v>5254</v>
      </c>
      <c r="B131" s="13" t="s">
        <v>1248</v>
      </c>
      <c r="C131" s="61" t="s">
        <v>2460</v>
      </c>
      <c r="D131" s="13" t="s">
        <v>2099</v>
      </c>
      <c r="E131" s="14" t="s">
        <v>2461</v>
      </c>
      <c r="F131" s="13" t="s">
        <v>773</v>
      </c>
      <c r="G131" s="13"/>
      <c r="H131" s="14">
        <f t="shared" ref="H131:H160" si="20">G131+I131</f>
        <v>1</v>
      </c>
      <c r="I131" s="14">
        <v>1</v>
      </c>
      <c r="J131" s="14">
        <v>1</v>
      </c>
      <c r="K131" s="13" t="s">
        <v>358</v>
      </c>
      <c r="L131" s="14" t="s">
        <v>2381</v>
      </c>
      <c r="M131" s="14">
        <v>931</v>
      </c>
      <c r="N131" s="14">
        <v>348</v>
      </c>
      <c r="O131" s="65"/>
      <c r="P131" s="65"/>
      <c r="Q131" s="14"/>
    </row>
    <row r="132" spans="1:17" x14ac:dyDescent="0.25">
      <c r="A132" s="11" t="s">
        <v>5254</v>
      </c>
      <c r="B132" s="13" t="s">
        <v>1688</v>
      </c>
      <c r="C132" s="61" t="s">
        <v>1689</v>
      </c>
      <c r="D132" s="13" t="s">
        <v>1668</v>
      </c>
      <c r="E132" s="14" t="s">
        <v>1688</v>
      </c>
      <c r="F132" s="13" t="s">
        <v>773</v>
      </c>
      <c r="G132" s="13"/>
      <c r="H132" s="14">
        <f t="shared" si="20"/>
        <v>1</v>
      </c>
      <c r="I132" s="14">
        <v>1</v>
      </c>
      <c r="J132" s="14">
        <v>1</v>
      </c>
      <c r="K132" s="13" t="s">
        <v>372</v>
      </c>
      <c r="L132" s="14" t="s">
        <v>1348</v>
      </c>
      <c r="M132" s="14">
        <v>325</v>
      </c>
      <c r="N132" s="14">
        <v>244</v>
      </c>
      <c r="Q132" s="14"/>
    </row>
    <row r="133" spans="1:17" x14ac:dyDescent="0.25">
      <c r="A133" s="11" t="s">
        <v>5254</v>
      </c>
      <c r="B133" s="13" t="s">
        <v>1666</v>
      </c>
      <c r="C133" s="61" t="s">
        <v>1667</v>
      </c>
      <c r="D133" s="13" t="s">
        <v>1668</v>
      </c>
      <c r="E133" s="14" t="s">
        <v>1670</v>
      </c>
      <c r="F133" s="13" t="s">
        <v>773</v>
      </c>
      <c r="G133" s="13"/>
      <c r="H133" s="14">
        <f t="shared" si="20"/>
        <v>2</v>
      </c>
      <c r="I133" s="14">
        <v>2</v>
      </c>
      <c r="J133" s="14">
        <v>1</v>
      </c>
      <c r="K133" s="13" t="s">
        <v>372</v>
      </c>
      <c r="L133" s="14" t="s">
        <v>1160</v>
      </c>
      <c r="M133" s="14">
        <v>399</v>
      </c>
      <c r="N133" s="14">
        <v>563</v>
      </c>
      <c r="Q133" s="14"/>
    </row>
    <row r="134" spans="1:17" ht="33.75" x14ac:dyDescent="0.25">
      <c r="A134" s="11" t="s">
        <v>5254</v>
      </c>
      <c r="B134" s="13" t="s">
        <v>2456</v>
      </c>
      <c r="C134" s="61" t="s">
        <v>2458</v>
      </c>
      <c r="D134" s="13" t="s">
        <v>2459</v>
      </c>
      <c r="E134" s="14" t="s">
        <v>2456</v>
      </c>
      <c r="F134" s="13" t="s">
        <v>773</v>
      </c>
      <c r="G134" s="13"/>
      <c r="H134" s="14">
        <f t="shared" si="20"/>
        <v>1</v>
      </c>
      <c r="I134" s="14">
        <v>1</v>
      </c>
      <c r="J134" s="14">
        <v>1</v>
      </c>
      <c r="K134" s="13" t="s">
        <v>358</v>
      </c>
      <c r="L134" s="57" t="s">
        <v>667</v>
      </c>
      <c r="M134" s="57">
        <v>103</v>
      </c>
      <c r="N134" s="57">
        <v>625</v>
      </c>
      <c r="O134" s="65"/>
      <c r="P134" s="65"/>
      <c r="Q134" s="14"/>
    </row>
    <row r="135" spans="1:17" x14ac:dyDescent="0.25">
      <c r="A135" s="11" t="s">
        <v>5254</v>
      </c>
      <c r="B135" s="13" t="s">
        <v>989</v>
      </c>
      <c r="C135" s="61" t="s">
        <v>1678</v>
      </c>
      <c r="D135" s="13" t="s">
        <v>1668</v>
      </c>
      <c r="E135" s="14" t="s">
        <v>1679</v>
      </c>
      <c r="F135" s="13" t="s">
        <v>773</v>
      </c>
      <c r="G135" s="13"/>
      <c r="H135" s="14">
        <f t="shared" si="20"/>
        <v>1</v>
      </c>
      <c r="I135" s="14">
        <v>1</v>
      </c>
      <c r="J135" s="14">
        <v>1</v>
      </c>
      <c r="K135" s="13" t="s">
        <v>372</v>
      </c>
      <c r="L135" s="14" t="s">
        <v>667</v>
      </c>
      <c r="M135" s="14">
        <v>181</v>
      </c>
      <c r="N135" s="14">
        <v>141</v>
      </c>
      <c r="O135" s="65"/>
      <c r="P135" s="65"/>
      <c r="Q135" s="14"/>
    </row>
    <row r="136" spans="1:17" ht="22.5" x14ac:dyDescent="0.25">
      <c r="A136" s="11" t="s">
        <v>5254</v>
      </c>
      <c r="C136" s="61" t="s">
        <v>1892</v>
      </c>
      <c r="F136" s="14" t="s">
        <v>874</v>
      </c>
      <c r="G136" s="13">
        <v>78</v>
      </c>
      <c r="H136" s="14">
        <f t="shared" si="20"/>
        <v>78</v>
      </c>
      <c r="J136" s="14">
        <v>29</v>
      </c>
      <c r="K136" s="13" t="s">
        <v>5427</v>
      </c>
      <c r="Q136" s="14"/>
    </row>
    <row r="137" spans="1:17" x14ac:dyDescent="0.25">
      <c r="A137" s="11" t="s">
        <v>5254</v>
      </c>
      <c r="C137" s="61" t="s">
        <v>5291</v>
      </c>
      <c r="F137" s="14" t="s">
        <v>874</v>
      </c>
      <c r="G137" s="13">
        <v>1</v>
      </c>
      <c r="H137" s="14">
        <f t="shared" ref="H137" si="21">G137+I137</f>
        <v>1</v>
      </c>
      <c r="J137" s="14">
        <v>1</v>
      </c>
      <c r="K137" s="13" t="s">
        <v>217</v>
      </c>
      <c r="Q137" s="14"/>
    </row>
    <row r="138" spans="1:17" x14ac:dyDescent="0.25">
      <c r="A138" s="11" t="s">
        <v>5254</v>
      </c>
      <c r="C138" s="61" t="s">
        <v>489</v>
      </c>
      <c r="F138" s="14" t="s">
        <v>874</v>
      </c>
      <c r="G138" s="13">
        <v>1</v>
      </c>
      <c r="H138" s="14">
        <f t="shared" si="20"/>
        <v>1</v>
      </c>
      <c r="J138" s="14">
        <v>1</v>
      </c>
      <c r="K138" s="13" t="s">
        <v>4889</v>
      </c>
      <c r="Q138" s="14"/>
    </row>
    <row r="139" spans="1:17" x14ac:dyDescent="0.25">
      <c r="A139" s="11" t="s">
        <v>5254</v>
      </c>
      <c r="C139" s="61" t="s">
        <v>679</v>
      </c>
      <c r="F139" s="14" t="s">
        <v>11</v>
      </c>
      <c r="G139" s="13">
        <v>9</v>
      </c>
      <c r="H139" s="14">
        <f t="shared" si="20"/>
        <v>9</v>
      </c>
      <c r="J139" s="14">
        <v>8</v>
      </c>
      <c r="K139" s="13" t="s">
        <v>5353</v>
      </c>
      <c r="Q139" s="14"/>
    </row>
    <row r="140" spans="1:17" x14ac:dyDescent="0.25">
      <c r="A140" s="11" t="s">
        <v>5254</v>
      </c>
      <c r="C140" s="61" t="s">
        <v>265</v>
      </c>
      <c r="F140" s="14" t="s">
        <v>874</v>
      </c>
      <c r="G140" s="13">
        <v>2</v>
      </c>
      <c r="H140" s="14">
        <f t="shared" si="20"/>
        <v>2</v>
      </c>
      <c r="J140" s="14">
        <v>2</v>
      </c>
      <c r="K140" s="13" t="s">
        <v>5352</v>
      </c>
      <c r="Q140" s="14"/>
    </row>
    <row r="141" spans="1:17" x14ac:dyDescent="0.25">
      <c r="A141" s="11" t="s">
        <v>5254</v>
      </c>
      <c r="C141" s="61" t="s">
        <v>303</v>
      </c>
      <c r="F141" s="14" t="s">
        <v>11</v>
      </c>
      <c r="G141" s="13">
        <v>1</v>
      </c>
      <c r="H141" s="14">
        <f t="shared" si="20"/>
        <v>1</v>
      </c>
      <c r="J141" s="14">
        <v>1</v>
      </c>
      <c r="K141" s="13" t="s">
        <v>459</v>
      </c>
      <c r="Q141" s="14"/>
    </row>
    <row r="142" spans="1:17" x14ac:dyDescent="0.25">
      <c r="A142" s="11" t="s">
        <v>5254</v>
      </c>
      <c r="C142" s="61" t="s">
        <v>302</v>
      </c>
      <c r="F142" s="14" t="s">
        <v>35</v>
      </c>
      <c r="G142" s="13">
        <v>4</v>
      </c>
      <c r="H142" s="14">
        <f t="shared" si="20"/>
        <v>4</v>
      </c>
      <c r="J142" s="14">
        <v>4</v>
      </c>
      <c r="K142" s="13" t="s">
        <v>5292</v>
      </c>
      <c r="Q142" s="14"/>
    </row>
    <row r="143" spans="1:17" x14ac:dyDescent="0.25">
      <c r="A143" s="11" t="s">
        <v>5254</v>
      </c>
      <c r="C143" s="61" t="s">
        <v>680</v>
      </c>
      <c r="F143" s="14" t="s">
        <v>35</v>
      </c>
      <c r="G143" s="13">
        <v>1</v>
      </c>
      <c r="H143" s="14">
        <f t="shared" si="20"/>
        <v>1</v>
      </c>
      <c r="J143" s="14">
        <v>1</v>
      </c>
      <c r="K143" s="13" t="s">
        <v>204</v>
      </c>
      <c r="Q143" s="14"/>
    </row>
    <row r="144" spans="1:17" ht="22.5" x14ac:dyDescent="0.25">
      <c r="A144" s="11" t="s">
        <v>5254</v>
      </c>
      <c r="B144" s="13" t="s">
        <v>532</v>
      </c>
      <c r="C144" s="61" t="s">
        <v>1385</v>
      </c>
      <c r="F144" s="14" t="s">
        <v>11</v>
      </c>
      <c r="G144" s="13">
        <v>1</v>
      </c>
      <c r="H144" s="14">
        <f t="shared" si="20"/>
        <v>1</v>
      </c>
      <c r="J144" s="14">
        <v>1</v>
      </c>
      <c r="K144" s="13" t="s">
        <v>5384</v>
      </c>
      <c r="Q144" s="14"/>
    </row>
    <row r="145" spans="1:17" ht="22.5" x14ac:dyDescent="0.25">
      <c r="A145" s="11" t="s">
        <v>5254</v>
      </c>
      <c r="B145" s="13" t="s">
        <v>532</v>
      </c>
      <c r="C145" s="61" t="s">
        <v>5403</v>
      </c>
      <c r="D145" s="13" t="s">
        <v>5404</v>
      </c>
      <c r="F145" s="14" t="s">
        <v>11</v>
      </c>
      <c r="G145" s="13">
        <v>1</v>
      </c>
      <c r="H145" s="14">
        <f t="shared" ref="H145" si="22">G145+I145</f>
        <v>1</v>
      </c>
      <c r="J145" s="14">
        <v>1</v>
      </c>
      <c r="K145" s="13" t="s">
        <v>3377</v>
      </c>
      <c r="Q145" s="14"/>
    </row>
    <row r="146" spans="1:17" x14ac:dyDescent="0.25">
      <c r="A146" s="11" t="s">
        <v>5254</v>
      </c>
      <c r="B146" s="13" t="s">
        <v>411</v>
      </c>
      <c r="D146" s="13" t="s">
        <v>1940</v>
      </c>
      <c r="F146" s="14" t="s">
        <v>11</v>
      </c>
      <c r="G146" s="13">
        <v>1</v>
      </c>
      <c r="H146" s="14">
        <f t="shared" si="20"/>
        <v>1</v>
      </c>
      <c r="J146" s="14">
        <v>1</v>
      </c>
      <c r="K146" s="13" t="s">
        <v>733</v>
      </c>
      <c r="Q146" s="14"/>
    </row>
    <row r="147" spans="1:17" x14ac:dyDescent="0.25">
      <c r="A147" s="11" t="s">
        <v>5254</v>
      </c>
      <c r="B147" s="13" t="s">
        <v>297</v>
      </c>
      <c r="D147" s="13" t="s">
        <v>1940</v>
      </c>
      <c r="F147" s="14" t="s">
        <v>11</v>
      </c>
      <c r="G147" s="13">
        <v>1</v>
      </c>
      <c r="H147" s="14">
        <f t="shared" si="20"/>
        <v>1</v>
      </c>
      <c r="J147" s="14">
        <v>1</v>
      </c>
      <c r="K147" s="13" t="s">
        <v>456</v>
      </c>
      <c r="Q147" s="14"/>
    </row>
    <row r="148" spans="1:17" x14ac:dyDescent="0.25">
      <c r="A148" s="11" t="s">
        <v>5254</v>
      </c>
      <c r="B148" s="13" t="s">
        <v>297</v>
      </c>
      <c r="C148" s="61" t="s">
        <v>5402</v>
      </c>
      <c r="F148" s="14" t="s">
        <v>11</v>
      </c>
      <c r="G148" s="13">
        <v>1</v>
      </c>
      <c r="H148" s="14">
        <f t="shared" ref="H148" si="23">G148+I148</f>
        <v>1</v>
      </c>
      <c r="J148" s="14">
        <v>1</v>
      </c>
      <c r="K148" s="13" t="s">
        <v>3377</v>
      </c>
      <c r="Q148" s="14"/>
    </row>
    <row r="149" spans="1:17" x14ac:dyDescent="0.25">
      <c r="A149" s="11" t="s">
        <v>5254</v>
      </c>
      <c r="B149" s="13" t="s">
        <v>5447</v>
      </c>
      <c r="C149" s="61" t="s">
        <v>2365</v>
      </c>
      <c r="F149" s="14" t="s">
        <v>11</v>
      </c>
      <c r="G149" s="13">
        <v>1</v>
      </c>
      <c r="H149" s="14">
        <f t="shared" si="20"/>
        <v>1</v>
      </c>
      <c r="J149" s="14">
        <v>1</v>
      </c>
      <c r="K149" s="13" t="s">
        <v>3385</v>
      </c>
      <c r="Q149" s="14"/>
    </row>
    <row r="150" spans="1:17" x14ac:dyDescent="0.25">
      <c r="A150" s="11" t="s">
        <v>5254</v>
      </c>
      <c r="B150" s="13" t="s">
        <v>76</v>
      </c>
      <c r="C150" s="61" t="s">
        <v>281</v>
      </c>
      <c r="F150" s="14" t="s">
        <v>11</v>
      </c>
      <c r="G150" s="13">
        <v>1</v>
      </c>
      <c r="H150" s="14">
        <f>G150+I150</f>
        <v>1</v>
      </c>
      <c r="J150" s="14">
        <v>1</v>
      </c>
      <c r="K150" s="13" t="s">
        <v>1092</v>
      </c>
      <c r="Q150" s="14"/>
    </row>
    <row r="151" spans="1:17" x14ac:dyDescent="0.25">
      <c r="A151" s="11" t="s">
        <v>5254</v>
      </c>
      <c r="B151" s="13" t="s">
        <v>76</v>
      </c>
      <c r="D151" s="13" t="s">
        <v>1940</v>
      </c>
      <c r="F151" s="14" t="s">
        <v>11</v>
      </c>
      <c r="G151" s="13">
        <v>3</v>
      </c>
      <c r="H151" s="14">
        <f t="shared" si="20"/>
        <v>3</v>
      </c>
      <c r="J151" s="14">
        <v>3</v>
      </c>
      <c r="K151" s="13" t="s">
        <v>5355</v>
      </c>
      <c r="Q151" s="14"/>
    </row>
    <row r="152" spans="1:17" x14ac:dyDescent="0.25">
      <c r="A152" s="11" t="s">
        <v>5254</v>
      </c>
      <c r="B152" s="13" t="s">
        <v>76</v>
      </c>
      <c r="C152" s="61" t="s">
        <v>5262</v>
      </c>
      <c r="E152" s="14" t="s">
        <v>330</v>
      </c>
      <c r="F152" s="14" t="s">
        <v>11</v>
      </c>
      <c r="G152" s="13">
        <v>1</v>
      </c>
      <c r="H152" s="14">
        <f t="shared" ref="H152" si="24">G152+I152</f>
        <v>1</v>
      </c>
      <c r="J152" s="14">
        <v>1</v>
      </c>
      <c r="K152" s="13" t="s">
        <v>979</v>
      </c>
      <c r="Q152" s="14"/>
    </row>
    <row r="153" spans="1:17" x14ac:dyDescent="0.25">
      <c r="A153" s="11" t="s">
        <v>5254</v>
      </c>
      <c r="B153" s="13" t="s">
        <v>1424</v>
      </c>
      <c r="C153" s="61" t="s">
        <v>5439</v>
      </c>
      <c r="F153" s="14" t="s">
        <v>11</v>
      </c>
      <c r="G153" s="13">
        <v>1</v>
      </c>
      <c r="H153" s="14">
        <f t="shared" ref="H153" si="25">G153+I153</f>
        <v>1</v>
      </c>
      <c r="J153" s="14">
        <v>1</v>
      </c>
      <c r="K153" s="13" t="s">
        <v>5440</v>
      </c>
      <c r="Q153" s="14"/>
    </row>
    <row r="154" spans="1:17" x14ac:dyDescent="0.25">
      <c r="A154" s="11" t="s">
        <v>5254</v>
      </c>
      <c r="B154" s="13" t="s">
        <v>213</v>
      </c>
      <c r="D154" s="13" t="s">
        <v>1940</v>
      </c>
      <c r="F154" s="14" t="s">
        <v>11</v>
      </c>
      <c r="G154" s="13">
        <v>1</v>
      </c>
      <c r="H154" s="14">
        <f>G154+I154</f>
        <v>1</v>
      </c>
      <c r="J154" s="14">
        <v>1</v>
      </c>
      <c r="K154" s="13" t="s">
        <v>264</v>
      </c>
      <c r="Q154" s="14"/>
    </row>
    <row r="155" spans="1:17" x14ac:dyDescent="0.25">
      <c r="A155" s="11" t="s">
        <v>5254</v>
      </c>
      <c r="B155" s="13" t="s">
        <v>42</v>
      </c>
      <c r="C155" s="61" t="s">
        <v>42</v>
      </c>
      <c r="D155" s="13" t="s">
        <v>1940</v>
      </c>
      <c r="F155" s="14" t="s">
        <v>11</v>
      </c>
      <c r="G155" s="13">
        <v>8</v>
      </c>
      <c r="H155" s="14">
        <f t="shared" si="20"/>
        <v>8</v>
      </c>
      <c r="J155" s="14">
        <v>6</v>
      </c>
      <c r="K155" s="13" t="s">
        <v>5354</v>
      </c>
      <c r="Q155" s="14"/>
    </row>
    <row r="156" spans="1:17" x14ac:dyDescent="0.25">
      <c r="A156" s="11" t="s">
        <v>5254</v>
      </c>
      <c r="B156" s="13" t="s">
        <v>42</v>
      </c>
      <c r="C156" s="61" t="s">
        <v>1625</v>
      </c>
      <c r="F156" s="14" t="s">
        <v>11</v>
      </c>
      <c r="G156" s="13"/>
      <c r="H156" s="14">
        <f t="shared" si="20"/>
        <v>1</v>
      </c>
      <c r="I156" s="14">
        <v>1</v>
      </c>
      <c r="J156" s="14">
        <v>1</v>
      </c>
      <c r="K156" s="13" t="s">
        <v>476</v>
      </c>
      <c r="Q156" s="14"/>
    </row>
    <row r="157" spans="1:17" x14ac:dyDescent="0.25">
      <c r="A157" s="11" t="s">
        <v>5254</v>
      </c>
      <c r="B157" s="13" t="s">
        <v>42</v>
      </c>
      <c r="C157" s="61" t="s">
        <v>5323</v>
      </c>
      <c r="F157" s="14" t="s">
        <v>11</v>
      </c>
      <c r="G157" s="13">
        <v>2</v>
      </c>
      <c r="H157" s="14">
        <f t="shared" ref="H157" si="26">G157+I157</f>
        <v>2</v>
      </c>
      <c r="J157" s="14">
        <v>1</v>
      </c>
      <c r="K157" s="13" t="s">
        <v>459</v>
      </c>
      <c r="Q157" s="14"/>
    </row>
    <row r="158" spans="1:17" x14ac:dyDescent="0.25">
      <c r="A158" s="11" t="s">
        <v>5254</v>
      </c>
      <c r="B158" s="13" t="s">
        <v>42</v>
      </c>
      <c r="E158" s="14" t="s">
        <v>323</v>
      </c>
      <c r="F158" s="14" t="s">
        <v>11</v>
      </c>
      <c r="G158" s="13">
        <v>3</v>
      </c>
      <c r="H158" s="14">
        <f t="shared" si="20"/>
        <v>3</v>
      </c>
      <c r="J158" s="14">
        <v>1</v>
      </c>
      <c r="K158" s="13" t="s">
        <v>459</v>
      </c>
      <c r="Q158" s="14"/>
    </row>
    <row r="159" spans="1:17" x14ac:dyDescent="0.25">
      <c r="A159" s="11" t="s">
        <v>5254</v>
      </c>
      <c r="B159" s="13" t="s">
        <v>42</v>
      </c>
      <c r="C159" s="61" t="s">
        <v>299</v>
      </c>
      <c r="E159" s="14" t="s">
        <v>300</v>
      </c>
      <c r="F159" s="14" t="s">
        <v>11</v>
      </c>
      <c r="G159" s="13">
        <v>1</v>
      </c>
      <c r="H159" s="14">
        <f t="shared" si="20"/>
        <v>1</v>
      </c>
      <c r="J159" s="14">
        <v>1</v>
      </c>
      <c r="K159" s="13" t="s">
        <v>502</v>
      </c>
      <c r="Q159" s="14"/>
    </row>
    <row r="160" spans="1:17" x14ac:dyDescent="0.25">
      <c r="A160" s="11" t="s">
        <v>5254</v>
      </c>
      <c r="B160" s="13" t="s">
        <v>10</v>
      </c>
      <c r="D160" s="13" t="s">
        <v>1940</v>
      </c>
      <c r="E160" s="14" t="s">
        <v>326</v>
      </c>
      <c r="F160" s="14" t="s">
        <v>11</v>
      </c>
      <c r="G160" s="13">
        <v>1</v>
      </c>
      <c r="H160" s="14">
        <f t="shared" si="20"/>
        <v>1</v>
      </c>
      <c r="J160" s="14">
        <v>1</v>
      </c>
      <c r="K160" s="13" t="s">
        <v>240</v>
      </c>
      <c r="Q160" s="14"/>
    </row>
    <row r="161" spans="1:17" x14ac:dyDescent="0.25">
      <c r="A161" s="11" t="s">
        <v>5254</v>
      </c>
      <c r="B161" s="13" t="s">
        <v>10</v>
      </c>
      <c r="C161" s="61" t="s">
        <v>5293</v>
      </c>
      <c r="F161" s="14" t="s">
        <v>11</v>
      </c>
      <c r="G161" s="13">
        <v>2</v>
      </c>
      <c r="H161" s="14">
        <f t="shared" ref="H161" si="27">G161+I161</f>
        <v>2</v>
      </c>
      <c r="J161" s="14">
        <v>2</v>
      </c>
      <c r="K161" s="13" t="s">
        <v>5356</v>
      </c>
      <c r="Q161" s="14"/>
    </row>
    <row r="162" spans="1:17" x14ac:dyDescent="0.25">
      <c r="A162" s="11" t="s">
        <v>5254</v>
      </c>
      <c r="B162" s="13" t="s">
        <v>126</v>
      </c>
      <c r="D162" s="13" t="s">
        <v>1940</v>
      </c>
      <c r="F162" s="14" t="s">
        <v>11</v>
      </c>
      <c r="G162" s="13">
        <v>1</v>
      </c>
      <c r="H162" s="14">
        <f t="shared" ref="H162:H173" si="28">G162+I162</f>
        <v>1</v>
      </c>
      <c r="J162" s="14">
        <v>1</v>
      </c>
      <c r="K162" s="13" t="s">
        <v>414</v>
      </c>
      <c r="Q162" s="14"/>
    </row>
    <row r="163" spans="1:17" x14ac:dyDescent="0.25">
      <c r="A163" s="11" t="s">
        <v>5254</v>
      </c>
      <c r="B163" s="13" t="s">
        <v>126</v>
      </c>
      <c r="C163" s="61" t="s">
        <v>1584</v>
      </c>
      <c r="E163" s="14" t="s">
        <v>1137</v>
      </c>
      <c r="F163" s="14" t="s">
        <v>11</v>
      </c>
      <c r="G163" s="13">
        <v>1</v>
      </c>
      <c r="H163" s="14">
        <f t="shared" si="28"/>
        <v>1</v>
      </c>
      <c r="J163" s="14">
        <v>1</v>
      </c>
      <c r="K163" s="13" t="s">
        <v>502</v>
      </c>
      <c r="Q163" s="14"/>
    </row>
    <row r="164" spans="1:17" x14ac:dyDescent="0.25">
      <c r="A164" s="11" t="s">
        <v>5254</v>
      </c>
      <c r="B164" s="13" t="s">
        <v>191</v>
      </c>
      <c r="D164" s="13" t="s">
        <v>1940</v>
      </c>
      <c r="F164" s="14" t="s">
        <v>11</v>
      </c>
      <c r="G164" s="13">
        <v>1</v>
      </c>
      <c r="H164" s="14">
        <f t="shared" si="28"/>
        <v>1</v>
      </c>
      <c r="J164" s="14">
        <v>1</v>
      </c>
      <c r="K164" s="13" t="s">
        <v>358</v>
      </c>
      <c r="Q164" s="14"/>
    </row>
    <row r="165" spans="1:17" x14ac:dyDescent="0.25">
      <c r="A165" s="11" t="s">
        <v>5254</v>
      </c>
      <c r="B165" s="13" t="s">
        <v>191</v>
      </c>
      <c r="C165" s="61" t="s">
        <v>5324</v>
      </c>
      <c r="F165" s="14" t="s">
        <v>11</v>
      </c>
      <c r="G165" s="13">
        <v>1</v>
      </c>
      <c r="H165" s="14">
        <f t="shared" ref="H165" si="29">G165+I165</f>
        <v>1</v>
      </c>
      <c r="J165" s="14">
        <v>1</v>
      </c>
      <c r="K165" s="13" t="s">
        <v>459</v>
      </c>
      <c r="Q165" s="14"/>
    </row>
    <row r="166" spans="1:17" x14ac:dyDescent="0.25">
      <c r="A166" s="11" t="s">
        <v>5254</v>
      </c>
      <c r="B166" s="13" t="s">
        <v>191</v>
      </c>
      <c r="C166" s="61" t="s">
        <v>43</v>
      </c>
      <c r="E166" s="14" t="s">
        <v>43</v>
      </c>
      <c r="F166" s="14" t="s">
        <v>11</v>
      </c>
      <c r="G166" s="13">
        <v>2</v>
      </c>
      <c r="H166" s="14">
        <f t="shared" si="28"/>
        <v>2</v>
      </c>
      <c r="J166" s="14">
        <v>2</v>
      </c>
      <c r="K166" s="13" t="s">
        <v>5350</v>
      </c>
      <c r="Q166" s="14"/>
    </row>
    <row r="167" spans="1:17" x14ac:dyDescent="0.25">
      <c r="A167" s="11" t="s">
        <v>5254</v>
      </c>
      <c r="B167" s="13" t="s">
        <v>191</v>
      </c>
      <c r="C167" s="61" t="s">
        <v>3915</v>
      </c>
      <c r="F167" s="14" t="s">
        <v>11</v>
      </c>
      <c r="G167" s="13">
        <v>2</v>
      </c>
      <c r="H167" s="14">
        <f>G167+I167</f>
        <v>2</v>
      </c>
      <c r="J167" s="14">
        <v>2</v>
      </c>
      <c r="K167" s="13" t="s">
        <v>5445</v>
      </c>
      <c r="Q167" s="14"/>
    </row>
    <row r="168" spans="1:17" x14ac:dyDescent="0.25">
      <c r="A168" s="11" t="s">
        <v>5254</v>
      </c>
      <c r="B168" s="13" t="s">
        <v>191</v>
      </c>
      <c r="C168" s="61" t="s">
        <v>5418</v>
      </c>
      <c r="F168" s="14" t="s">
        <v>11</v>
      </c>
      <c r="G168" s="13">
        <v>1</v>
      </c>
      <c r="H168" s="14">
        <f t="shared" ref="H168" si="30">G168+I168</f>
        <v>1</v>
      </c>
      <c r="J168" s="14">
        <v>1</v>
      </c>
      <c r="K168" s="13" t="s">
        <v>5412</v>
      </c>
      <c r="Q168" s="14"/>
    </row>
    <row r="169" spans="1:17" x14ac:dyDescent="0.25">
      <c r="A169" s="11" t="s">
        <v>5254</v>
      </c>
      <c r="B169" s="13" t="s">
        <v>191</v>
      </c>
      <c r="C169" s="61" t="s">
        <v>2534</v>
      </c>
      <c r="F169" s="14" t="s">
        <v>11</v>
      </c>
      <c r="G169" s="13">
        <v>1</v>
      </c>
      <c r="H169" s="14">
        <f t="shared" si="28"/>
        <v>1</v>
      </c>
      <c r="J169" s="14">
        <v>1</v>
      </c>
      <c r="K169" s="13" t="s">
        <v>459</v>
      </c>
      <c r="Q169" s="14"/>
    </row>
    <row r="170" spans="1:17" x14ac:dyDescent="0.25">
      <c r="A170" s="11" t="s">
        <v>5254</v>
      </c>
      <c r="B170" s="13" t="s">
        <v>191</v>
      </c>
      <c r="C170" s="61" t="s">
        <v>5323</v>
      </c>
      <c r="D170" s="13" t="s">
        <v>1940</v>
      </c>
      <c r="E170" s="14" t="s">
        <v>43</v>
      </c>
      <c r="F170" s="14" t="s">
        <v>11</v>
      </c>
      <c r="G170" s="13">
        <v>5</v>
      </c>
      <c r="H170" s="14">
        <f>G170+I170</f>
        <v>5</v>
      </c>
      <c r="J170" s="14">
        <v>4</v>
      </c>
      <c r="K170" s="13" t="s">
        <v>5322</v>
      </c>
      <c r="Q170" s="14"/>
    </row>
    <row r="171" spans="1:17" x14ac:dyDescent="0.25">
      <c r="A171" s="11" t="s">
        <v>5254</v>
      </c>
      <c r="B171" s="13" t="s">
        <v>68</v>
      </c>
      <c r="C171" s="61" t="s">
        <v>68</v>
      </c>
      <c r="D171" s="13" t="s">
        <v>1940</v>
      </c>
      <c r="F171" s="14" t="s">
        <v>11</v>
      </c>
      <c r="G171" s="13">
        <v>13</v>
      </c>
      <c r="H171" s="14">
        <f t="shared" si="28"/>
        <v>13</v>
      </c>
      <c r="J171" s="14">
        <v>12</v>
      </c>
      <c r="K171" s="13" t="s">
        <v>5438</v>
      </c>
      <c r="Q171" s="14"/>
    </row>
    <row r="172" spans="1:17" x14ac:dyDescent="0.25">
      <c r="A172" s="11" t="s">
        <v>5254</v>
      </c>
      <c r="B172" s="13" t="s">
        <v>68</v>
      </c>
      <c r="C172" s="61" t="s">
        <v>4399</v>
      </c>
      <c r="F172" s="14" t="s">
        <v>11</v>
      </c>
      <c r="G172" s="13">
        <v>1</v>
      </c>
      <c r="H172" s="14">
        <f t="shared" si="28"/>
        <v>1</v>
      </c>
      <c r="J172" s="14">
        <v>1</v>
      </c>
      <c r="K172" s="13" t="s">
        <v>494</v>
      </c>
      <c r="Q172" s="14"/>
    </row>
    <row r="173" spans="1:17" x14ac:dyDescent="0.25">
      <c r="A173" s="11" t="s">
        <v>5254</v>
      </c>
      <c r="B173" s="13" t="s">
        <v>68</v>
      </c>
      <c r="C173" s="61" t="s">
        <v>864</v>
      </c>
      <c r="F173" s="14" t="s">
        <v>11</v>
      </c>
      <c r="G173" s="13">
        <v>1</v>
      </c>
      <c r="H173" s="14">
        <f t="shared" si="28"/>
        <v>1</v>
      </c>
      <c r="J173" s="14">
        <v>1</v>
      </c>
      <c r="K173" s="13" t="s">
        <v>502</v>
      </c>
      <c r="Q173" s="14"/>
    </row>
    <row r="174" spans="1:17" x14ac:dyDescent="0.25">
      <c r="A174" s="11" t="s">
        <v>5254</v>
      </c>
      <c r="B174" s="13" t="s">
        <v>68</v>
      </c>
      <c r="C174" s="61" t="s">
        <v>5399</v>
      </c>
      <c r="D174" s="13" t="s">
        <v>5400</v>
      </c>
      <c r="F174" s="14" t="s">
        <v>11</v>
      </c>
      <c r="G174" s="13">
        <v>1</v>
      </c>
      <c r="H174" s="14">
        <f t="shared" ref="H174" si="31">G174+I174</f>
        <v>1</v>
      </c>
      <c r="J174" s="14">
        <v>1</v>
      </c>
      <c r="K174" s="13" t="s">
        <v>3377</v>
      </c>
      <c r="Q174" s="14"/>
    </row>
    <row r="175" spans="1:17" x14ac:dyDescent="0.25">
      <c r="A175" s="11" t="s">
        <v>5254</v>
      </c>
      <c r="B175" s="13" t="s">
        <v>68</v>
      </c>
      <c r="C175" s="61" t="s">
        <v>5300</v>
      </c>
      <c r="F175" s="14" t="s">
        <v>11</v>
      </c>
      <c r="G175" s="13">
        <v>1</v>
      </c>
      <c r="H175" s="14">
        <f>G175+I175</f>
        <v>1</v>
      </c>
      <c r="J175" s="14">
        <v>1</v>
      </c>
      <c r="K175" s="13" t="s">
        <v>322</v>
      </c>
      <c r="Q175" s="14"/>
    </row>
    <row r="176" spans="1:17" x14ac:dyDescent="0.25">
      <c r="A176" s="11" t="s">
        <v>5254</v>
      </c>
      <c r="B176" s="13" t="s">
        <v>68</v>
      </c>
      <c r="C176" s="61" t="s">
        <v>5411</v>
      </c>
      <c r="F176" s="14" t="s">
        <v>11</v>
      </c>
      <c r="G176" s="13"/>
      <c r="H176" s="14">
        <f>G176+I176</f>
        <v>1</v>
      </c>
      <c r="I176" s="14">
        <v>1</v>
      </c>
      <c r="J176" s="14">
        <v>1</v>
      </c>
      <c r="K176" s="13" t="s">
        <v>5412</v>
      </c>
      <c r="Q176" s="14"/>
    </row>
    <row r="177" spans="1:17" x14ac:dyDescent="0.25">
      <c r="A177" s="11" t="s">
        <v>5254</v>
      </c>
      <c r="B177" s="13" t="s">
        <v>68</v>
      </c>
      <c r="C177" s="61" t="s">
        <v>5335</v>
      </c>
      <c r="F177" s="14" t="s">
        <v>11</v>
      </c>
      <c r="G177" s="13">
        <v>2</v>
      </c>
      <c r="H177" s="14">
        <f t="shared" ref="H177" si="32">G177+I177</f>
        <v>2</v>
      </c>
      <c r="J177" s="14">
        <v>2</v>
      </c>
      <c r="K177" s="13" t="s">
        <v>5345</v>
      </c>
      <c r="Q177" s="14"/>
    </row>
    <row r="178" spans="1:17" ht="22.5" x14ac:dyDescent="0.25">
      <c r="A178" s="11" t="s">
        <v>5254</v>
      </c>
      <c r="B178" s="13" t="s">
        <v>68</v>
      </c>
      <c r="C178" s="61" t="s">
        <v>5344</v>
      </c>
      <c r="D178" s="13" t="s">
        <v>4500</v>
      </c>
      <c r="F178" s="14" t="s">
        <v>11</v>
      </c>
      <c r="G178" s="13">
        <v>5</v>
      </c>
      <c r="H178" s="14">
        <f t="shared" ref="H178" si="33">G178+I178</f>
        <v>5</v>
      </c>
      <c r="J178" s="14">
        <v>4</v>
      </c>
      <c r="K178" s="13" t="s">
        <v>5351</v>
      </c>
      <c r="Q178" s="14"/>
    </row>
    <row r="179" spans="1:17" x14ac:dyDescent="0.25">
      <c r="A179" s="11" t="s">
        <v>5254</v>
      </c>
      <c r="B179" s="13" t="s">
        <v>674</v>
      </c>
      <c r="C179" s="61" t="s">
        <v>5386</v>
      </c>
      <c r="D179" s="13" t="s">
        <v>5387</v>
      </c>
      <c r="F179" s="14" t="s">
        <v>11</v>
      </c>
      <c r="G179" s="13">
        <v>1</v>
      </c>
      <c r="H179" s="14">
        <f t="shared" ref="H179" si="34">G179+I179</f>
        <v>1</v>
      </c>
      <c r="J179" s="14">
        <v>1</v>
      </c>
      <c r="K179" s="13" t="s">
        <v>5380</v>
      </c>
      <c r="Q179" s="14"/>
    </row>
    <row r="180" spans="1:17" x14ac:dyDescent="0.25">
      <c r="A180" s="11" t="s">
        <v>5254</v>
      </c>
      <c r="B180" s="13" t="s">
        <v>674</v>
      </c>
      <c r="C180" s="61" t="s">
        <v>5388</v>
      </c>
      <c r="D180" s="13" t="s">
        <v>5387</v>
      </c>
      <c r="F180" s="14" t="s">
        <v>11</v>
      </c>
      <c r="G180" s="13">
        <v>1</v>
      </c>
      <c r="H180" s="14">
        <f t="shared" ref="H180" si="35">G180+I180</f>
        <v>1</v>
      </c>
      <c r="J180" s="14">
        <v>1</v>
      </c>
      <c r="K180" s="13" t="s">
        <v>5380</v>
      </c>
      <c r="Q180" s="14"/>
    </row>
    <row r="181" spans="1:17" x14ac:dyDescent="0.25">
      <c r="A181" s="11" t="s">
        <v>5254</v>
      </c>
      <c r="B181" s="13" t="s">
        <v>327</v>
      </c>
      <c r="C181" s="61" t="s">
        <v>282</v>
      </c>
      <c r="D181" s="13" t="s">
        <v>1940</v>
      </c>
      <c r="F181" s="14" t="s">
        <v>11</v>
      </c>
      <c r="G181" s="13">
        <v>2</v>
      </c>
      <c r="H181" s="14">
        <f>G181+I181</f>
        <v>2</v>
      </c>
      <c r="J181" s="14">
        <v>2</v>
      </c>
      <c r="K181" s="13" t="s">
        <v>5357</v>
      </c>
      <c r="Q181" s="14"/>
    </row>
    <row r="182" spans="1:17" x14ac:dyDescent="0.25">
      <c r="A182" s="11" t="s">
        <v>5254</v>
      </c>
      <c r="B182" s="13" t="s">
        <v>327</v>
      </c>
      <c r="C182" s="61" t="s">
        <v>566</v>
      </c>
      <c r="F182" s="14" t="s">
        <v>11</v>
      </c>
      <c r="G182" s="13">
        <v>1</v>
      </c>
      <c r="H182" s="14">
        <f>G182+I182</f>
        <v>1</v>
      </c>
      <c r="J182" s="14">
        <v>1</v>
      </c>
      <c r="K182" s="13" t="s">
        <v>240</v>
      </c>
      <c r="Q182" s="14"/>
    </row>
    <row r="183" spans="1:17" x14ac:dyDescent="0.25">
      <c r="A183" s="11" t="s">
        <v>5254</v>
      </c>
      <c r="B183" s="13" t="s">
        <v>327</v>
      </c>
      <c r="C183" s="61" t="s">
        <v>2204</v>
      </c>
      <c r="E183" s="14" t="s">
        <v>677</v>
      </c>
      <c r="F183" s="14" t="s">
        <v>11</v>
      </c>
      <c r="G183" s="13">
        <v>2</v>
      </c>
      <c r="H183" s="14">
        <f>G183+I183</f>
        <v>2</v>
      </c>
      <c r="J183" s="14">
        <v>2</v>
      </c>
      <c r="K183" s="13" t="s">
        <v>5299</v>
      </c>
      <c r="Q183" s="14"/>
    </row>
    <row r="184" spans="1:17" x14ac:dyDescent="0.25">
      <c r="A184" s="11" t="s">
        <v>5254</v>
      </c>
      <c r="B184" s="13" t="s">
        <v>2006</v>
      </c>
      <c r="D184" s="13" t="s">
        <v>1940</v>
      </c>
      <c r="F184" s="14" t="s">
        <v>11</v>
      </c>
      <c r="G184" s="13">
        <v>1</v>
      </c>
      <c r="H184" s="14">
        <f t="shared" ref="H184:H264" si="36">G184+I184</f>
        <v>1</v>
      </c>
      <c r="J184" s="14">
        <v>1</v>
      </c>
      <c r="K184" s="13" t="s">
        <v>494</v>
      </c>
      <c r="Q184" s="14"/>
    </row>
    <row r="185" spans="1:17" x14ac:dyDescent="0.25">
      <c r="A185" s="11" t="s">
        <v>5254</v>
      </c>
      <c r="B185" s="13" t="s">
        <v>3231</v>
      </c>
      <c r="C185" s="61" t="s">
        <v>5258</v>
      </c>
      <c r="F185" s="14" t="s">
        <v>11</v>
      </c>
      <c r="G185" s="13">
        <v>1</v>
      </c>
      <c r="H185" s="14">
        <f t="shared" ref="H185" si="37">G185+I185</f>
        <v>1</v>
      </c>
      <c r="J185" s="14">
        <v>1</v>
      </c>
      <c r="K185" s="13" t="s">
        <v>5259</v>
      </c>
      <c r="Q185" s="14"/>
    </row>
    <row r="186" spans="1:17" x14ac:dyDescent="0.25">
      <c r="A186" s="11" t="s">
        <v>5254</v>
      </c>
      <c r="B186" s="13" t="s">
        <v>209</v>
      </c>
      <c r="D186" s="13" t="s">
        <v>1940</v>
      </c>
      <c r="F186" s="14" t="s">
        <v>11</v>
      </c>
      <c r="G186" s="13">
        <v>1</v>
      </c>
      <c r="H186" s="14">
        <f t="shared" si="36"/>
        <v>1</v>
      </c>
      <c r="J186" s="14">
        <v>1</v>
      </c>
      <c r="K186" s="13" t="s">
        <v>309</v>
      </c>
      <c r="Q186" s="14"/>
    </row>
    <row r="187" spans="1:17" x14ac:dyDescent="0.25">
      <c r="A187" s="11" t="s">
        <v>5254</v>
      </c>
      <c r="B187" s="13" t="s">
        <v>209</v>
      </c>
      <c r="C187" s="61" t="s">
        <v>5446</v>
      </c>
      <c r="F187" s="14" t="s">
        <v>11</v>
      </c>
      <c r="G187" s="13">
        <v>1</v>
      </c>
      <c r="H187" s="14">
        <f t="shared" ref="H187" si="38">G187+I187</f>
        <v>1</v>
      </c>
      <c r="J187" s="14">
        <v>1</v>
      </c>
      <c r="K187" s="13" t="s">
        <v>5435</v>
      </c>
      <c r="Q187" s="14"/>
    </row>
    <row r="188" spans="1:17" x14ac:dyDescent="0.25">
      <c r="A188" s="11" t="s">
        <v>5254</v>
      </c>
      <c r="B188" s="13" t="s">
        <v>261</v>
      </c>
      <c r="D188" s="13" t="s">
        <v>1940</v>
      </c>
      <c r="F188" s="14" t="s">
        <v>11</v>
      </c>
      <c r="G188" s="13">
        <v>1</v>
      </c>
      <c r="H188" s="14">
        <f t="shared" ref="H188" si="39">G188+I188</f>
        <v>1</v>
      </c>
      <c r="J188" s="14">
        <v>1</v>
      </c>
      <c r="K188" s="13" t="s">
        <v>5412</v>
      </c>
      <c r="Q188" s="14"/>
    </row>
    <row r="189" spans="1:17" x14ac:dyDescent="0.25">
      <c r="A189" s="11" t="s">
        <v>5254</v>
      </c>
      <c r="B189" s="13" t="s">
        <v>261</v>
      </c>
      <c r="C189" s="61" t="s">
        <v>5425</v>
      </c>
      <c r="F189" s="14" t="s">
        <v>11</v>
      </c>
      <c r="G189" s="13">
        <v>1</v>
      </c>
      <c r="H189" s="14">
        <f t="shared" ref="H189:H190" si="40">G189+I189</f>
        <v>1</v>
      </c>
      <c r="J189" s="14">
        <v>1</v>
      </c>
      <c r="K189" s="13" t="s">
        <v>5426</v>
      </c>
      <c r="Q189" s="14"/>
    </row>
    <row r="190" spans="1:17" x14ac:dyDescent="0.25">
      <c r="A190" s="11" t="s">
        <v>5254</v>
      </c>
      <c r="B190" s="13" t="s">
        <v>261</v>
      </c>
      <c r="C190" s="61" t="s">
        <v>5444</v>
      </c>
      <c r="F190" s="14" t="s">
        <v>11</v>
      </c>
      <c r="G190" s="13">
        <v>2</v>
      </c>
      <c r="H190" s="14">
        <f t="shared" si="40"/>
        <v>2</v>
      </c>
      <c r="J190" s="14">
        <v>2</v>
      </c>
      <c r="K190" s="13" t="s">
        <v>5443</v>
      </c>
      <c r="Q190" s="14"/>
    </row>
    <row r="191" spans="1:17" x14ac:dyDescent="0.25">
      <c r="A191" s="11" t="s">
        <v>5254</v>
      </c>
      <c r="B191" s="13" t="s">
        <v>261</v>
      </c>
      <c r="C191" s="61" t="s">
        <v>2602</v>
      </c>
      <c r="F191" s="14" t="s">
        <v>11</v>
      </c>
      <c r="G191" s="13">
        <v>2</v>
      </c>
      <c r="H191" s="14">
        <f t="shared" ref="H191" si="41">G191+I191</f>
        <v>2</v>
      </c>
      <c r="J191" s="14">
        <v>2</v>
      </c>
      <c r="K191" s="13" t="s">
        <v>5443</v>
      </c>
      <c r="Q191" s="14"/>
    </row>
    <row r="192" spans="1:17" x14ac:dyDescent="0.25">
      <c r="A192" s="11" t="s">
        <v>5254</v>
      </c>
      <c r="B192" s="13" t="s">
        <v>4728</v>
      </c>
      <c r="C192" s="61" t="s">
        <v>5442</v>
      </c>
      <c r="F192" s="14" t="s">
        <v>11</v>
      </c>
      <c r="G192" s="13">
        <v>1</v>
      </c>
      <c r="H192" s="14">
        <f t="shared" si="36"/>
        <v>1</v>
      </c>
      <c r="J192" s="14">
        <v>1</v>
      </c>
      <c r="K192" s="13" t="s">
        <v>5440</v>
      </c>
      <c r="Q192" s="14"/>
    </row>
    <row r="193" spans="1:17" x14ac:dyDescent="0.25">
      <c r="A193" s="11" t="s">
        <v>5254</v>
      </c>
      <c r="B193" s="13" t="s">
        <v>4728</v>
      </c>
      <c r="C193" s="61" t="s">
        <v>5260</v>
      </c>
      <c r="F193" s="14" t="s">
        <v>11</v>
      </c>
      <c r="G193" s="13">
        <v>1</v>
      </c>
      <c r="H193" s="14">
        <f t="shared" ref="H193:H194" si="42">G193+I193</f>
        <v>1</v>
      </c>
      <c r="J193" s="14">
        <v>1</v>
      </c>
      <c r="K193" s="13" t="s">
        <v>5259</v>
      </c>
      <c r="Q193" s="14"/>
    </row>
    <row r="194" spans="1:17" x14ac:dyDescent="0.25">
      <c r="A194" s="11" t="s">
        <v>5254</v>
      </c>
      <c r="B194" s="13" t="s">
        <v>4728</v>
      </c>
      <c r="C194" s="61" t="s">
        <v>5261</v>
      </c>
      <c r="F194" s="14" t="s">
        <v>11</v>
      </c>
      <c r="G194" s="13">
        <v>1</v>
      </c>
      <c r="H194" s="14">
        <f t="shared" si="42"/>
        <v>1</v>
      </c>
      <c r="J194" s="14">
        <v>1</v>
      </c>
      <c r="K194" s="13" t="s">
        <v>5259</v>
      </c>
      <c r="Q194" s="14"/>
    </row>
    <row r="195" spans="1:17" x14ac:dyDescent="0.25">
      <c r="A195" s="11" t="s">
        <v>5254</v>
      </c>
      <c r="B195" s="13" t="s">
        <v>283</v>
      </c>
      <c r="C195" s="61" t="s">
        <v>475</v>
      </c>
      <c r="F195" s="14" t="s">
        <v>11</v>
      </c>
      <c r="G195" s="13">
        <v>1</v>
      </c>
      <c r="H195" s="14">
        <f>G195+I195</f>
        <v>1</v>
      </c>
      <c r="J195" s="14">
        <v>1</v>
      </c>
      <c r="K195" s="13" t="s">
        <v>5440</v>
      </c>
      <c r="Q195" s="14"/>
    </row>
    <row r="196" spans="1:17" x14ac:dyDescent="0.25">
      <c r="A196" s="11" t="s">
        <v>5254</v>
      </c>
      <c r="B196" s="13" t="s">
        <v>283</v>
      </c>
      <c r="C196" s="61" t="s">
        <v>5383</v>
      </c>
      <c r="D196" s="13" t="s">
        <v>5379</v>
      </c>
      <c r="F196" s="14" t="s">
        <v>11</v>
      </c>
      <c r="G196" s="13">
        <v>1</v>
      </c>
      <c r="H196" s="14">
        <f>G196+I196</f>
        <v>1</v>
      </c>
      <c r="J196" s="14">
        <v>1</v>
      </c>
      <c r="K196" s="13" t="s">
        <v>5384</v>
      </c>
      <c r="Q196" s="14"/>
    </row>
    <row r="197" spans="1:17" x14ac:dyDescent="0.25">
      <c r="A197" s="11" t="s">
        <v>5254</v>
      </c>
      <c r="B197" s="13" t="s">
        <v>283</v>
      </c>
      <c r="C197" s="61" t="s">
        <v>5385</v>
      </c>
      <c r="D197" s="13" t="s">
        <v>5379</v>
      </c>
      <c r="F197" s="14" t="s">
        <v>11</v>
      </c>
      <c r="G197" s="13">
        <v>1</v>
      </c>
      <c r="H197" s="14">
        <f>G197+I197</f>
        <v>1</v>
      </c>
      <c r="J197" s="14">
        <v>1</v>
      </c>
      <c r="K197" s="13" t="s">
        <v>5384</v>
      </c>
      <c r="Q197" s="14"/>
    </row>
    <row r="198" spans="1:17" x14ac:dyDescent="0.25">
      <c r="A198" s="11" t="s">
        <v>5254</v>
      </c>
      <c r="B198" s="13" t="s">
        <v>283</v>
      </c>
      <c r="C198" s="61" t="s">
        <v>5410</v>
      </c>
      <c r="F198" s="14" t="s">
        <v>11</v>
      </c>
      <c r="G198" s="13">
        <v>1</v>
      </c>
      <c r="H198" s="14">
        <f>G198+I198</f>
        <v>1</v>
      </c>
      <c r="J198" s="14">
        <v>1</v>
      </c>
      <c r="K198" s="13" t="s">
        <v>3377</v>
      </c>
      <c r="Q198" s="14"/>
    </row>
    <row r="199" spans="1:17" x14ac:dyDescent="0.25">
      <c r="A199" s="11" t="s">
        <v>5254</v>
      </c>
      <c r="B199" s="13" t="s">
        <v>1933</v>
      </c>
      <c r="D199" s="13" t="s">
        <v>1940</v>
      </c>
      <c r="F199" s="14" t="s">
        <v>11</v>
      </c>
      <c r="G199" s="13">
        <v>2</v>
      </c>
      <c r="H199" s="14">
        <f t="shared" si="36"/>
        <v>2</v>
      </c>
      <c r="J199" s="14">
        <v>2</v>
      </c>
      <c r="K199" s="13" t="s">
        <v>5340</v>
      </c>
      <c r="Q199" s="14"/>
    </row>
    <row r="200" spans="1:17" x14ac:dyDescent="0.25">
      <c r="A200" s="11" t="s">
        <v>5254</v>
      </c>
      <c r="B200" s="13" t="s">
        <v>328</v>
      </c>
      <c r="C200" s="61" t="s">
        <v>5436</v>
      </c>
      <c r="F200" s="14" t="s">
        <v>11</v>
      </c>
      <c r="G200" s="13">
        <v>1</v>
      </c>
      <c r="H200" s="14">
        <f t="shared" ref="H200" si="43">G200+I200</f>
        <v>1</v>
      </c>
      <c r="J200" s="14">
        <v>1</v>
      </c>
      <c r="K200" s="13" t="s">
        <v>5435</v>
      </c>
      <c r="Q200" s="14"/>
    </row>
    <row r="201" spans="1:17" x14ac:dyDescent="0.25">
      <c r="A201" s="11" t="s">
        <v>5254</v>
      </c>
      <c r="B201" s="13" t="s">
        <v>3201</v>
      </c>
      <c r="C201" s="61" t="s">
        <v>5264</v>
      </c>
      <c r="D201" s="13" t="s">
        <v>5263</v>
      </c>
      <c r="F201" s="14" t="s">
        <v>11</v>
      </c>
      <c r="G201" s="13">
        <v>1</v>
      </c>
      <c r="H201" s="14">
        <f t="shared" ref="H201" si="44">G201+I201</f>
        <v>1</v>
      </c>
      <c r="J201" s="14">
        <v>1</v>
      </c>
      <c r="K201" s="13" t="s">
        <v>979</v>
      </c>
      <c r="Q201" s="14"/>
    </row>
    <row r="202" spans="1:17" x14ac:dyDescent="0.25">
      <c r="A202" s="11" t="s">
        <v>5254</v>
      </c>
      <c r="B202" s="13" t="s">
        <v>3201</v>
      </c>
      <c r="C202" s="61" t="s">
        <v>5409</v>
      </c>
      <c r="F202" s="14" t="s">
        <v>11</v>
      </c>
      <c r="G202" s="13">
        <v>1</v>
      </c>
      <c r="H202" s="14">
        <f t="shared" ref="H202" si="45">G202+I202</f>
        <v>1</v>
      </c>
      <c r="J202" s="14">
        <v>1</v>
      </c>
      <c r="K202" s="13" t="s">
        <v>3377</v>
      </c>
      <c r="Q202" s="14"/>
    </row>
    <row r="203" spans="1:17" x14ac:dyDescent="0.25">
      <c r="A203" s="11" t="s">
        <v>5254</v>
      </c>
      <c r="B203" s="13" t="s">
        <v>2391</v>
      </c>
      <c r="C203" s="61" t="s">
        <v>4696</v>
      </c>
      <c r="F203" s="14" t="s">
        <v>11</v>
      </c>
      <c r="G203" s="13">
        <v>2</v>
      </c>
      <c r="H203" s="14">
        <f t="shared" ref="H203" si="46">G203+I203</f>
        <v>2</v>
      </c>
      <c r="J203" s="14">
        <v>2</v>
      </c>
      <c r="K203" s="13" t="s">
        <v>5433</v>
      </c>
      <c r="Q203" s="14"/>
    </row>
    <row r="204" spans="1:17" x14ac:dyDescent="0.25">
      <c r="A204" s="11" t="s">
        <v>5254</v>
      </c>
      <c r="B204" s="13" t="s">
        <v>2391</v>
      </c>
      <c r="C204" s="61" t="s">
        <v>5398</v>
      </c>
      <c r="F204" s="14" t="s">
        <v>11</v>
      </c>
      <c r="G204" s="13">
        <v>1</v>
      </c>
      <c r="H204" s="14">
        <f t="shared" si="36"/>
        <v>1</v>
      </c>
      <c r="J204" s="14">
        <v>1</v>
      </c>
      <c r="K204" s="13" t="s">
        <v>5397</v>
      </c>
      <c r="Q204" s="14"/>
    </row>
    <row r="205" spans="1:17" x14ac:dyDescent="0.25">
      <c r="A205" s="11" t="s">
        <v>5254</v>
      </c>
      <c r="B205" s="13" t="s">
        <v>2391</v>
      </c>
      <c r="C205" s="61" t="s">
        <v>5391</v>
      </c>
      <c r="D205" s="13" t="s">
        <v>5387</v>
      </c>
      <c r="F205" s="14" t="s">
        <v>11</v>
      </c>
      <c r="G205" s="13">
        <v>1</v>
      </c>
      <c r="H205" s="14">
        <f t="shared" si="36"/>
        <v>1</v>
      </c>
      <c r="J205" s="14">
        <v>1</v>
      </c>
      <c r="K205" s="13" t="s">
        <v>5384</v>
      </c>
      <c r="Q205" s="14"/>
    </row>
    <row r="206" spans="1:17" x14ac:dyDescent="0.25">
      <c r="A206" s="11" t="s">
        <v>5254</v>
      </c>
      <c r="B206" s="13" t="s">
        <v>2391</v>
      </c>
      <c r="C206" s="61" t="s">
        <v>5396</v>
      </c>
      <c r="F206" s="14" t="s">
        <v>11</v>
      </c>
      <c r="G206" s="13">
        <v>4</v>
      </c>
      <c r="H206" s="14">
        <f t="shared" ref="H206" si="47">G206+I206</f>
        <v>4</v>
      </c>
      <c r="J206" s="14">
        <v>1</v>
      </c>
      <c r="K206" s="13" t="s">
        <v>5397</v>
      </c>
      <c r="Q206" s="14"/>
    </row>
    <row r="207" spans="1:17" x14ac:dyDescent="0.25">
      <c r="A207" s="11" t="s">
        <v>5254</v>
      </c>
      <c r="B207" s="13" t="s">
        <v>2391</v>
      </c>
      <c r="C207" s="61" t="s">
        <v>5389</v>
      </c>
      <c r="D207" s="13" t="s">
        <v>5387</v>
      </c>
      <c r="F207" s="14" t="s">
        <v>11</v>
      </c>
      <c r="G207" s="13">
        <v>2</v>
      </c>
      <c r="H207" s="14">
        <f t="shared" ref="H207" si="48">G207+I207</f>
        <v>2</v>
      </c>
      <c r="J207" s="14">
        <v>2</v>
      </c>
      <c r="K207" s="13" t="s">
        <v>5401</v>
      </c>
      <c r="Q207" s="14"/>
    </row>
    <row r="208" spans="1:17" x14ac:dyDescent="0.25">
      <c r="A208" s="11" t="s">
        <v>5254</v>
      </c>
      <c r="B208" s="13" t="s">
        <v>2391</v>
      </c>
      <c r="C208" s="61" t="s">
        <v>5392</v>
      </c>
      <c r="D208" s="13" t="s">
        <v>5387</v>
      </c>
      <c r="F208" s="14" t="s">
        <v>11</v>
      </c>
      <c r="G208" s="13">
        <v>1</v>
      </c>
      <c r="H208" s="14">
        <f t="shared" ref="H208" si="49">G208+I208</f>
        <v>1</v>
      </c>
      <c r="J208" s="14">
        <v>1</v>
      </c>
      <c r="K208" s="13" t="s">
        <v>5384</v>
      </c>
      <c r="Q208" s="14"/>
    </row>
    <row r="209" spans="1:17" x14ac:dyDescent="0.25">
      <c r="A209" s="11" t="s">
        <v>5254</v>
      </c>
      <c r="B209" s="13" t="s">
        <v>2391</v>
      </c>
      <c r="C209" s="61" t="s">
        <v>4671</v>
      </c>
      <c r="D209" s="13" t="s">
        <v>3762</v>
      </c>
      <c r="F209" s="14" t="s">
        <v>11</v>
      </c>
      <c r="G209" s="13">
        <v>2</v>
      </c>
      <c r="H209" s="14">
        <f t="shared" si="36"/>
        <v>2</v>
      </c>
      <c r="J209" s="14">
        <v>2</v>
      </c>
      <c r="K209" s="13" t="s">
        <v>5434</v>
      </c>
      <c r="Q209" s="14"/>
    </row>
    <row r="210" spans="1:17" x14ac:dyDescent="0.25">
      <c r="A210" s="11" t="s">
        <v>5254</v>
      </c>
      <c r="B210" s="13" t="s">
        <v>2391</v>
      </c>
      <c r="C210" s="61" t="s">
        <v>4692</v>
      </c>
      <c r="D210" s="13" t="s">
        <v>1276</v>
      </c>
      <c r="F210" s="14" t="s">
        <v>11</v>
      </c>
      <c r="G210" s="13">
        <v>1</v>
      </c>
      <c r="H210" s="14">
        <f t="shared" si="36"/>
        <v>1</v>
      </c>
      <c r="J210" s="14">
        <v>1</v>
      </c>
      <c r="K210" s="13" t="s">
        <v>5397</v>
      </c>
      <c r="Q210" s="14"/>
    </row>
    <row r="211" spans="1:17" x14ac:dyDescent="0.25">
      <c r="A211" s="11" t="s">
        <v>5254</v>
      </c>
      <c r="B211" s="13" t="s">
        <v>78</v>
      </c>
      <c r="C211" s="61" t="s">
        <v>1820</v>
      </c>
      <c r="F211" s="14" t="s">
        <v>11</v>
      </c>
      <c r="G211" s="13">
        <v>1</v>
      </c>
      <c r="H211" s="14">
        <f>G211+I211</f>
        <v>1</v>
      </c>
      <c r="J211" s="14">
        <v>1</v>
      </c>
      <c r="K211" s="13" t="s">
        <v>3385</v>
      </c>
      <c r="Q211" s="14"/>
    </row>
    <row r="212" spans="1:17" x14ac:dyDescent="0.25">
      <c r="A212" s="11" t="s">
        <v>5254</v>
      </c>
      <c r="B212" s="13" t="s">
        <v>206</v>
      </c>
      <c r="D212" s="13" t="s">
        <v>1940</v>
      </c>
      <c r="F212" s="14" t="s">
        <v>11</v>
      </c>
      <c r="G212" s="13">
        <v>2</v>
      </c>
      <c r="H212" s="14">
        <f t="shared" si="36"/>
        <v>2</v>
      </c>
      <c r="J212" s="14">
        <v>2</v>
      </c>
      <c r="K212" s="13" t="s">
        <v>792</v>
      </c>
      <c r="Q212" s="14"/>
    </row>
    <row r="213" spans="1:17" x14ac:dyDescent="0.25">
      <c r="A213" s="11" t="s">
        <v>5254</v>
      </c>
      <c r="B213" s="13" t="s">
        <v>2617</v>
      </c>
      <c r="D213" s="13" t="s">
        <v>1940</v>
      </c>
      <c r="F213" s="14" t="s">
        <v>11</v>
      </c>
      <c r="G213" s="13">
        <v>1</v>
      </c>
      <c r="H213" s="14">
        <f t="shared" si="36"/>
        <v>1</v>
      </c>
      <c r="J213" s="14">
        <v>1</v>
      </c>
      <c r="K213" s="13" t="s">
        <v>733</v>
      </c>
      <c r="Q213" s="14"/>
    </row>
    <row r="214" spans="1:17" x14ac:dyDescent="0.25">
      <c r="A214" s="11" t="s">
        <v>5254</v>
      </c>
      <c r="B214" s="13" t="s">
        <v>2617</v>
      </c>
      <c r="C214" s="61" t="s">
        <v>51</v>
      </c>
      <c r="F214" s="14" t="s">
        <v>11</v>
      </c>
      <c r="G214" s="13">
        <v>1</v>
      </c>
      <c r="H214" s="14">
        <f t="shared" si="36"/>
        <v>1</v>
      </c>
      <c r="J214" s="14">
        <v>1</v>
      </c>
      <c r="K214" s="13" t="s">
        <v>733</v>
      </c>
      <c r="Q214" s="14"/>
    </row>
    <row r="215" spans="1:17" x14ac:dyDescent="0.25">
      <c r="A215" s="11" t="s">
        <v>5254</v>
      </c>
      <c r="B215" s="13" t="s">
        <v>2617</v>
      </c>
      <c r="C215" s="61" t="s">
        <v>5358</v>
      </c>
      <c r="E215" s="14" t="s">
        <v>51</v>
      </c>
      <c r="F215" s="14" t="s">
        <v>11</v>
      </c>
      <c r="G215" s="13">
        <v>1</v>
      </c>
      <c r="H215" s="14">
        <f t="shared" si="36"/>
        <v>1</v>
      </c>
      <c r="J215" s="14">
        <v>1</v>
      </c>
      <c r="K215" s="13" t="s">
        <v>733</v>
      </c>
      <c r="Q215" s="14"/>
    </row>
    <row r="216" spans="1:17" x14ac:dyDescent="0.25">
      <c r="A216" s="11" t="s">
        <v>5254</v>
      </c>
      <c r="B216" s="13" t="s">
        <v>46</v>
      </c>
      <c r="D216" s="13" t="s">
        <v>1940</v>
      </c>
      <c r="F216" s="14" t="s">
        <v>11</v>
      </c>
      <c r="G216" s="13">
        <v>1</v>
      </c>
      <c r="H216" s="14">
        <f t="shared" si="36"/>
        <v>1</v>
      </c>
      <c r="J216" s="14">
        <v>1</v>
      </c>
      <c r="K216" s="13" t="s">
        <v>948</v>
      </c>
      <c r="Q216" s="14"/>
    </row>
    <row r="217" spans="1:17" x14ac:dyDescent="0.25">
      <c r="A217" s="11" t="s">
        <v>5254</v>
      </c>
      <c r="B217" s="13" t="s">
        <v>46</v>
      </c>
      <c r="C217" s="61" t="s">
        <v>5394</v>
      </c>
      <c r="D217" s="13" t="s">
        <v>5379</v>
      </c>
      <c r="F217" s="14" t="s">
        <v>11</v>
      </c>
      <c r="G217" s="13">
        <v>1</v>
      </c>
      <c r="H217" s="14">
        <f t="shared" ref="H217" si="50">G217+I217</f>
        <v>1</v>
      </c>
      <c r="J217" s="14">
        <v>1</v>
      </c>
      <c r="K217" s="13" t="s">
        <v>5384</v>
      </c>
      <c r="Q217" s="14"/>
    </row>
    <row r="218" spans="1:17" x14ac:dyDescent="0.25">
      <c r="A218" s="11" t="s">
        <v>5254</v>
      </c>
      <c r="B218" s="13" t="s">
        <v>62</v>
      </c>
      <c r="D218" s="13" t="s">
        <v>1940</v>
      </c>
      <c r="F218" s="14" t="s">
        <v>11</v>
      </c>
      <c r="G218" s="13">
        <v>3</v>
      </c>
      <c r="H218" s="14">
        <f t="shared" si="36"/>
        <v>3</v>
      </c>
      <c r="J218" s="14">
        <v>3</v>
      </c>
      <c r="K218" s="13" t="s">
        <v>5437</v>
      </c>
      <c r="Q218" s="14"/>
    </row>
    <row r="219" spans="1:17" x14ac:dyDescent="0.25">
      <c r="A219" s="11" t="s">
        <v>5254</v>
      </c>
      <c r="B219" s="13" t="s">
        <v>62</v>
      </c>
      <c r="C219" s="61" t="s">
        <v>5390</v>
      </c>
      <c r="D219" s="13" t="s">
        <v>5379</v>
      </c>
      <c r="F219" s="14" t="s">
        <v>11</v>
      </c>
      <c r="G219" s="13">
        <v>2</v>
      </c>
      <c r="H219" s="14">
        <f t="shared" ref="H219" si="51">G219+I219</f>
        <v>2</v>
      </c>
      <c r="J219" s="14">
        <v>2</v>
      </c>
      <c r="K219" s="13" t="s">
        <v>5401</v>
      </c>
      <c r="Q219" s="14"/>
    </row>
    <row r="220" spans="1:17" x14ac:dyDescent="0.25">
      <c r="A220" s="11" t="s">
        <v>5254</v>
      </c>
      <c r="B220" s="13" t="s">
        <v>62</v>
      </c>
      <c r="C220" s="61" t="s">
        <v>3155</v>
      </c>
      <c r="D220" s="13" t="s">
        <v>3762</v>
      </c>
      <c r="F220" s="14" t="s">
        <v>11</v>
      </c>
      <c r="G220" s="13">
        <v>1</v>
      </c>
      <c r="H220" s="14">
        <f t="shared" si="36"/>
        <v>1</v>
      </c>
      <c r="J220" s="14">
        <v>1</v>
      </c>
      <c r="K220" s="13" t="s">
        <v>5435</v>
      </c>
      <c r="Q220" s="14"/>
    </row>
    <row r="221" spans="1:17" x14ac:dyDescent="0.25">
      <c r="A221" s="11" t="s">
        <v>5254</v>
      </c>
      <c r="B221" s="13" t="s">
        <v>62</v>
      </c>
      <c r="C221" s="61" t="s">
        <v>5419</v>
      </c>
      <c r="F221" s="14" t="s">
        <v>11</v>
      </c>
      <c r="G221" s="13">
        <v>1</v>
      </c>
      <c r="H221" s="14">
        <f t="shared" ref="H221" si="52">G221+I221</f>
        <v>1</v>
      </c>
      <c r="J221" s="14">
        <v>1</v>
      </c>
      <c r="K221" s="13" t="s">
        <v>5412</v>
      </c>
      <c r="Q221" s="14"/>
    </row>
    <row r="222" spans="1:17" x14ac:dyDescent="0.25">
      <c r="A222" s="11" t="s">
        <v>5254</v>
      </c>
      <c r="B222" s="13" t="s">
        <v>82</v>
      </c>
      <c r="C222" s="61" t="s">
        <v>5393</v>
      </c>
      <c r="D222" s="13" t="s">
        <v>5387</v>
      </c>
      <c r="F222" s="14" t="s">
        <v>11</v>
      </c>
      <c r="G222" s="13">
        <v>1</v>
      </c>
      <c r="H222" s="14">
        <f t="shared" ref="H222" si="53">G222+I222</f>
        <v>1</v>
      </c>
      <c r="J222" s="14">
        <v>1</v>
      </c>
      <c r="K222" s="13" t="s">
        <v>5384</v>
      </c>
      <c r="Q222" s="14"/>
    </row>
    <row r="223" spans="1:17" x14ac:dyDescent="0.25">
      <c r="A223" s="11" t="s">
        <v>5254</v>
      </c>
      <c r="B223" s="13" t="s">
        <v>22</v>
      </c>
      <c r="D223" s="13" t="s">
        <v>1940</v>
      </c>
      <c r="E223" s="14" t="s">
        <v>22</v>
      </c>
      <c r="F223" s="14" t="s">
        <v>11</v>
      </c>
      <c r="G223" s="13">
        <v>1</v>
      </c>
      <c r="H223" s="14">
        <f t="shared" si="36"/>
        <v>1</v>
      </c>
      <c r="J223" s="14">
        <v>1</v>
      </c>
      <c r="K223" s="13" t="s">
        <v>456</v>
      </c>
      <c r="Q223" s="14"/>
    </row>
    <row r="224" spans="1:17" x14ac:dyDescent="0.25">
      <c r="A224" s="11" t="s">
        <v>5254</v>
      </c>
      <c r="B224" s="13" t="s">
        <v>609</v>
      </c>
      <c r="D224" s="13" t="s">
        <v>1940</v>
      </c>
      <c r="F224" s="14" t="s">
        <v>11</v>
      </c>
      <c r="G224" s="13">
        <v>1</v>
      </c>
      <c r="H224" s="14">
        <f t="shared" si="36"/>
        <v>1</v>
      </c>
      <c r="J224" s="14">
        <v>1</v>
      </c>
      <c r="K224" s="13" t="s">
        <v>224</v>
      </c>
      <c r="Q224" s="14"/>
    </row>
    <row r="225" spans="1:17" x14ac:dyDescent="0.25">
      <c r="A225" s="11" t="s">
        <v>5254</v>
      </c>
      <c r="B225" s="13" t="s">
        <v>93</v>
      </c>
      <c r="D225" s="13" t="s">
        <v>1940</v>
      </c>
      <c r="F225" s="14" t="s">
        <v>11</v>
      </c>
      <c r="G225" s="13">
        <v>2</v>
      </c>
      <c r="H225" s="14">
        <f t="shared" si="36"/>
        <v>2</v>
      </c>
      <c r="J225" s="14">
        <v>2</v>
      </c>
      <c r="K225" s="13" t="s">
        <v>5359</v>
      </c>
      <c r="Q225" s="14"/>
    </row>
    <row r="226" spans="1:17" x14ac:dyDescent="0.25">
      <c r="A226" s="11" t="s">
        <v>5254</v>
      </c>
      <c r="B226" s="13" t="s">
        <v>1879</v>
      </c>
      <c r="D226" s="13" t="s">
        <v>1940</v>
      </c>
      <c r="F226" s="14" t="s">
        <v>11</v>
      </c>
      <c r="G226" s="13">
        <v>2</v>
      </c>
      <c r="H226" s="14">
        <f t="shared" ref="H226:H227" si="54">G226+I226</f>
        <v>2</v>
      </c>
      <c r="J226" s="14">
        <v>2</v>
      </c>
      <c r="K226" s="13" t="s">
        <v>5420</v>
      </c>
      <c r="Q226" s="14"/>
    </row>
    <row r="227" spans="1:17" ht="22.5" x14ac:dyDescent="0.25">
      <c r="A227" s="11" t="s">
        <v>5254</v>
      </c>
      <c r="B227" s="13" t="s">
        <v>1879</v>
      </c>
      <c r="C227" s="61" t="s">
        <v>5421</v>
      </c>
      <c r="D227" s="13" t="s">
        <v>5422</v>
      </c>
      <c r="F227" s="14" t="s">
        <v>11</v>
      </c>
      <c r="G227" s="13">
        <v>1</v>
      </c>
      <c r="H227" s="14">
        <f t="shared" si="54"/>
        <v>1</v>
      </c>
      <c r="J227" s="14">
        <v>1</v>
      </c>
      <c r="K227" s="13" t="s">
        <v>5423</v>
      </c>
      <c r="Q227" s="14"/>
    </row>
    <row r="228" spans="1:17" x14ac:dyDescent="0.25">
      <c r="A228" s="11" t="s">
        <v>5254</v>
      </c>
      <c r="B228" s="13" t="s">
        <v>1879</v>
      </c>
      <c r="C228" s="61" t="s">
        <v>5413</v>
      </c>
      <c r="F228" s="14" t="s">
        <v>11</v>
      </c>
      <c r="G228" s="13">
        <v>1</v>
      </c>
      <c r="H228" s="14">
        <f>G228+I228</f>
        <v>1</v>
      </c>
      <c r="J228" s="14">
        <v>1</v>
      </c>
      <c r="K228" s="13" t="s">
        <v>5412</v>
      </c>
      <c r="Q228" s="14"/>
    </row>
    <row r="229" spans="1:17" x14ac:dyDescent="0.25">
      <c r="A229" s="11" t="s">
        <v>5254</v>
      </c>
      <c r="B229" s="13" t="s">
        <v>1879</v>
      </c>
      <c r="C229" s="61" t="s">
        <v>5414</v>
      </c>
      <c r="F229" s="14" t="s">
        <v>11</v>
      </c>
      <c r="G229" s="13">
        <v>1</v>
      </c>
      <c r="H229" s="14">
        <f>G229+I229</f>
        <v>1</v>
      </c>
      <c r="J229" s="14">
        <v>1</v>
      </c>
      <c r="K229" s="13" t="s">
        <v>5412</v>
      </c>
      <c r="Q229" s="14"/>
    </row>
    <row r="230" spans="1:17" x14ac:dyDescent="0.25">
      <c r="A230" s="11" t="s">
        <v>5254</v>
      </c>
      <c r="B230" s="13" t="s">
        <v>50</v>
      </c>
      <c r="C230" s="61" t="s">
        <v>5407</v>
      </c>
      <c r="E230" s="14" t="s">
        <v>5408</v>
      </c>
      <c r="F230" s="14" t="s">
        <v>11</v>
      </c>
      <c r="G230" s="13">
        <v>1</v>
      </c>
      <c r="H230" s="14">
        <f t="shared" si="36"/>
        <v>1</v>
      </c>
      <c r="J230" s="14">
        <v>1</v>
      </c>
      <c r="K230" s="13" t="s">
        <v>3377</v>
      </c>
      <c r="Q230" s="14"/>
    </row>
    <row r="231" spans="1:17" x14ac:dyDescent="0.25">
      <c r="A231" s="11" t="s">
        <v>5254</v>
      </c>
      <c r="B231" s="13" t="s">
        <v>50</v>
      </c>
      <c r="C231" s="61" t="s">
        <v>5406</v>
      </c>
      <c r="F231" s="14" t="s">
        <v>11</v>
      </c>
      <c r="G231" s="13">
        <v>1</v>
      </c>
      <c r="H231" s="14">
        <f t="shared" ref="H231" si="55">G231+I231</f>
        <v>1</v>
      </c>
      <c r="J231" s="14">
        <v>1</v>
      </c>
      <c r="K231" s="13" t="s">
        <v>3377</v>
      </c>
      <c r="Q231" s="14"/>
    </row>
    <row r="232" spans="1:17" x14ac:dyDescent="0.25">
      <c r="A232" s="11" t="s">
        <v>5254</v>
      </c>
      <c r="B232" s="13" t="s">
        <v>24</v>
      </c>
      <c r="C232" s="61" t="s">
        <v>986</v>
      </c>
      <c r="F232" s="14" t="s">
        <v>11</v>
      </c>
      <c r="G232" s="13">
        <v>1</v>
      </c>
      <c r="H232" s="14">
        <f t="shared" si="36"/>
        <v>1</v>
      </c>
      <c r="J232" s="14">
        <v>1</v>
      </c>
      <c r="K232" s="13" t="s">
        <v>507</v>
      </c>
      <c r="Q232" s="14"/>
    </row>
    <row r="233" spans="1:17" x14ac:dyDescent="0.25">
      <c r="A233" s="11" t="s">
        <v>5254</v>
      </c>
      <c r="B233" s="13" t="s">
        <v>24</v>
      </c>
      <c r="C233" s="61" t="s">
        <v>24</v>
      </c>
      <c r="D233" s="13" t="s">
        <v>1940</v>
      </c>
      <c r="F233" s="14" t="s">
        <v>11</v>
      </c>
      <c r="G233" s="13">
        <v>15</v>
      </c>
      <c r="H233" s="14">
        <f t="shared" si="36"/>
        <v>15</v>
      </c>
      <c r="J233" s="14">
        <v>10</v>
      </c>
      <c r="K233" s="13" t="s">
        <v>5432</v>
      </c>
      <c r="Q233" s="14"/>
    </row>
    <row r="234" spans="1:17" x14ac:dyDescent="0.25">
      <c r="A234" s="11" t="s">
        <v>5254</v>
      </c>
      <c r="B234" s="13" t="s">
        <v>24</v>
      </c>
      <c r="C234" s="61" t="s">
        <v>3141</v>
      </c>
      <c r="F234" s="14" t="s">
        <v>11</v>
      </c>
      <c r="G234" s="13">
        <v>3</v>
      </c>
      <c r="H234" s="14">
        <f t="shared" si="36"/>
        <v>3</v>
      </c>
      <c r="J234" s="14">
        <v>3</v>
      </c>
      <c r="K234" s="13" t="s">
        <v>5360</v>
      </c>
      <c r="Q234" s="14"/>
    </row>
    <row r="235" spans="1:17" x14ac:dyDescent="0.25">
      <c r="A235" s="11" t="s">
        <v>5254</v>
      </c>
      <c r="B235" s="13" t="s">
        <v>24</v>
      </c>
      <c r="C235" s="61" t="s">
        <v>848</v>
      </c>
      <c r="E235" s="14" t="s">
        <v>21</v>
      </c>
      <c r="F235" s="14" t="s">
        <v>11</v>
      </c>
      <c r="G235" s="13">
        <v>1</v>
      </c>
      <c r="H235" s="14">
        <f>G235+I235</f>
        <v>1</v>
      </c>
      <c r="J235" s="14">
        <v>1</v>
      </c>
      <c r="K235" s="13" t="s">
        <v>1086</v>
      </c>
      <c r="Q235" s="14"/>
    </row>
    <row r="236" spans="1:17" x14ac:dyDescent="0.25">
      <c r="A236" s="11" t="s">
        <v>5254</v>
      </c>
      <c r="B236" s="13" t="s">
        <v>416</v>
      </c>
      <c r="C236" s="61" t="s">
        <v>416</v>
      </c>
      <c r="D236" s="13" t="s">
        <v>1940</v>
      </c>
      <c r="F236" s="14" t="s">
        <v>11</v>
      </c>
      <c r="G236" s="13">
        <v>6</v>
      </c>
      <c r="H236" s="14">
        <f t="shared" si="36"/>
        <v>6</v>
      </c>
      <c r="J236" s="14">
        <v>5</v>
      </c>
      <c r="K236" s="13" t="s">
        <v>5362</v>
      </c>
      <c r="Q236" s="14"/>
    </row>
    <row r="237" spans="1:17" x14ac:dyDescent="0.25">
      <c r="A237" s="11" t="s">
        <v>5254</v>
      </c>
      <c r="B237" s="13" t="s">
        <v>416</v>
      </c>
      <c r="C237" s="61" t="s">
        <v>5378</v>
      </c>
      <c r="D237" s="13" t="s">
        <v>5379</v>
      </c>
      <c r="F237" s="14" t="s">
        <v>11</v>
      </c>
      <c r="G237" s="13">
        <v>1</v>
      </c>
      <c r="H237" s="14">
        <f t="shared" ref="H237:H238" si="56">G237+I237</f>
        <v>1</v>
      </c>
      <c r="J237" s="14">
        <v>1</v>
      </c>
      <c r="K237" s="13" t="s">
        <v>5380</v>
      </c>
      <c r="Q237" s="14"/>
    </row>
    <row r="238" spans="1:17" x14ac:dyDescent="0.25">
      <c r="A238" s="11" t="s">
        <v>5254</v>
      </c>
      <c r="B238" s="13" t="s">
        <v>416</v>
      </c>
      <c r="C238" s="61" t="s">
        <v>5381</v>
      </c>
      <c r="D238" s="13" t="s">
        <v>5379</v>
      </c>
      <c r="F238" s="14" t="s">
        <v>11</v>
      </c>
      <c r="G238" s="13">
        <v>1</v>
      </c>
      <c r="H238" s="14">
        <f t="shared" si="56"/>
        <v>1</v>
      </c>
      <c r="J238" s="14">
        <v>1</v>
      </c>
      <c r="K238" s="13" t="s">
        <v>5380</v>
      </c>
      <c r="Q238" s="14"/>
    </row>
    <row r="239" spans="1:17" x14ac:dyDescent="0.25">
      <c r="A239" s="11" t="s">
        <v>5254</v>
      </c>
      <c r="B239" s="13" t="s">
        <v>269</v>
      </c>
      <c r="D239" s="13" t="s">
        <v>1940</v>
      </c>
      <c r="F239" s="14" t="s">
        <v>11</v>
      </c>
      <c r="G239" s="13">
        <v>1</v>
      </c>
      <c r="H239" s="14">
        <f t="shared" si="36"/>
        <v>1</v>
      </c>
      <c r="J239" s="14">
        <v>1</v>
      </c>
      <c r="K239" s="13" t="s">
        <v>948</v>
      </c>
      <c r="Q239" s="14"/>
    </row>
    <row r="240" spans="1:17" x14ac:dyDescent="0.25">
      <c r="A240" s="11" t="s">
        <v>5254</v>
      </c>
      <c r="B240" s="13" t="s">
        <v>269</v>
      </c>
      <c r="C240" s="61" t="s">
        <v>2454</v>
      </c>
      <c r="D240" s="62"/>
      <c r="E240" s="62" t="s">
        <v>630</v>
      </c>
      <c r="F240" s="14" t="s">
        <v>11</v>
      </c>
      <c r="G240" s="13">
        <v>1</v>
      </c>
      <c r="H240" s="14">
        <f t="shared" si="36"/>
        <v>1</v>
      </c>
      <c r="J240" s="14">
        <v>1</v>
      </c>
      <c r="K240" s="13" t="s">
        <v>488</v>
      </c>
      <c r="Q240" s="14"/>
    </row>
    <row r="241" spans="1:17" x14ac:dyDescent="0.25">
      <c r="A241" s="11" t="s">
        <v>5254</v>
      </c>
      <c r="B241" s="13" t="s">
        <v>269</v>
      </c>
      <c r="C241" s="61" t="s">
        <v>5415</v>
      </c>
      <c r="D241" s="62"/>
      <c r="E241" s="62"/>
      <c r="F241" s="14" t="s">
        <v>11</v>
      </c>
      <c r="G241" s="13">
        <v>2</v>
      </c>
      <c r="H241" s="14">
        <f t="shared" ref="H241" si="57">G241+I241</f>
        <v>2</v>
      </c>
      <c r="J241" s="14">
        <v>2</v>
      </c>
      <c r="K241" s="13" t="s">
        <v>5441</v>
      </c>
      <c r="Q241" s="14"/>
    </row>
    <row r="242" spans="1:17" x14ac:dyDescent="0.25">
      <c r="A242" s="11" t="s">
        <v>5254</v>
      </c>
      <c r="B242" s="13" t="s">
        <v>269</v>
      </c>
      <c r="C242" s="61" t="s">
        <v>5416</v>
      </c>
      <c r="D242" s="62"/>
      <c r="E242" s="62" t="s">
        <v>5415</v>
      </c>
      <c r="F242" s="14" t="s">
        <v>11</v>
      </c>
      <c r="G242" s="13">
        <v>1</v>
      </c>
      <c r="H242" s="14">
        <f t="shared" ref="H242" si="58">G242+I242</f>
        <v>1</v>
      </c>
      <c r="J242" s="14">
        <v>1</v>
      </c>
      <c r="K242" s="13" t="s">
        <v>5412</v>
      </c>
      <c r="Q242" s="14"/>
    </row>
    <row r="243" spans="1:17" x14ac:dyDescent="0.25">
      <c r="A243" s="11" t="s">
        <v>5254</v>
      </c>
      <c r="B243" s="13" t="s">
        <v>272</v>
      </c>
      <c r="D243" s="13" t="s">
        <v>1940</v>
      </c>
      <c r="F243" s="14" t="s">
        <v>11</v>
      </c>
      <c r="G243" s="13">
        <v>1</v>
      </c>
      <c r="H243" s="14">
        <f t="shared" si="36"/>
        <v>1</v>
      </c>
      <c r="J243" s="14">
        <v>1</v>
      </c>
      <c r="K243" s="13" t="s">
        <v>324</v>
      </c>
      <c r="Q243" s="14"/>
    </row>
    <row r="244" spans="1:17" x14ac:dyDescent="0.25">
      <c r="A244" s="11" t="s">
        <v>5254</v>
      </c>
      <c r="C244" s="61" t="s">
        <v>5296</v>
      </c>
      <c r="E244" s="14" t="s">
        <v>1281</v>
      </c>
      <c r="F244" s="14" t="s">
        <v>11</v>
      </c>
      <c r="G244" s="13">
        <v>1</v>
      </c>
      <c r="H244" s="14">
        <f t="shared" ref="H244" si="59">G244+I244</f>
        <v>1</v>
      </c>
      <c r="J244" s="14">
        <v>1</v>
      </c>
      <c r="K244" s="13" t="s">
        <v>309</v>
      </c>
      <c r="Q244" s="14"/>
    </row>
    <row r="245" spans="1:17" x14ac:dyDescent="0.25">
      <c r="A245" s="11" t="s">
        <v>5254</v>
      </c>
      <c r="C245" s="61" t="s">
        <v>5297</v>
      </c>
      <c r="E245" s="14" t="s">
        <v>266</v>
      </c>
      <c r="F245" s="14" t="s">
        <v>11</v>
      </c>
      <c r="G245" s="13">
        <v>1</v>
      </c>
      <c r="H245" s="14">
        <f t="shared" ref="H245" si="60">G245+I245</f>
        <v>1</v>
      </c>
      <c r="J245" s="14">
        <v>1</v>
      </c>
      <c r="K245" s="13" t="s">
        <v>309</v>
      </c>
      <c r="Q245" s="14"/>
    </row>
    <row r="246" spans="1:17" x14ac:dyDescent="0.25">
      <c r="A246" s="11" t="s">
        <v>5254</v>
      </c>
      <c r="B246" s="13" t="s">
        <v>24</v>
      </c>
      <c r="C246" s="61" t="s">
        <v>1181</v>
      </c>
      <c r="F246" s="14" t="s">
        <v>11</v>
      </c>
      <c r="G246" s="13">
        <v>1</v>
      </c>
      <c r="H246" s="14">
        <f t="shared" ref="H246:H247" si="61">G246+I246</f>
        <v>1</v>
      </c>
      <c r="J246" s="14">
        <v>1</v>
      </c>
      <c r="K246" s="13" t="s">
        <v>1086</v>
      </c>
      <c r="Q246" s="14"/>
    </row>
    <row r="247" spans="1:17" x14ac:dyDescent="0.25">
      <c r="A247" s="11" t="s">
        <v>5254</v>
      </c>
      <c r="C247" s="61" t="s">
        <v>1181</v>
      </c>
      <c r="D247" s="13" t="s">
        <v>1940</v>
      </c>
      <c r="F247" s="14" t="s">
        <v>11</v>
      </c>
      <c r="G247" s="13">
        <v>2</v>
      </c>
      <c r="H247" s="14">
        <f t="shared" si="61"/>
        <v>2</v>
      </c>
      <c r="J247" s="14">
        <v>1</v>
      </c>
      <c r="K247" s="13" t="s">
        <v>494</v>
      </c>
      <c r="Q247" s="14"/>
    </row>
    <row r="248" spans="1:17" x14ac:dyDescent="0.25">
      <c r="A248" s="11" t="s">
        <v>5254</v>
      </c>
      <c r="C248" s="61" t="s">
        <v>1939</v>
      </c>
      <c r="E248" s="14" t="s">
        <v>4634</v>
      </c>
      <c r="F248" s="14" t="s">
        <v>11</v>
      </c>
      <c r="G248" s="13">
        <v>1</v>
      </c>
      <c r="H248" s="14">
        <f t="shared" si="36"/>
        <v>1</v>
      </c>
      <c r="J248" s="14">
        <v>1</v>
      </c>
      <c r="K248" s="13" t="s">
        <v>1092</v>
      </c>
    </row>
    <row r="249" spans="1:17" x14ac:dyDescent="0.25">
      <c r="A249" s="11" t="s">
        <v>5254</v>
      </c>
      <c r="C249" s="61" t="s">
        <v>48</v>
      </c>
      <c r="D249" s="62"/>
      <c r="E249" s="62" t="s">
        <v>48</v>
      </c>
      <c r="F249" s="14" t="s">
        <v>11</v>
      </c>
      <c r="G249" s="13">
        <v>2</v>
      </c>
      <c r="H249" s="14">
        <f t="shared" si="36"/>
        <v>2</v>
      </c>
      <c r="J249" s="14">
        <v>2</v>
      </c>
      <c r="K249" s="13" t="s">
        <v>5361</v>
      </c>
    </row>
    <row r="250" spans="1:17" s="25" customFormat="1" ht="30" customHeight="1" x14ac:dyDescent="0.25">
      <c r="A250" s="11" t="s">
        <v>5254</v>
      </c>
      <c r="B250" s="26"/>
      <c r="C250" s="80" t="s">
        <v>11</v>
      </c>
      <c r="D250" s="26"/>
      <c r="F250" s="25" t="s">
        <v>11</v>
      </c>
      <c r="G250" s="26">
        <v>18</v>
      </c>
      <c r="H250" s="25">
        <f t="shared" si="36"/>
        <v>18</v>
      </c>
      <c r="J250" s="25">
        <v>10</v>
      </c>
      <c r="K250" s="26" t="s">
        <v>5428</v>
      </c>
      <c r="Q250" s="26"/>
    </row>
    <row r="251" spans="1:17" x14ac:dyDescent="0.25">
      <c r="A251" s="11" t="s">
        <v>5254</v>
      </c>
      <c r="C251" s="61" t="s">
        <v>5365</v>
      </c>
      <c r="E251" s="14" t="s">
        <v>851</v>
      </c>
      <c r="F251" s="14" t="s">
        <v>11</v>
      </c>
      <c r="G251" s="13">
        <v>1</v>
      </c>
      <c r="H251" s="14">
        <f t="shared" si="36"/>
        <v>1</v>
      </c>
      <c r="J251" s="14">
        <v>1</v>
      </c>
      <c r="K251" s="13" t="s">
        <v>414</v>
      </c>
    </row>
    <row r="252" spans="1:17" x14ac:dyDescent="0.25">
      <c r="A252" s="11" t="s">
        <v>5254</v>
      </c>
      <c r="C252" s="61" t="s">
        <v>844</v>
      </c>
      <c r="F252" s="14" t="s">
        <v>11</v>
      </c>
      <c r="G252" s="13">
        <v>1</v>
      </c>
      <c r="H252" s="14">
        <f t="shared" si="36"/>
        <v>1</v>
      </c>
      <c r="J252" s="14">
        <v>1</v>
      </c>
      <c r="K252" s="13" t="s">
        <v>414</v>
      </c>
    </row>
    <row r="253" spans="1:17" x14ac:dyDescent="0.25">
      <c r="A253" s="11" t="s">
        <v>5254</v>
      </c>
      <c r="C253" s="61" t="s">
        <v>296</v>
      </c>
      <c r="F253" s="14" t="s">
        <v>11</v>
      </c>
      <c r="G253" s="13">
        <v>3</v>
      </c>
      <c r="H253" s="14">
        <f t="shared" si="36"/>
        <v>3</v>
      </c>
      <c r="J253" s="14">
        <v>2</v>
      </c>
      <c r="K253" s="13" t="s">
        <v>5366</v>
      </c>
    </row>
    <row r="254" spans="1:17" x14ac:dyDescent="0.25">
      <c r="A254" s="11" t="s">
        <v>5254</v>
      </c>
      <c r="C254" s="61" t="s">
        <v>259</v>
      </c>
      <c r="F254" s="14" t="s">
        <v>11</v>
      </c>
      <c r="G254" s="13">
        <v>1</v>
      </c>
      <c r="H254" s="14">
        <f t="shared" si="36"/>
        <v>1</v>
      </c>
      <c r="J254" s="14">
        <v>1</v>
      </c>
      <c r="K254" s="13" t="s">
        <v>4890</v>
      </c>
    </row>
    <row r="255" spans="1:17" x14ac:dyDescent="0.25">
      <c r="A255" s="11" t="s">
        <v>5254</v>
      </c>
      <c r="C255" s="61" t="s">
        <v>1882</v>
      </c>
      <c r="F255" s="14" t="s">
        <v>11</v>
      </c>
      <c r="G255" s="13">
        <v>1</v>
      </c>
      <c r="H255" s="14">
        <f>G255+I255</f>
        <v>1</v>
      </c>
      <c r="J255" s="14">
        <v>1</v>
      </c>
      <c r="K255" s="13" t="s">
        <v>4890</v>
      </c>
    </row>
    <row r="256" spans="1:17" x14ac:dyDescent="0.25">
      <c r="A256" s="11" t="s">
        <v>5254</v>
      </c>
      <c r="C256" s="61" t="s">
        <v>1281</v>
      </c>
      <c r="F256" s="14" t="s">
        <v>11</v>
      </c>
      <c r="G256" s="13">
        <v>1</v>
      </c>
      <c r="H256" s="14">
        <f t="shared" si="36"/>
        <v>1</v>
      </c>
      <c r="J256" s="14">
        <v>1</v>
      </c>
      <c r="K256" s="13" t="s">
        <v>502</v>
      </c>
    </row>
    <row r="257" spans="1:17" x14ac:dyDescent="0.25">
      <c r="A257" s="11" t="s">
        <v>5254</v>
      </c>
      <c r="C257" s="61" t="s">
        <v>266</v>
      </c>
      <c r="F257" s="14" t="s">
        <v>11</v>
      </c>
      <c r="G257" s="13">
        <v>4</v>
      </c>
      <c r="H257" s="14">
        <f>G257+I257</f>
        <v>4</v>
      </c>
      <c r="J257" s="14">
        <v>4</v>
      </c>
      <c r="K257" s="13" t="s">
        <v>5364</v>
      </c>
    </row>
    <row r="258" spans="1:17" x14ac:dyDescent="0.25">
      <c r="A258" s="11" t="s">
        <v>5254</v>
      </c>
      <c r="C258" s="61" t="s">
        <v>543</v>
      </c>
      <c r="F258" s="14" t="s">
        <v>11</v>
      </c>
      <c r="G258" s="13">
        <v>2</v>
      </c>
      <c r="H258" s="14">
        <f t="shared" si="36"/>
        <v>2</v>
      </c>
      <c r="J258" s="14">
        <v>2</v>
      </c>
      <c r="K258" s="13" t="s">
        <v>5302</v>
      </c>
      <c r="Q258" s="14"/>
    </row>
    <row r="259" spans="1:17" x14ac:dyDescent="0.25">
      <c r="A259" s="11" t="s">
        <v>5254</v>
      </c>
      <c r="B259" s="13" t="s">
        <v>283</v>
      </c>
      <c r="C259" s="61" t="s">
        <v>2107</v>
      </c>
      <c r="F259" s="14" t="s">
        <v>11</v>
      </c>
      <c r="G259" s="13">
        <v>2</v>
      </c>
      <c r="H259" s="14">
        <f t="shared" si="36"/>
        <v>2</v>
      </c>
      <c r="J259" s="14">
        <v>1</v>
      </c>
      <c r="K259" s="13" t="s">
        <v>459</v>
      </c>
      <c r="Q259" s="14"/>
    </row>
    <row r="260" spans="1:17" x14ac:dyDescent="0.25">
      <c r="A260" s="11" t="s">
        <v>5254</v>
      </c>
      <c r="B260" s="13" t="s">
        <v>266</v>
      </c>
      <c r="C260" s="61" t="s">
        <v>682</v>
      </c>
      <c r="D260" s="13" t="s">
        <v>1940</v>
      </c>
      <c r="E260" s="14" t="s">
        <v>683</v>
      </c>
      <c r="F260" s="14" t="s">
        <v>11</v>
      </c>
      <c r="G260" s="13">
        <v>3</v>
      </c>
      <c r="H260" s="14">
        <f t="shared" si="36"/>
        <v>3</v>
      </c>
      <c r="J260" s="14">
        <v>2</v>
      </c>
      <c r="K260" s="13" t="s">
        <v>5368</v>
      </c>
      <c r="Q260" s="14"/>
    </row>
    <row r="261" spans="1:17" x14ac:dyDescent="0.25">
      <c r="A261" s="11" t="s">
        <v>5254</v>
      </c>
      <c r="B261" s="13" t="s">
        <v>266</v>
      </c>
      <c r="C261" s="61" t="s">
        <v>3303</v>
      </c>
      <c r="E261" s="14" t="s">
        <v>683</v>
      </c>
      <c r="F261" s="14" t="s">
        <v>11</v>
      </c>
      <c r="G261" s="13">
        <v>1</v>
      </c>
      <c r="H261" s="14">
        <f t="shared" si="36"/>
        <v>1</v>
      </c>
      <c r="J261" s="14">
        <v>1</v>
      </c>
      <c r="K261" s="13" t="s">
        <v>459</v>
      </c>
      <c r="Q261" s="14"/>
    </row>
    <row r="262" spans="1:17" x14ac:dyDescent="0.25">
      <c r="A262" s="11" t="s">
        <v>5254</v>
      </c>
      <c r="C262" s="61" t="s">
        <v>770</v>
      </c>
      <c r="E262" s="14" t="s">
        <v>683</v>
      </c>
      <c r="F262" s="14" t="s">
        <v>874</v>
      </c>
      <c r="G262" s="13">
        <v>1</v>
      </c>
      <c r="H262" s="14">
        <f t="shared" si="36"/>
        <v>1</v>
      </c>
      <c r="J262" s="14">
        <v>1</v>
      </c>
      <c r="K262" s="13" t="s">
        <v>217</v>
      </c>
      <c r="Q262" s="14"/>
    </row>
    <row r="263" spans="1:17" x14ac:dyDescent="0.25">
      <c r="A263" s="11" t="s">
        <v>5254</v>
      </c>
      <c r="C263" s="61" t="s">
        <v>1682</v>
      </c>
      <c r="F263" s="14" t="s">
        <v>11</v>
      </c>
      <c r="G263" s="13">
        <v>1</v>
      </c>
      <c r="H263" s="14">
        <f t="shared" si="36"/>
        <v>1</v>
      </c>
      <c r="J263" s="14">
        <v>1</v>
      </c>
      <c r="K263" s="13" t="s">
        <v>459</v>
      </c>
      <c r="Q263" s="14"/>
    </row>
    <row r="264" spans="1:17" x14ac:dyDescent="0.25">
      <c r="A264" s="11" t="s">
        <v>5254</v>
      </c>
      <c r="C264" s="61" t="s">
        <v>678</v>
      </c>
      <c r="F264" s="14" t="s">
        <v>11</v>
      </c>
      <c r="G264" s="13">
        <v>3</v>
      </c>
      <c r="H264" s="14">
        <f t="shared" si="36"/>
        <v>3</v>
      </c>
      <c r="J264" s="14">
        <v>2</v>
      </c>
      <c r="K264" s="13" t="s">
        <v>5363</v>
      </c>
      <c r="Q264" s="14"/>
    </row>
    <row r="265" spans="1:17" x14ac:dyDescent="0.25">
      <c r="A265" s="11" t="s">
        <v>5254</v>
      </c>
      <c r="C265" s="61" t="s">
        <v>21</v>
      </c>
      <c r="E265" s="14" t="s">
        <v>21</v>
      </c>
      <c r="F265" s="14" t="s">
        <v>11</v>
      </c>
      <c r="G265" s="13">
        <v>14</v>
      </c>
      <c r="H265" s="14">
        <f t="shared" ref="H265:H279" si="62">G265+I265</f>
        <v>14</v>
      </c>
      <c r="J265" s="14">
        <v>7</v>
      </c>
      <c r="K265" s="13" t="s">
        <v>5367</v>
      </c>
      <c r="Q265" s="14"/>
    </row>
    <row r="266" spans="1:17" x14ac:dyDescent="0.25">
      <c r="A266" s="11" t="s">
        <v>5254</v>
      </c>
      <c r="C266" s="61" t="s">
        <v>69</v>
      </c>
      <c r="D266" s="13" t="s">
        <v>1940</v>
      </c>
      <c r="F266" s="13" t="s">
        <v>11</v>
      </c>
      <c r="G266" s="13">
        <v>1</v>
      </c>
      <c r="H266" s="14">
        <f t="shared" si="62"/>
        <v>1</v>
      </c>
      <c r="J266" s="14">
        <v>1</v>
      </c>
      <c r="K266" s="13" t="s">
        <v>217</v>
      </c>
    </row>
    <row r="267" spans="1:17" x14ac:dyDescent="0.25">
      <c r="A267" s="11" t="s">
        <v>5254</v>
      </c>
      <c r="C267" s="61" t="s">
        <v>5301</v>
      </c>
      <c r="D267" s="13" t="s">
        <v>1940</v>
      </c>
      <c r="F267" s="13" t="s">
        <v>11</v>
      </c>
      <c r="G267" s="13">
        <v>1</v>
      </c>
      <c r="H267" s="14">
        <f t="shared" ref="H267" si="63">G267+I267</f>
        <v>1</v>
      </c>
      <c r="J267" s="14">
        <v>1</v>
      </c>
      <c r="K267" s="13" t="s">
        <v>322</v>
      </c>
    </row>
    <row r="268" spans="1:17" ht="22.5" x14ac:dyDescent="0.25">
      <c r="A268" s="11" t="s">
        <v>5254</v>
      </c>
      <c r="C268" s="61" t="s">
        <v>4060</v>
      </c>
      <c r="D268" s="13" t="s">
        <v>3143</v>
      </c>
      <c r="F268" s="13" t="s">
        <v>1104</v>
      </c>
      <c r="G268" s="13">
        <v>2</v>
      </c>
      <c r="H268" s="14">
        <f t="shared" si="62"/>
        <v>2</v>
      </c>
      <c r="J268" s="14">
        <v>2</v>
      </c>
      <c r="K268" s="13" t="s">
        <v>5298</v>
      </c>
    </row>
    <row r="269" spans="1:17" s="25" customFormat="1" ht="37.5" customHeight="1" x14ac:dyDescent="0.25">
      <c r="A269" s="11" t="s">
        <v>5254</v>
      </c>
      <c r="B269" s="26"/>
      <c r="C269" s="80" t="s">
        <v>56</v>
      </c>
      <c r="D269" s="26"/>
      <c r="F269" s="25" t="s">
        <v>56</v>
      </c>
      <c r="G269" s="26">
        <v>13</v>
      </c>
      <c r="H269" s="25">
        <f t="shared" si="62"/>
        <v>13</v>
      </c>
      <c r="J269" s="25">
        <v>9</v>
      </c>
      <c r="K269" s="26" t="s">
        <v>5429</v>
      </c>
      <c r="Q269" s="26"/>
    </row>
    <row r="270" spans="1:17" x14ac:dyDescent="0.25">
      <c r="A270" s="11" t="s">
        <v>5254</v>
      </c>
      <c r="C270" s="61" t="s">
        <v>253</v>
      </c>
      <c r="F270" s="14" t="s">
        <v>56</v>
      </c>
      <c r="G270" s="13">
        <v>1</v>
      </c>
      <c r="H270" s="14">
        <f t="shared" si="62"/>
        <v>1</v>
      </c>
      <c r="J270" s="14">
        <v>1</v>
      </c>
      <c r="K270" s="13" t="s">
        <v>4890</v>
      </c>
    </row>
    <row r="271" spans="1:17" x14ac:dyDescent="0.25">
      <c r="A271" s="11" t="s">
        <v>5254</v>
      </c>
      <c r="B271" s="13" t="s">
        <v>57</v>
      </c>
      <c r="C271" s="61" t="s">
        <v>950</v>
      </c>
      <c r="D271" s="13" t="s">
        <v>1940</v>
      </c>
      <c r="E271" s="13" t="s">
        <v>57</v>
      </c>
      <c r="F271" s="14" t="s">
        <v>56</v>
      </c>
      <c r="G271" s="13">
        <v>2</v>
      </c>
      <c r="H271" s="14">
        <f t="shared" si="62"/>
        <v>2</v>
      </c>
      <c r="J271" s="14">
        <v>2</v>
      </c>
      <c r="K271" s="13" t="s">
        <v>5303</v>
      </c>
      <c r="Q271" s="14"/>
    </row>
    <row r="272" spans="1:17" x14ac:dyDescent="0.25">
      <c r="A272" s="11" t="s">
        <v>5254</v>
      </c>
      <c r="B272" s="13" t="s">
        <v>186</v>
      </c>
      <c r="D272" s="13" t="s">
        <v>1940</v>
      </c>
      <c r="F272" s="14" t="s">
        <v>56</v>
      </c>
      <c r="G272" s="13">
        <v>1</v>
      </c>
      <c r="H272" s="14">
        <f t="shared" si="62"/>
        <v>1</v>
      </c>
      <c r="J272" s="14">
        <v>1</v>
      </c>
      <c r="K272" s="13" t="s">
        <v>389</v>
      </c>
      <c r="Q272" s="14"/>
    </row>
    <row r="273" spans="1:17" x14ac:dyDescent="0.25">
      <c r="A273" s="11" t="s">
        <v>5254</v>
      </c>
      <c r="B273" s="13" t="s">
        <v>55</v>
      </c>
      <c r="D273" s="13" t="s">
        <v>1940</v>
      </c>
      <c r="F273" s="14" t="s">
        <v>56</v>
      </c>
      <c r="G273" s="13">
        <v>2</v>
      </c>
      <c r="H273" s="14">
        <f t="shared" si="62"/>
        <v>2</v>
      </c>
      <c r="J273" s="14">
        <v>2</v>
      </c>
      <c r="K273" s="13" t="s">
        <v>5369</v>
      </c>
      <c r="Q273" s="14"/>
    </row>
    <row r="274" spans="1:17" x14ac:dyDescent="0.25">
      <c r="A274" s="11" t="s">
        <v>5254</v>
      </c>
      <c r="B274" s="13" t="s">
        <v>161</v>
      </c>
      <c r="C274" s="61" t="s">
        <v>5395</v>
      </c>
      <c r="D274" s="13" t="s">
        <v>5379</v>
      </c>
      <c r="E274" s="14" t="s">
        <v>254</v>
      </c>
      <c r="F274" s="14" t="s">
        <v>56</v>
      </c>
      <c r="G274" s="13">
        <v>1</v>
      </c>
      <c r="H274" s="14">
        <f t="shared" ref="H274" si="64">G274+I274</f>
        <v>1</v>
      </c>
      <c r="J274" s="14">
        <v>1</v>
      </c>
      <c r="K274" s="13" t="s">
        <v>5384</v>
      </c>
    </row>
    <row r="275" spans="1:17" s="25" customFormat="1" ht="29.25" customHeight="1" x14ac:dyDescent="0.25">
      <c r="A275" s="11" t="s">
        <v>5254</v>
      </c>
      <c r="B275" s="26"/>
      <c r="C275" s="80" t="s">
        <v>35</v>
      </c>
      <c r="D275" s="26"/>
      <c r="F275" s="25" t="s">
        <v>35</v>
      </c>
      <c r="G275" s="26">
        <v>13</v>
      </c>
      <c r="H275" s="25">
        <f t="shared" si="62"/>
        <v>13</v>
      </c>
      <c r="J275" s="25">
        <v>10</v>
      </c>
      <c r="K275" s="26" t="s">
        <v>5430</v>
      </c>
    </row>
    <row r="276" spans="1:17" x14ac:dyDescent="0.25">
      <c r="A276" s="11" t="s">
        <v>5254</v>
      </c>
      <c r="C276" s="61" t="s">
        <v>1898</v>
      </c>
      <c r="F276" s="14" t="s">
        <v>35</v>
      </c>
      <c r="G276" s="13">
        <v>1</v>
      </c>
      <c r="H276" s="14">
        <f>G276+I276</f>
        <v>1</v>
      </c>
      <c r="J276" s="14">
        <v>1</v>
      </c>
      <c r="K276" s="13" t="s">
        <v>476</v>
      </c>
      <c r="Q276" s="14"/>
    </row>
    <row r="277" spans="1:17" x14ac:dyDescent="0.25">
      <c r="A277" s="11" t="s">
        <v>5254</v>
      </c>
      <c r="C277" s="61" t="s">
        <v>1942</v>
      </c>
      <c r="F277" s="14" t="s">
        <v>35</v>
      </c>
      <c r="G277" s="13">
        <v>5</v>
      </c>
      <c r="H277" s="14">
        <f>G277+I277</f>
        <v>5</v>
      </c>
      <c r="J277" s="14">
        <v>5</v>
      </c>
      <c r="K277" s="13" t="s">
        <v>5372</v>
      </c>
      <c r="Q277" s="14"/>
    </row>
    <row r="278" spans="1:17" ht="22.5" x14ac:dyDescent="0.25">
      <c r="A278" s="11" t="s">
        <v>5254</v>
      </c>
      <c r="C278" s="61" t="s">
        <v>256</v>
      </c>
      <c r="D278" s="13" t="s">
        <v>813</v>
      </c>
      <c r="E278" s="13" t="s">
        <v>258</v>
      </c>
      <c r="F278" s="14" t="s">
        <v>35</v>
      </c>
      <c r="G278" s="13">
        <v>2</v>
      </c>
      <c r="H278" s="14">
        <f t="shared" si="62"/>
        <v>2</v>
      </c>
      <c r="J278" s="14">
        <v>2</v>
      </c>
      <c r="K278" s="13" t="s">
        <v>5298</v>
      </c>
      <c r="Q278" s="14"/>
    </row>
    <row r="279" spans="1:17" x14ac:dyDescent="0.25">
      <c r="A279" s="11" t="s">
        <v>5254</v>
      </c>
      <c r="C279" s="61" t="s">
        <v>5090</v>
      </c>
      <c r="E279" s="13" t="s">
        <v>3135</v>
      </c>
      <c r="F279" s="14" t="s">
        <v>35</v>
      </c>
      <c r="G279" s="13">
        <v>2</v>
      </c>
      <c r="H279" s="14">
        <f t="shared" si="62"/>
        <v>2</v>
      </c>
      <c r="J279" s="14">
        <v>2</v>
      </c>
      <c r="K279" s="13" t="s">
        <v>5304</v>
      </c>
      <c r="Q279" s="14"/>
    </row>
    <row r="280" spans="1:17" x14ac:dyDescent="0.25">
      <c r="A280" s="11" t="s">
        <v>5254</v>
      </c>
      <c r="C280" s="61" t="s">
        <v>257</v>
      </c>
      <c r="F280" s="14" t="s">
        <v>35</v>
      </c>
      <c r="G280" s="13">
        <v>2</v>
      </c>
      <c r="H280" s="14">
        <f t="shared" ref="H280:H309" si="65">G280+I280</f>
        <v>2</v>
      </c>
      <c r="J280" s="14">
        <v>2</v>
      </c>
      <c r="K280" s="13" t="s">
        <v>5373</v>
      </c>
      <c r="Q280" s="14"/>
    </row>
    <row r="281" spans="1:17" x14ac:dyDescent="0.25">
      <c r="A281" s="11" t="s">
        <v>5254</v>
      </c>
      <c r="C281" s="61" t="s">
        <v>260</v>
      </c>
      <c r="F281" s="14" t="s">
        <v>35</v>
      </c>
      <c r="G281" s="13">
        <v>3</v>
      </c>
      <c r="H281" s="14">
        <f t="shared" si="65"/>
        <v>3</v>
      </c>
      <c r="J281" s="14">
        <v>3</v>
      </c>
      <c r="K281" s="13" t="s">
        <v>5374</v>
      </c>
      <c r="Q281" s="14"/>
    </row>
    <row r="282" spans="1:17" x14ac:dyDescent="0.25">
      <c r="A282" s="11" t="s">
        <v>5254</v>
      </c>
      <c r="C282" s="61" t="s">
        <v>260</v>
      </c>
      <c r="D282" s="13" t="s">
        <v>5376</v>
      </c>
      <c r="F282" s="14" t="s">
        <v>35</v>
      </c>
      <c r="G282" s="13">
        <v>1</v>
      </c>
      <c r="H282" s="14">
        <f t="shared" ref="H282" si="66">G282+I282</f>
        <v>1</v>
      </c>
      <c r="J282" s="14">
        <v>1</v>
      </c>
      <c r="K282" s="13" t="s">
        <v>502</v>
      </c>
      <c r="Q282" s="14"/>
    </row>
    <row r="283" spans="1:17" x14ac:dyDescent="0.25">
      <c r="A283" s="11" t="s">
        <v>5254</v>
      </c>
      <c r="C283" s="61" t="s">
        <v>821</v>
      </c>
      <c r="F283" s="14" t="s">
        <v>35</v>
      </c>
      <c r="G283" s="13">
        <v>1</v>
      </c>
      <c r="H283" s="14">
        <f t="shared" si="65"/>
        <v>1</v>
      </c>
      <c r="J283" s="14">
        <v>1</v>
      </c>
      <c r="K283" s="13" t="s">
        <v>414</v>
      </c>
      <c r="Q283" s="14"/>
    </row>
    <row r="284" spans="1:17" x14ac:dyDescent="0.25">
      <c r="A284" s="11" t="s">
        <v>5254</v>
      </c>
      <c r="C284" s="61" t="s">
        <v>5265</v>
      </c>
      <c r="F284" s="14" t="s">
        <v>35</v>
      </c>
      <c r="G284" s="13">
        <v>1</v>
      </c>
      <c r="H284" s="14">
        <f t="shared" ref="H284" si="67">G284+I284</f>
        <v>1</v>
      </c>
      <c r="J284" s="14">
        <v>1</v>
      </c>
      <c r="K284" s="13" t="s">
        <v>4890</v>
      </c>
      <c r="Q284" s="14"/>
    </row>
    <row r="285" spans="1:17" x14ac:dyDescent="0.25">
      <c r="A285" s="11" t="s">
        <v>5254</v>
      </c>
      <c r="D285" s="13" t="s">
        <v>1015</v>
      </c>
      <c r="E285" s="14" t="s">
        <v>256</v>
      </c>
      <c r="F285" s="13" t="s">
        <v>35</v>
      </c>
      <c r="G285" s="13">
        <v>1</v>
      </c>
      <c r="H285" s="14">
        <f t="shared" si="65"/>
        <v>1</v>
      </c>
      <c r="J285" s="14">
        <v>1</v>
      </c>
      <c r="K285" s="13" t="s">
        <v>252</v>
      </c>
      <c r="Q285" s="14"/>
    </row>
    <row r="286" spans="1:17" x14ac:dyDescent="0.25">
      <c r="A286" s="11" t="s">
        <v>5254</v>
      </c>
      <c r="B286" s="13" t="s">
        <v>231</v>
      </c>
      <c r="D286" s="13" t="s">
        <v>1940</v>
      </c>
      <c r="F286" s="13" t="s">
        <v>35</v>
      </c>
      <c r="G286" s="13">
        <v>3</v>
      </c>
      <c r="H286" s="14">
        <f t="shared" si="65"/>
        <v>3</v>
      </c>
      <c r="J286" s="14">
        <v>3</v>
      </c>
      <c r="K286" s="13" t="s">
        <v>5375</v>
      </c>
      <c r="Q286" s="14"/>
    </row>
    <row r="287" spans="1:17" x14ac:dyDescent="0.25">
      <c r="A287" s="11" t="s">
        <v>5254</v>
      </c>
      <c r="B287" s="13" t="s">
        <v>231</v>
      </c>
      <c r="C287" s="61" t="s">
        <v>5266</v>
      </c>
      <c r="F287" s="13" t="s">
        <v>35</v>
      </c>
      <c r="G287" s="13">
        <v>1</v>
      </c>
      <c r="H287" s="14">
        <f>G287+I287</f>
        <v>1</v>
      </c>
      <c r="J287" s="14">
        <v>1</v>
      </c>
      <c r="K287" s="13" t="s">
        <v>4888</v>
      </c>
      <c r="Q287" s="14"/>
    </row>
    <row r="288" spans="1:17" x14ac:dyDescent="0.25">
      <c r="A288" s="11" t="s">
        <v>5254</v>
      </c>
      <c r="B288" s="13" t="s">
        <v>394</v>
      </c>
      <c r="C288" s="61" t="s">
        <v>5306</v>
      </c>
      <c r="F288" s="14" t="s">
        <v>35</v>
      </c>
      <c r="G288" s="13">
        <v>1</v>
      </c>
      <c r="H288" s="14">
        <f t="shared" ref="H288" si="68">G288+I288</f>
        <v>1</v>
      </c>
      <c r="J288" s="14">
        <v>1</v>
      </c>
      <c r="K288" s="13" t="s">
        <v>1103</v>
      </c>
      <c r="Q288" s="14"/>
    </row>
    <row r="289" spans="1:17" x14ac:dyDescent="0.25">
      <c r="A289" s="11" t="s">
        <v>5254</v>
      </c>
      <c r="B289" s="13" t="s">
        <v>407</v>
      </c>
      <c r="C289" s="61" t="s">
        <v>407</v>
      </c>
      <c r="D289" s="13" t="s">
        <v>1940</v>
      </c>
      <c r="F289" s="14" t="s">
        <v>35</v>
      </c>
      <c r="G289" s="13">
        <v>2</v>
      </c>
      <c r="H289" s="14">
        <f t="shared" si="65"/>
        <v>2</v>
      </c>
      <c r="J289" s="14">
        <v>2</v>
      </c>
      <c r="K289" s="13" t="s">
        <v>5370</v>
      </c>
      <c r="Q289" s="14"/>
    </row>
    <row r="290" spans="1:17" x14ac:dyDescent="0.25">
      <c r="A290" s="11" t="s">
        <v>5254</v>
      </c>
      <c r="B290" s="13" t="s">
        <v>676</v>
      </c>
      <c r="D290" s="13" t="s">
        <v>1940</v>
      </c>
      <c r="F290" s="14" t="s">
        <v>35</v>
      </c>
      <c r="G290" s="13">
        <v>1</v>
      </c>
      <c r="H290" s="14">
        <f t="shared" si="65"/>
        <v>1</v>
      </c>
      <c r="J290" s="14">
        <v>1</v>
      </c>
      <c r="K290" s="13" t="s">
        <v>414</v>
      </c>
      <c r="Q290" s="14"/>
    </row>
    <row r="291" spans="1:17" x14ac:dyDescent="0.25">
      <c r="A291" s="11" t="s">
        <v>5254</v>
      </c>
      <c r="B291" s="13" t="s">
        <v>676</v>
      </c>
      <c r="E291" s="14" t="s">
        <v>428</v>
      </c>
      <c r="F291" s="14" t="s">
        <v>35</v>
      </c>
      <c r="G291" s="13">
        <v>1</v>
      </c>
      <c r="H291" s="14">
        <f t="shared" si="65"/>
        <v>1</v>
      </c>
      <c r="J291" s="14">
        <v>1</v>
      </c>
      <c r="K291" s="13" t="s">
        <v>507</v>
      </c>
      <c r="Q291" s="14"/>
    </row>
    <row r="292" spans="1:17" x14ac:dyDescent="0.25">
      <c r="A292" s="11" t="s">
        <v>5254</v>
      </c>
      <c r="B292" s="13" t="s">
        <v>676</v>
      </c>
      <c r="C292" s="61" t="s">
        <v>745</v>
      </c>
      <c r="F292" s="14" t="s">
        <v>35</v>
      </c>
      <c r="G292" s="13">
        <v>1</v>
      </c>
      <c r="H292" s="14">
        <f>G292+I292</f>
        <v>1</v>
      </c>
      <c r="J292" s="14">
        <v>1</v>
      </c>
      <c r="K292" s="13" t="s">
        <v>217</v>
      </c>
      <c r="Q292" s="14"/>
    </row>
    <row r="293" spans="1:17" x14ac:dyDescent="0.25">
      <c r="A293" s="11" t="s">
        <v>5254</v>
      </c>
      <c r="B293" s="13" t="s">
        <v>4204</v>
      </c>
      <c r="D293" s="13" t="s">
        <v>1940</v>
      </c>
      <c r="F293" s="14" t="s">
        <v>35</v>
      </c>
      <c r="G293" s="13">
        <v>1</v>
      </c>
      <c r="H293" s="14">
        <f t="shared" si="65"/>
        <v>1</v>
      </c>
      <c r="J293" s="14">
        <v>1</v>
      </c>
      <c r="K293" s="13" t="s">
        <v>488</v>
      </c>
      <c r="Q293" s="14"/>
    </row>
    <row r="294" spans="1:17" x14ac:dyDescent="0.25">
      <c r="A294" s="11" t="s">
        <v>5254</v>
      </c>
      <c r="B294" s="13" t="s">
        <v>4204</v>
      </c>
      <c r="D294" s="13" t="s">
        <v>465</v>
      </c>
      <c r="E294" s="14" t="s">
        <v>464</v>
      </c>
      <c r="F294" s="14" t="s">
        <v>35</v>
      </c>
      <c r="G294" s="13">
        <v>1</v>
      </c>
      <c r="H294" s="14">
        <f t="shared" si="65"/>
        <v>1</v>
      </c>
      <c r="J294" s="14">
        <v>1</v>
      </c>
      <c r="K294" s="13" t="s">
        <v>324</v>
      </c>
      <c r="Q294" s="14"/>
    </row>
    <row r="295" spans="1:17" x14ac:dyDescent="0.25">
      <c r="A295" s="11" t="s">
        <v>5254</v>
      </c>
      <c r="B295" s="13" t="s">
        <v>1596</v>
      </c>
      <c r="C295" s="61" t="s">
        <v>1711</v>
      </c>
      <c r="F295" s="14" t="s">
        <v>35</v>
      </c>
      <c r="G295" s="13">
        <v>1</v>
      </c>
      <c r="H295" s="14">
        <f t="shared" ref="H295" si="69">G295+I295</f>
        <v>1</v>
      </c>
      <c r="J295" s="14">
        <v>1</v>
      </c>
      <c r="K295" s="13" t="s">
        <v>5384</v>
      </c>
    </row>
    <row r="296" spans="1:17" x14ac:dyDescent="0.25">
      <c r="A296" s="11" t="s">
        <v>5254</v>
      </c>
      <c r="B296" s="13" t="s">
        <v>1596</v>
      </c>
      <c r="C296" s="61" t="s">
        <v>5405</v>
      </c>
      <c r="F296" s="14" t="s">
        <v>35</v>
      </c>
      <c r="G296" s="13">
        <v>1</v>
      </c>
      <c r="H296" s="14">
        <f t="shared" ref="H296" si="70">G296+I296</f>
        <v>1</v>
      </c>
      <c r="J296" s="14">
        <v>1</v>
      </c>
      <c r="K296" s="13" t="s">
        <v>3377</v>
      </c>
    </row>
    <row r="297" spans="1:17" x14ac:dyDescent="0.25">
      <c r="A297" s="11" t="s">
        <v>5254</v>
      </c>
      <c r="B297" s="13" t="s">
        <v>1596</v>
      </c>
      <c r="C297" s="61" t="s">
        <v>1711</v>
      </c>
      <c r="D297" s="13" t="s">
        <v>3762</v>
      </c>
      <c r="F297" s="14" t="s">
        <v>35</v>
      </c>
      <c r="G297" s="13">
        <v>1</v>
      </c>
      <c r="H297" s="14">
        <f t="shared" si="65"/>
        <v>1</v>
      </c>
      <c r="J297" s="14">
        <v>1</v>
      </c>
      <c r="K297" s="13" t="s">
        <v>4894</v>
      </c>
    </row>
    <row r="298" spans="1:17" x14ac:dyDescent="0.25">
      <c r="A298" s="11" t="s">
        <v>5254</v>
      </c>
      <c r="B298" s="13" t="s">
        <v>34</v>
      </c>
      <c r="D298" s="13" t="s">
        <v>1940</v>
      </c>
      <c r="F298" s="14" t="s">
        <v>35</v>
      </c>
      <c r="G298" s="13">
        <v>10</v>
      </c>
      <c r="H298" s="14">
        <f t="shared" si="65"/>
        <v>10</v>
      </c>
      <c r="J298" s="14">
        <v>7</v>
      </c>
      <c r="K298" s="13" t="s">
        <v>5305</v>
      </c>
    </row>
    <row r="299" spans="1:17" x14ac:dyDescent="0.25">
      <c r="A299" s="11" t="s">
        <v>5254</v>
      </c>
      <c r="B299" s="13" t="s">
        <v>34</v>
      </c>
      <c r="E299" s="13" t="s">
        <v>156</v>
      </c>
      <c r="F299" s="14" t="s">
        <v>35</v>
      </c>
      <c r="G299" s="13">
        <v>1</v>
      </c>
      <c r="H299" s="14">
        <f>G299+I299</f>
        <v>1</v>
      </c>
      <c r="J299" s="14">
        <v>1</v>
      </c>
      <c r="K299" s="13" t="s">
        <v>204</v>
      </c>
      <c r="Q299" s="14"/>
    </row>
    <row r="300" spans="1:17" x14ac:dyDescent="0.25">
      <c r="A300" s="11" t="s">
        <v>5254</v>
      </c>
      <c r="B300" s="13" t="s">
        <v>34</v>
      </c>
      <c r="C300" s="61" t="s">
        <v>2780</v>
      </c>
      <c r="E300" s="13" t="s">
        <v>2780</v>
      </c>
      <c r="F300" s="14" t="s">
        <v>35</v>
      </c>
      <c r="G300" s="13">
        <v>1</v>
      </c>
      <c r="H300" s="14">
        <f>G300+I300</f>
        <v>1</v>
      </c>
      <c r="J300" s="14">
        <v>1</v>
      </c>
      <c r="K300" s="13" t="s">
        <v>240</v>
      </c>
      <c r="Q300" s="14"/>
    </row>
    <row r="301" spans="1:17" x14ac:dyDescent="0.25">
      <c r="A301" s="11" t="s">
        <v>5254</v>
      </c>
      <c r="B301" s="13" t="s">
        <v>99</v>
      </c>
      <c r="D301" s="13" t="s">
        <v>1940</v>
      </c>
      <c r="F301" s="14" t="s">
        <v>35</v>
      </c>
      <c r="G301" s="13">
        <v>1</v>
      </c>
      <c r="H301" s="14">
        <f t="shared" si="65"/>
        <v>1</v>
      </c>
      <c r="J301" s="14">
        <v>1</v>
      </c>
      <c r="K301" s="13" t="s">
        <v>979</v>
      </c>
      <c r="Q301" s="14"/>
    </row>
    <row r="302" spans="1:17" x14ac:dyDescent="0.25">
      <c r="A302" s="11" t="s">
        <v>5254</v>
      </c>
      <c r="B302" s="13" t="s">
        <v>99</v>
      </c>
      <c r="C302" s="61" t="s">
        <v>5240</v>
      </c>
      <c r="F302" s="14" t="s">
        <v>35</v>
      </c>
      <c r="G302" s="13">
        <v>1</v>
      </c>
      <c r="H302" s="14">
        <f t="shared" si="65"/>
        <v>1</v>
      </c>
      <c r="J302" s="14">
        <v>1</v>
      </c>
      <c r="K302" s="13" t="s">
        <v>502</v>
      </c>
      <c r="Q302" s="14"/>
    </row>
    <row r="303" spans="1:17" x14ac:dyDescent="0.25">
      <c r="A303" s="11" t="s">
        <v>5254</v>
      </c>
      <c r="B303" s="13" t="s">
        <v>170</v>
      </c>
      <c r="D303" s="13" t="s">
        <v>1940</v>
      </c>
      <c r="F303" s="14" t="s">
        <v>35</v>
      </c>
      <c r="G303" s="13">
        <v>1</v>
      </c>
      <c r="H303" s="14">
        <f t="shared" si="65"/>
        <v>1</v>
      </c>
      <c r="J303" s="14">
        <v>1</v>
      </c>
      <c r="K303" s="13" t="s">
        <v>324</v>
      </c>
      <c r="Q303" s="14"/>
    </row>
    <row r="304" spans="1:17" x14ac:dyDescent="0.25">
      <c r="A304" s="11" t="s">
        <v>5254</v>
      </c>
      <c r="B304" s="13" t="s">
        <v>319</v>
      </c>
      <c r="C304" s="61" t="s">
        <v>315</v>
      </c>
      <c r="D304" s="13" t="s">
        <v>1940</v>
      </c>
      <c r="F304" s="14" t="s">
        <v>35</v>
      </c>
      <c r="G304" s="13">
        <v>3</v>
      </c>
      <c r="H304" s="14">
        <f t="shared" si="65"/>
        <v>3</v>
      </c>
      <c r="J304" s="14">
        <v>3</v>
      </c>
      <c r="K304" s="13" t="s">
        <v>5371</v>
      </c>
      <c r="Q304" s="14"/>
    </row>
    <row r="305" spans="1:17" s="25" customFormat="1" ht="38.25" customHeight="1" x14ac:dyDescent="0.25">
      <c r="A305" s="11" t="s">
        <v>5254</v>
      </c>
      <c r="B305" s="26"/>
      <c r="C305" s="80" t="s">
        <v>771</v>
      </c>
      <c r="D305" s="26"/>
      <c r="F305" s="25" t="s">
        <v>771</v>
      </c>
      <c r="G305" s="26">
        <v>24</v>
      </c>
      <c r="H305" s="25">
        <f t="shared" si="65"/>
        <v>24</v>
      </c>
      <c r="J305" s="25">
        <v>11</v>
      </c>
      <c r="K305" s="26" t="s">
        <v>5431</v>
      </c>
      <c r="Q305" s="26"/>
    </row>
    <row r="306" spans="1:17" ht="22.5" x14ac:dyDescent="0.25">
      <c r="A306" s="11" t="s">
        <v>5254</v>
      </c>
      <c r="C306" s="61" t="s">
        <v>1900</v>
      </c>
      <c r="F306" s="13" t="s">
        <v>776</v>
      </c>
      <c r="G306" s="13">
        <v>1</v>
      </c>
      <c r="H306" s="14">
        <f t="shared" si="65"/>
        <v>1</v>
      </c>
      <c r="J306" s="14">
        <v>1</v>
      </c>
      <c r="K306" s="13" t="s">
        <v>466</v>
      </c>
    </row>
    <row r="307" spans="1:17" ht="22.5" x14ac:dyDescent="0.25">
      <c r="A307" s="11" t="s">
        <v>5254</v>
      </c>
      <c r="B307" s="13" t="s">
        <v>775</v>
      </c>
      <c r="F307" s="13" t="s">
        <v>776</v>
      </c>
      <c r="G307" s="13">
        <v>1</v>
      </c>
      <c r="H307" s="14">
        <f t="shared" si="65"/>
        <v>1</v>
      </c>
      <c r="J307" s="14">
        <v>1</v>
      </c>
      <c r="K307" s="13" t="s">
        <v>4891</v>
      </c>
    </row>
    <row r="308" spans="1:17" ht="22.5" x14ac:dyDescent="0.25">
      <c r="A308" s="11" t="s">
        <v>5254</v>
      </c>
      <c r="B308" s="13" t="s">
        <v>1444</v>
      </c>
      <c r="D308" s="14" t="s">
        <v>1940</v>
      </c>
      <c r="F308" s="13" t="s">
        <v>776</v>
      </c>
      <c r="G308" s="13">
        <v>1</v>
      </c>
      <c r="H308" s="14">
        <f t="shared" si="65"/>
        <v>1</v>
      </c>
      <c r="J308" s="14">
        <v>1</v>
      </c>
      <c r="K308" s="14" t="s">
        <v>466</v>
      </c>
    </row>
    <row r="309" spans="1:17" x14ac:dyDescent="0.25">
      <c r="A309" s="11" t="s">
        <v>5254</v>
      </c>
      <c r="D309" s="13" t="s">
        <v>1219</v>
      </c>
      <c r="F309" s="14" t="s">
        <v>771</v>
      </c>
      <c r="G309" s="13">
        <v>1</v>
      </c>
      <c r="H309" s="14">
        <f t="shared" si="65"/>
        <v>1</v>
      </c>
      <c r="J309" s="14">
        <v>1</v>
      </c>
      <c r="K309" s="13" t="s">
        <v>252</v>
      </c>
      <c r="Q309" s="14"/>
    </row>
    <row r="310" spans="1:17" x14ac:dyDescent="0.25">
      <c r="A310" s="11" t="s">
        <v>5254</v>
      </c>
      <c r="B310" s="13" t="s">
        <v>785</v>
      </c>
      <c r="C310" s="61" t="s">
        <v>3161</v>
      </c>
      <c r="D310" s="13" t="s">
        <v>1219</v>
      </c>
      <c r="F310" s="13" t="s">
        <v>773</v>
      </c>
      <c r="G310" s="13">
        <v>1</v>
      </c>
      <c r="H310" s="14">
        <f t="shared" ref="H310:H314" si="71">G310+I310</f>
        <v>1</v>
      </c>
      <c r="J310" s="14">
        <v>1</v>
      </c>
      <c r="K310" s="13" t="s">
        <v>372</v>
      </c>
      <c r="Q310" s="14"/>
    </row>
    <row r="311" spans="1:17" x14ac:dyDescent="0.25">
      <c r="A311" s="11" t="s">
        <v>5254</v>
      </c>
      <c r="B311" s="13" t="s">
        <v>795</v>
      </c>
      <c r="C311" s="61" t="s">
        <v>4778</v>
      </c>
      <c r="D311" s="13" t="s">
        <v>1223</v>
      </c>
      <c r="E311" s="14" t="s">
        <v>797</v>
      </c>
      <c r="F311" s="13" t="s">
        <v>773</v>
      </c>
      <c r="G311" s="13">
        <v>1</v>
      </c>
      <c r="H311" s="14">
        <f t="shared" si="71"/>
        <v>1</v>
      </c>
      <c r="J311" s="14">
        <v>1</v>
      </c>
      <c r="K311" s="13" t="s">
        <v>494</v>
      </c>
      <c r="Q311" s="14"/>
    </row>
    <row r="312" spans="1:17" x14ac:dyDescent="0.25">
      <c r="A312" s="11" t="s">
        <v>5254</v>
      </c>
      <c r="E312" s="13" t="s">
        <v>982</v>
      </c>
      <c r="F312" s="14" t="s">
        <v>771</v>
      </c>
      <c r="G312" s="13">
        <v>1</v>
      </c>
      <c r="H312" s="14">
        <f t="shared" si="71"/>
        <v>1</v>
      </c>
      <c r="J312" s="14">
        <v>1</v>
      </c>
      <c r="K312" s="13" t="s">
        <v>1092</v>
      </c>
      <c r="Q312" s="14"/>
    </row>
    <row r="313" spans="1:17" x14ac:dyDescent="0.25">
      <c r="A313" s="11" t="s">
        <v>5254</v>
      </c>
      <c r="C313" s="61" t="s">
        <v>1901</v>
      </c>
      <c r="E313" s="14" t="s">
        <v>773</v>
      </c>
      <c r="F313" s="14" t="s">
        <v>771</v>
      </c>
      <c r="G313" s="13">
        <v>1</v>
      </c>
      <c r="H313" s="14">
        <f t="shared" si="71"/>
        <v>1</v>
      </c>
      <c r="J313" s="14">
        <v>1</v>
      </c>
      <c r="K313" s="13" t="s">
        <v>4891</v>
      </c>
      <c r="Q313" s="14"/>
    </row>
    <row r="314" spans="1:17" x14ac:dyDescent="0.25">
      <c r="A314" s="11" t="s">
        <v>5254</v>
      </c>
      <c r="C314" s="61" t="s">
        <v>774</v>
      </c>
      <c r="D314" s="13" t="s">
        <v>1940</v>
      </c>
      <c r="F314" s="14" t="s">
        <v>771</v>
      </c>
      <c r="G314" s="13">
        <v>1</v>
      </c>
      <c r="H314" s="14">
        <f t="shared" si="71"/>
        <v>1</v>
      </c>
      <c r="J314" s="14">
        <v>1</v>
      </c>
      <c r="K314" s="13" t="s">
        <v>4891</v>
      </c>
      <c r="Q314" s="14"/>
    </row>
    <row r="315" spans="1:17" x14ac:dyDescent="0.25">
      <c r="A315" s="11" t="s">
        <v>5254</v>
      </c>
      <c r="C315" s="61" t="s">
        <v>774</v>
      </c>
      <c r="D315" s="13" t="s">
        <v>5307</v>
      </c>
      <c r="E315" s="14" t="s">
        <v>774</v>
      </c>
      <c r="F315" s="13" t="s">
        <v>771</v>
      </c>
      <c r="G315" s="13">
        <v>1</v>
      </c>
      <c r="H315" s="14">
        <f t="shared" ref="H315" si="72">G315+I315</f>
        <v>1</v>
      </c>
      <c r="J315" s="14">
        <v>1</v>
      </c>
      <c r="K315" s="13" t="s">
        <v>252</v>
      </c>
      <c r="Q315" s="14"/>
    </row>
    <row r="316" spans="1:17" x14ac:dyDescent="0.25">
      <c r="F316" s="13"/>
      <c r="G316" s="13"/>
      <c r="Q316" s="14"/>
    </row>
    <row r="317" spans="1:17" x14ac:dyDescent="0.25">
      <c r="F317" s="13"/>
      <c r="G317" s="13"/>
      <c r="Q317" s="14"/>
    </row>
    <row r="318" spans="1:17" ht="22.5" x14ac:dyDescent="0.25">
      <c r="B318" s="13" t="s">
        <v>532</v>
      </c>
      <c r="C318" s="61">
        <f>SUM(H144:H145)</f>
        <v>2</v>
      </c>
      <c r="Q318" s="14"/>
    </row>
    <row r="319" spans="1:17" x14ac:dyDescent="0.25">
      <c r="B319" s="13" t="s">
        <v>411</v>
      </c>
      <c r="C319" s="61">
        <f>H2+H146</f>
        <v>2</v>
      </c>
      <c r="Q319" s="14"/>
    </row>
    <row r="320" spans="1:17" x14ac:dyDescent="0.25">
      <c r="B320" s="13" t="s">
        <v>297</v>
      </c>
      <c r="C320" s="61">
        <f>SUM(H147:H148)</f>
        <v>2</v>
      </c>
      <c r="Q320" s="14"/>
    </row>
    <row r="321" spans="1:17" x14ac:dyDescent="0.25">
      <c r="B321" s="13" t="s">
        <v>2249</v>
      </c>
      <c r="C321" s="61">
        <v>0</v>
      </c>
      <c r="Q321" s="14"/>
    </row>
    <row r="322" spans="1:17" x14ac:dyDescent="0.25">
      <c r="B322" s="13" t="s">
        <v>2365</v>
      </c>
      <c r="C322" s="61">
        <f>H149</f>
        <v>1</v>
      </c>
      <c r="Q322" s="14"/>
    </row>
    <row r="323" spans="1:17" x14ac:dyDescent="0.25">
      <c r="B323" s="13" t="s">
        <v>3211</v>
      </c>
      <c r="C323" s="61">
        <v>0</v>
      </c>
      <c r="Q323" s="14"/>
    </row>
    <row r="324" spans="1:17" x14ac:dyDescent="0.25">
      <c r="B324" s="13" t="s">
        <v>76</v>
      </c>
      <c r="C324" s="61">
        <f>SUM(H3:H9)+SUM(H150:H152)</f>
        <v>22</v>
      </c>
      <c r="Q324" s="14"/>
    </row>
    <row r="325" spans="1:17" x14ac:dyDescent="0.25">
      <c r="B325" s="13" t="s">
        <v>1424</v>
      </c>
      <c r="C325" s="61">
        <f>H153</f>
        <v>1</v>
      </c>
      <c r="D325" s="14"/>
      <c r="Q325" s="14"/>
    </row>
    <row r="326" spans="1:17" x14ac:dyDescent="0.25">
      <c r="B326" s="13" t="s">
        <v>213</v>
      </c>
      <c r="C326" s="61">
        <f>H10+H154</f>
        <v>3</v>
      </c>
      <c r="D326" s="14"/>
      <c r="Q326" s="14"/>
    </row>
    <row r="327" spans="1:17" x14ac:dyDescent="0.25">
      <c r="B327" s="13" t="s">
        <v>42</v>
      </c>
      <c r="C327" s="61">
        <f>SUM(H11:H13)+SUM(H155:H159)</f>
        <v>19</v>
      </c>
      <c r="D327" s="14"/>
      <c r="Q327" s="14"/>
    </row>
    <row r="328" spans="1:17" x14ac:dyDescent="0.25">
      <c r="B328" s="13" t="s">
        <v>10</v>
      </c>
      <c r="C328" s="61">
        <f>SUM(H160:H161)</f>
        <v>3</v>
      </c>
      <c r="D328" s="14"/>
      <c r="Q328" s="14"/>
    </row>
    <row r="329" spans="1:17" x14ac:dyDescent="0.25">
      <c r="B329" s="13" t="s">
        <v>126</v>
      </c>
      <c r="C329" s="61">
        <f>H14+SUM(H162:H163)</f>
        <v>3</v>
      </c>
      <c r="Q329" s="14"/>
    </row>
    <row r="330" spans="1:17" x14ac:dyDescent="0.25">
      <c r="B330" s="13" t="s">
        <v>191</v>
      </c>
      <c r="C330" s="61">
        <f>SUM(H15:H16)+SUM(H164:H170)</f>
        <v>15</v>
      </c>
      <c r="Q330" s="14"/>
    </row>
    <row r="331" spans="1:17" x14ac:dyDescent="0.25">
      <c r="B331" s="13" t="s">
        <v>68</v>
      </c>
      <c r="C331" s="61">
        <f>SUM(H17:H26)+SUM(H171:H178)</f>
        <v>59</v>
      </c>
      <c r="Q331" s="14"/>
    </row>
    <row r="332" spans="1:17" x14ac:dyDescent="0.25">
      <c r="B332" s="13" t="s">
        <v>674</v>
      </c>
      <c r="C332" s="61">
        <f>SUM(H179:H180)</f>
        <v>2</v>
      </c>
      <c r="Q332" s="14"/>
    </row>
    <row r="333" spans="1:17" s="79" customFormat="1" x14ac:dyDescent="0.2">
      <c r="A333" s="78"/>
      <c r="B333" s="13" t="s">
        <v>327</v>
      </c>
      <c r="C333" s="61">
        <f>SUM(H181:H183)</f>
        <v>5</v>
      </c>
      <c r="D333" s="13"/>
      <c r="E333" s="14"/>
      <c r="F333" s="14"/>
      <c r="G333" s="14"/>
      <c r="H333" s="14"/>
      <c r="I333" s="14"/>
      <c r="J333" s="14"/>
      <c r="K333" s="13"/>
      <c r="L333" s="14"/>
      <c r="M333" s="14"/>
      <c r="N333" s="14"/>
      <c r="O333" s="14"/>
      <c r="P333" s="14"/>
    </row>
    <row r="334" spans="1:17" x14ac:dyDescent="0.2">
      <c r="B334" s="13" t="s">
        <v>209</v>
      </c>
      <c r="C334" s="61">
        <f>H27+SUM(H186:H187)</f>
        <v>3</v>
      </c>
      <c r="L334" s="79"/>
      <c r="M334" s="79"/>
      <c r="N334" s="79"/>
      <c r="O334" s="79"/>
      <c r="P334" s="79"/>
      <c r="Q334" s="14"/>
    </row>
    <row r="335" spans="1:17" x14ac:dyDescent="0.2">
      <c r="B335" s="13" t="s">
        <v>2006</v>
      </c>
      <c r="C335" s="83">
        <f>H184</f>
        <v>1</v>
      </c>
      <c r="D335" s="79"/>
      <c r="E335" s="79"/>
      <c r="F335" s="79"/>
      <c r="G335" s="79"/>
      <c r="I335" s="79"/>
      <c r="J335" s="79"/>
      <c r="K335" s="79"/>
      <c r="Q335" s="14"/>
    </row>
    <row r="336" spans="1:17" x14ac:dyDescent="0.2">
      <c r="B336" s="13" t="s">
        <v>3231</v>
      </c>
      <c r="C336" s="83">
        <f>H185</f>
        <v>1</v>
      </c>
      <c r="D336" s="79"/>
      <c r="E336" s="79"/>
      <c r="F336" s="79"/>
      <c r="G336" s="79"/>
      <c r="I336" s="79"/>
      <c r="J336" s="79"/>
      <c r="K336" s="79"/>
      <c r="Q336" s="14"/>
    </row>
    <row r="337" spans="1:17" x14ac:dyDescent="0.25">
      <c r="B337" s="13" t="s">
        <v>64</v>
      </c>
      <c r="C337" s="61">
        <f>SUM(H28:H29)</f>
        <v>5</v>
      </c>
      <c r="D337" s="14"/>
      <c r="K337" s="14"/>
      <c r="Q337" s="14"/>
    </row>
    <row r="338" spans="1:17" x14ac:dyDescent="0.25">
      <c r="B338" s="13" t="s">
        <v>261</v>
      </c>
      <c r="C338" s="61">
        <f>SUM(H30:H31)+SUM(H188:H191)</f>
        <v>9</v>
      </c>
      <c r="D338" s="14"/>
      <c r="K338" s="14"/>
      <c r="Q338" s="14"/>
    </row>
    <row r="339" spans="1:17" x14ac:dyDescent="0.25">
      <c r="B339" s="13" t="s">
        <v>1346</v>
      </c>
      <c r="C339" s="61">
        <f>SUM(H192:H194)</f>
        <v>3</v>
      </c>
      <c r="D339" s="14"/>
      <c r="K339" s="14"/>
      <c r="Q339" s="14"/>
    </row>
    <row r="340" spans="1:17" x14ac:dyDescent="0.25">
      <c r="A340" s="14"/>
      <c r="B340" s="13" t="s">
        <v>705</v>
      </c>
      <c r="C340" s="61">
        <v>0</v>
      </c>
      <c r="D340" s="14"/>
      <c r="K340" s="14"/>
      <c r="Q340" s="14"/>
    </row>
    <row r="341" spans="1:17" x14ac:dyDescent="0.25">
      <c r="A341" s="14"/>
      <c r="B341" s="13" t="s">
        <v>134</v>
      </c>
      <c r="C341" s="61">
        <v>0</v>
      </c>
      <c r="D341" s="14"/>
      <c r="K341" s="14"/>
      <c r="Q341" s="14"/>
    </row>
    <row r="342" spans="1:17" x14ac:dyDescent="0.25">
      <c r="A342" s="14"/>
      <c r="B342" s="13" t="s">
        <v>283</v>
      </c>
      <c r="C342" s="61">
        <f>H32+SUM(H195:H198)+H259</f>
        <v>7</v>
      </c>
      <c r="D342" s="14"/>
      <c r="K342" s="14"/>
      <c r="Q342" s="14"/>
    </row>
    <row r="343" spans="1:17" x14ac:dyDescent="0.25">
      <c r="A343" s="14"/>
      <c r="B343" s="13" t="s">
        <v>430</v>
      </c>
      <c r="C343" s="61">
        <v>0</v>
      </c>
      <c r="D343" s="14"/>
      <c r="K343" s="14"/>
      <c r="Q343" s="14"/>
    </row>
    <row r="344" spans="1:17" x14ac:dyDescent="0.25">
      <c r="A344" s="14"/>
      <c r="B344" s="13" t="s">
        <v>1933</v>
      </c>
      <c r="C344" s="61">
        <f>H33+H199</f>
        <v>4</v>
      </c>
      <c r="D344" s="14"/>
      <c r="K344" s="14"/>
      <c r="Q344" s="14"/>
    </row>
    <row r="345" spans="1:17" x14ac:dyDescent="0.25">
      <c r="A345" s="14"/>
      <c r="B345" s="13" t="s">
        <v>328</v>
      </c>
      <c r="C345" s="61">
        <f>H200</f>
        <v>1</v>
      </c>
      <c r="D345" s="14"/>
      <c r="K345" s="14"/>
      <c r="Q345" s="14"/>
    </row>
    <row r="346" spans="1:17" x14ac:dyDescent="0.25">
      <c r="A346" s="14"/>
      <c r="B346" s="13" t="s">
        <v>3201</v>
      </c>
      <c r="C346" s="61">
        <f>SUM(H201:H202)</f>
        <v>2</v>
      </c>
      <c r="D346" s="14"/>
      <c r="K346" s="14"/>
      <c r="Q346" s="14"/>
    </row>
    <row r="347" spans="1:17" x14ac:dyDescent="0.25">
      <c r="A347" s="14"/>
      <c r="B347" s="13" t="s">
        <v>2391</v>
      </c>
      <c r="C347" s="61">
        <f>SUM(H203:H210)</f>
        <v>14</v>
      </c>
      <c r="D347" s="14"/>
      <c r="K347" s="14"/>
      <c r="Q347" s="14"/>
    </row>
    <row r="348" spans="1:17" x14ac:dyDescent="0.25">
      <c r="A348" s="14"/>
      <c r="B348" s="13" t="s">
        <v>483</v>
      </c>
      <c r="C348" s="61">
        <v>0</v>
      </c>
      <c r="D348" s="14"/>
      <c r="K348" s="14"/>
      <c r="Q348" s="14"/>
    </row>
    <row r="349" spans="1:17" x14ac:dyDescent="0.25">
      <c r="A349" s="14"/>
      <c r="B349" s="13" t="s">
        <v>2674</v>
      </c>
      <c r="C349" s="61">
        <v>0</v>
      </c>
      <c r="D349" s="14"/>
      <c r="K349" s="14"/>
      <c r="Q349" s="14"/>
    </row>
    <row r="350" spans="1:17" x14ac:dyDescent="0.25">
      <c r="A350" s="14"/>
      <c r="B350" s="13" t="s">
        <v>2091</v>
      </c>
      <c r="C350" s="61">
        <v>0</v>
      </c>
      <c r="D350" s="14"/>
      <c r="K350" s="14"/>
      <c r="Q350" s="14"/>
    </row>
    <row r="351" spans="1:17" x14ac:dyDescent="0.25">
      <c r="A351" s="14"/>
      <c r="B351" s="13" t="s">
        <v>78</v>
      </c>
      <c r="C351" s="61">
        <f>H34+H211</f>
        <v>2</v>
      </c>
      <c r="D351" s="14"/>
      <c r="K351" s="14"/>
      <c r="Q351" s="14"/>
    </row>
    <row r="352" spans="1:17" x14ac:dyDescent="0.25">
      <c r="A352" s="14"/>
      <c r="B352" s="13" t="s">
        <v>206</v>
      </c>
      <c r="C352" s="61">
        <f>SUM(H35:H36)+H212</f>
        <v>10</v>
      </c>
      <c r="D352" s="14"/>
      <c r="K352" s="14"/>
      <c r="Q352" s="14"/>
    </row>
    <row r="353" spans="1:17" x14ac:dyDescent="0.25">
      <c r="A353" s="14"/>
      <c r="B353" s="13" t="s">
        <v>46</v>
      </c>
      <c r="C353" s="61">
        <f>H37+SUM(H216:H217)</f>
        <v>3</v>
      </c>
      <c r="D353" s="14"/>
      <c r="K353" s="14"/>
      <c r="Q353" s="14"/>
    </row>
    <row r="354" spans="1:17" x14ac:dyDescent="0.25">
      <c r="A354" s="14"/>
      <c r="B354" s="13" t="s">
        <v>2617</v>
      </c>
      <c r="C354" s="61">
        <f>SUM(H213:H215)</f>
        <v>3</v>
      </c>
      <c r="D354" s="14"/>
      <c r="K354" s="14"/>
      <c r="Q354" s="14"/>
    </row>
    <row r="355" spans="1:17" x14ac:dyDescent="0.25">
      <c r="A355" s="14"/>
      <c r="B355" s="13" t="s">
        <v>62</v>
      </c>
      <c r="C355" s="61">
        <f>SUM(H38:H45)+SUM(H218:H221)</f>
        <v>17</v>
      </c>
      <c r="D355" s="14"/>
      <c r="K355" s="14"/>
      <c r="Q355" s="14"/>
    </row>
    <row r="356" spans="1:17" x14ac:dyDescent="0.25">
      <c r="A356" s="14"/>
      <c r="B356" s="13" t="s">
        <v>3137</v>
      </c>
      <c r="C356" s="61">
        <v>0</v>
      </c>
      <c r="D356" s="14"/>
      <c r="K356" s="14"/>
      <c r="Q356" s="14"/>
    </row>
    <row r="357" spans="1:17" x14ac:dyDescent="0.25">
      <c r="A357" s="14"/>
      <c r="B357" s="13" t="s">
        <v>82</v>
      </c>
      <c r="C357" s="61">
        <f>H222</f>
        <v>1</v>
      </c>
      <c r="D357" s="14"/>
      <c r="K357" s="14"/>
      <c r="Q357" s="14"/>
    </row>
    <row r="358" spans="1:17" x14ac:dyDescent="0.25">
      <c r="A358" s="14"/>
      <c r="B358" s="13" t="s">
        <v>22</v>
      </c>
      <c r="C358" s="61">
        <f>SUM(H46:H49)+H223</f>
        <v>10</v>
      </c>
      <c r="D358" s="14"/>
      <c r="K358" s="14"/>
      <c r="Q358" s="14"/>
    </row>
    <row r="359" spans="1:17" x14ac:dyDescent="0.25">
      <c r="A359" s="14"/>
      <c r="B359" s="13" t="s">
        <v>446</v>
      </c>
      <c r="C359" s="61">
        <v>0</v>
      </c>
      <c r="D359" s="14"/>
      <c r="K359" s="14"/>
      <c r="Q359" s="14"/>
    </row>
    <row r="360" spans="1:17" x14ac:dyDescent="0.25">
      <c r="A360" s="14"/>
      <c r="B360" s="13" t="s">
        <v>609</v>
      </c>
      <c r="C360" s="61">
        <f>SUM(H50:H51)+H224</f>
        <v>4</v>
      </c>
      <c r="D360" s="14"/>
      <c r="K360" s="14"/>
      <c r="Q360" s="14"/>
    </row>
    <row r="361" spans="1:17" x14ac:dyDescent="0.25">
      <c r="A361" s="14"/>
      <c r="B361" s="13" t="s">
        <v>699</v>
      </c>
      <c r="C361" s="61">
        <v>0</v>
      </c>
      <c r="D361" s="14"/>
      <c r="K361" s="14"/>
      <c r="Q361" s="14"/>
    </row>
    <row r="362" spans="1:17" x14ac:dyDescent="0.25">
      <c r="A362" s="14"/>
      <c r="B362" s="13" t="s">
        <v>93</v>
      </c>
      <c r="C362" s="61">
        <f>H52+H225</f>
        <v>3</v>
      </c>
      <c r="D362" s="14"/>
      <c r="K362" s="14"/>
      <c r="Q362" s="14"/>
    </row>
    <row r="363" spans="1:17" x14ac:dyDescent="0.25">
      <c r="A363" s="14"/>
      <c r="B363" s="13" t="s">
        <v>1731</v>
      </c>
      <c r="C363" s="61">
        <f>SUM(H226:H229)</f>
        <v>5</v>
      </c>
      <c r="D363" s="14"/>
      <c r="K363" s="14"/>
      <c r="Q363" s="14"/>
    </row>
    <row r="364" spans="1:17" x14ac:dyDescent="0.25">
      <c r="A364" s="14"/>
      <c r="B364" s="13" t="s">
        <v>50</v>
      </c>
      <c r="C364" s="61">
        <f>SUM(H230:H231)</f>
        <v>2</v>
      </c>
      <c r="D364" s="14"/>
      <c r="K364" s="14"/>
      <c r="Q364" s="14"/>
    </row>
    <row r="365" spans="1:17" x14ac:dyDescent="0.25">
      <c r="A365" s="14"/>
      <c r="B365" s="13" t="s">
        <v>24</v>
      </c>
      <c r="C365" s="61">
        <f>SUM(H53:H77)+SUM(H232:H235)+H246</f>
        <v>125</v>
      </c>
      <c r="D365" s="14"/>
      <c r="K365" s="14"/>
      <c r="Q365" s="14"/>
    </row>
    <row r="366" spans="1:17" ht="23.25" customHeight="1" x14ac:dyDescent="0.25">
      <c r="A366" s="14"/>
      <c r="B366" s="13" t="s">
        <v>3208</v>
      </c>
      <c r="C366" s="61">
        <v>0</v>
      </c>
      <c r="D366" s="14"/>
      <c r="K366" s="14"/>
      <c r="Q366" s="14"/>
    </row>
    <row r="367" spans="1:17" x14ac:dyDescent="0.25">
      <c r="A367" s="14"/>
      <c r="B367" s="13" t="s">
        <v>139</v>
      </c>
      <c r="C367" s="61">
        <f>H78</f>
        <v>2</v>
      </c>
      <c r="D367" s="14"/>
      <c r="K367" s="14"/>
      <c r="Q367" s="14"/>
    </row>
    <row r="368" spans="1:17" x14ac:dyDescent="0.25">
      <c r="A368" s="14"/>
      <c r="B368" s="13" t="s">
        <v>269</v>
      </c>
      <c r="C368" s="61">
        <f>SUM(H79:H82)+SUM(H239:H242)</f>
        <v>9</v>
      </c>
      <c r="D368" s="14"/>
      <c r="K368" s="14"/>
      <c r="Q368" s="14"/>
    </row>
    <row r="369" spans="1:17" x14ac:dyDescent="0.25">
      <c r="A369" s="14"/>
      <c r="B369" s="13" t="s">
        <v>2384</v>
      </c>
      <c r="C369" s="61">
        <v>0</v>
      </c>
      <c r="D369" s="14"/>
      <c r="K369" s="14"/>
      <c r="Q369" s="14"/>
    </row>
    <row r="370" spans="1:17" x14ac:dyDescent="0.25">
      <c r="A370" s="14"/>
      <c r="B370" s="13" t="s">
        <v>2079</v>
      </c>
      <c r="C370" s="61">
        <v>0</v>
      </c>
      <c r="D370" s="14"/>
      <c r="K370" s="14"/>
      <c r="Q370" s="14"/>
    </row>
    <row r="371" spans="1:17" x14ac:dyDescent="0.25">
      <c r="A371" s="14"/>
      <c r="B371" s="13" t="s">
        <v>4886</v>
      </c>
      <c r="C371" s="61">
        <f>SUM(H236:H238)+H243</f>
        <v>9</v>
      </c>
      <c r="D371" s="14"/>
      <c r="K371" s="14"/>
      <c r="Q371" s="14"/>
    </row>
    <row r="372" spans="1:17" x14ac:dyDescent="0.25">
      <c r="A372" s="14"/>
      <c r="B372" s="13" t="s">
        <v>718</v>
      </c>
      <c r="C372" s="61">
        <v>0</v>
      </c>
      <c r="D372" s="14"/>
      <c r="K372" s="14"/>
      <c r="Q372" s="14"/>
    </row>
    <row r="373" spans="1:17" x14ac:dyDescent="0.25">
      <c r="A373" s="14"/>
      <c r="B373" s="13" t="s">
        <v>1682</v>
      </c>
      <c r="C373" s="61">
        <f>H83+H263</f>
        <v>3</v>
      </c>
      <c r="D373" s="14"/>
      <c r="K373" s="14"/>
      <c r="Q373" s="14"/>
    </row>
    <row r="374" spans="1:17" x14ac:dyDescent="0.25">
      <c r="A374" s="14"/>
      <c r="B374" s="13" t="s">
        <v>3596</v>
      </c>
      <c r="C374" s="61">
        <v>0</v>
      </c>
      <c r="D374" s="14"/>
      <c r="K374" s="14"/>
      <c r="Q374" s="14"/>
    </row>
    <row r="375" spans="1:17" x14ac:dyDescent="0.25">
      <c r="A375" s="14"/>
      <c r="C375" s="61">
        <f>SUM(C318:C374)</f>
        <v>397</v>
      </c>
      <c r="D375" s="14"/>
      <c r="K375" s="14"/>
      <c r="Q375" s="14"/>
    </row>
    <row r="376" spans="1:17" x14ac:dyDescent="0.25">
      <c r="A376" s="14"/>
      <c r="B376" s="12" t="s">
        <v>11</v>
      </c>
      <c r="C376" s="61">
        <f>SUM(C377:C381)+H139+H141+SUM(H250:H251)</f>
        <v>466</v>
      </c>
      <c r="D376" s="14"/>
      <c r="K376" s="14"/>
      <c r="Q376" s="14"/>
    </row>
    <row r="377" spans="1:17" x14ac:dyDescent="0.25">
      <c r="A377" s="14"/>
      <c r="B377" s="13" t="s">
        <v>663</v>
      </c>
      <c r="C377" s="61">
        <f>C326+C332+C345+C353+C363+C371+C367+C368+SUM(H253/2)+SUM(H254/2)</f>
        <v>36</v>
      </c>
      <c r="D377" s="14"/>
      <c r="K377" s="14"/>
      <c r="Q377" s="14"/>
    </row>
    <row r="378" spans="1:17" x14ac:dyDescent="0.25">
      <c r="A378" s="14"/>
      <c r="B378" s="13" t="s">
        <v>664</v>
      </c>
      <c r="C378" s="61">
        <f>C325+C328+H252+SUM(H253/2)</f>
        <v>6.5</v>
      </c>
      <c r="D378" s="14"/>
      <c r="K378" s="14"/>
      <c r="Q378" s="14"/>
    </row>
    <row r="379" spans="1:17" x14ac:dyDescent="0.25">
      <c r="A379" s="14"/>
      <c r="B379" s="13" t="s">
        <v>271</v>
      </c>
      <c r="C379" s="61">
        <f>C333+C334+C338+C342+C346+C347+C351+C360+C362+SUM(H245/2)+SUM(H247:H249)/2+SUM(H254/2)+SUM(H257:H258)/2+SUM(H260:H261)/2</f>
        <v>57.5</v>
      </c>
      <c r="D379" s="14"/>
      <c r="K379" s="14"/>
      <c r="Q379" s="14"/>
    </row>
    <row r="380" spans="1:17" x14ac:dyDescent="0.25">
      <c r="A380" s="14"/>
      <c r="B380" s="13" t="s">
        <v>144</v>
      </c>
      <c r="C380" s="61">
        <f>C318+C322+C327+C330+C331+C337+C339+C358+C365+C373+SUM(H245/2)+SUM(H247:H249)/2+SUM(H257:H258)/2+SUM(H260:H261)/2+SUM(H264:H267)+SUM(H268/2)</f>
        <v>270</v>
      </c>
      <c r="D380" s="14"/>
      <c r="K380" s="14"/>
      <c r="Q380" s="14"/>
    </row>
    <row r="381" spans="1:17" x14ac:dyDescent="0.25">
      <c r="A381" s="14"/>
      <c r="B381" s="13" t="s">
        <v>666</v>
      </c>
      <c r="C381" s="61">
        <f>C319+C320+C324+C329+C335+C336+C352+C354+C355+C357+C364+H244+SUM(H255:H256)</f>
        <v>67</v>
      </c>
      <c r="D381" s="14"/>
      <c r="K381" s="14"/>
      <c r="Q381" s="14"/>
    </row>
    <row r="382" spans="1:17" x14ac:dyDescent="0.25">
      <c r="D382" s="14"/>
      <c r="K382" s="14"/>
      <c r="Q382" s="14"/>
    </row>
    <row r="383" spans="1:17" x14ac:dyDescent="0.25">
      <c r="B383" s="13" t="s">
        <v>231</v>
      </c>
      <c r="C383" s="61">
        <f>SUM(H84:H85)+SUM(H286:H287)</f>
        <v>6</v>
      </c>
      <c r="D383" s="14"/>
      <c r="K383" s="14"/>
      <c r="Q383" s="14"/>
    </row>
    <row r="384" spans="1:17" x14ac:dyDescent="0.25">
      <c r="B384" s="13" t="s">
        <v>995</v>
      </c>
      <c r="C384" s="61">
        <v>0</v>
      </c>
      <c r="D384" s="14"/>
      <c r="K384" s="14"/>
      <c r="Q384" s="14"/>
    </row>
    <row r="385" spans="1:17" x14ac:dyDescent="0.25">
      <c r="B385" s="13" t="s">
        <v>953</v>
      </c>
      <c r="C385" s="61">
        <v>0</v>
      </c>
      <c r="D385" s="14"/>
      <c r="K385" s="14"/>
      <c r="Q385" s="14"/>
    </row>
    <row r="386" spans="1:17" x14ac:dyDescent="0.25">
      <c r="B386" s="13" t="s">
        <v>1608</v>
      </c>
      <c r="C386" s="61">
        <v>0</v>
      </c>
      <c r="D386" s="14"/>
      <c r="K386" s="14"/>
      <c r="Q386" s="14"/>
    </row>
    <row r="387" spans="1:17" x14ac:dyDescent="0.25">
      <c r="B387" s="13" t="s">
        <v>394</v>
      </c>
      <c r="C387" s="61">
        <f>SUM(H86:H87)+H288</f>
        <v>3</v>
      </c>
      <c r="D387" s="14"/>
      <c r="K387" s="14"/>
      <c r="Q387" s="14"/>
    </row>
    <row r="388" spans="1:17" x14ac:dyDescent="0.25">
      <c r="B388" s="13" t="s">
        <v>238</v>
      </c>
      <c r="C388" s="61">
        <v>0</v>
      </c>
      <c r="D388" s="14"/>
      <c r="K388" s="14"/>
      <c r="Q388" s="14"/>
    </row>
    <row r="389" spans="1:17" s="79" customFormat="1" x14ac:dyDescent="0.2">
      <c r="A389" s="78"/>
      <c r="B389" s="13" t="s">
        <v>226</v>
      </c>
      <c r="C389" s="61">
        <v>0</v>
      </c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</row>
    <row r="390" spans="1:17" s="79" customFormat="1" x14ac:dyDescent="0.2">
      <c r="A390" s="78"/>
      <c r="B390" s="13" t="s">
        <v>1641</v>
      </c>
      <c r="C390" s="61">
        <v>0</v>
      </c>
      <c r="D390" s="14"/>
      <c r="E390" s="14"/>
      <c r="F390" s="14"/>
      <c r="G390" s="14"/>
      <c r="H390" s="14"/>
      <c r="I390" s="14"/>
      <c r="J390" s="14"/>
      <c r="K390" s="14"/>
    </row>
    <row r="391" spans="1:17" s="79" customFormat="1" x14ac:dyDescent="0.2">
      <c r="A391" s="78"/>
      <c r="B391" s="13" t="s">
        <v>998</v>
      </c>
      <c r="C391" s="83">
        <v>0</v>
      </c>
      <c r="H391" s="14"/>
    </row>
    <row r="392" spans="1:17" x14ac:dyDescent="0.2">
      <c r="B392" s="13" t="s">
        <v>407</v>
      </c>
      <c r="C392" s="83">
        <f>SUM(H88:H90)+H289</f>
        <v>6</v>
      </c>
      <c r="D392" s="79"/>
      <c r="E392" s="79"/>
      <c r="F392" s="79"/>
      <c r="G392" s="79"/>
      <c r="I392" s="79"/>
      <c r="J392" s="79"/>
      <c r="K392" s="79"/>
      <c r="L392" s="79"/>
      <c r="M392" s="79"/>
      <c r="N392" s="79"/>
      <c r="O392" s="79"/>
      <c r="P392" s="79"/>
      <c r="Q392" s="14"/>
    </row>
    <row r="393" spans="1:17" x14ac:dyDescent="0.2">
      <c r="B393" s="13" t="s">
        <v>1612</v>
      </c>
      <c r="C393" s="83">
        <v>0</v>
      </c>
      <c r="D393" s="79"/>
      <c r="E393" s="79"/>
      <c r="F393" s="79"/>
      <c r="G393" s="79"/>
      <c r="H393" s="79"/>
      <c r="I393" s="79"/>
      <c r="J393" s="79"/>
      <c r="K393" s="79"/>
      <c r="Q393" s="14"/>
    </row>
    <row r="394" spans="1:17" x14ac:dyDescent="0.2">
      <c r="B394" s="13" t="s">
        <v>86</v>
      </c>
      <c r="C394" s="61">
        <v>0</v>
      </c>
      <c r="D394" s="14"/>
      <c r="H394" s="79"/>
      <c r="K394" s="14"/>
      <c r="Q394" s="14"/>
    </row>
    <row r="395" spans="1:17" x14ac:dyDescent="0.2">
      <c r="B395" s="13" t="s">
        <v>676</v>
      </c>
      <c r="C395" s="61">
        <f>SUM(H91:H94)+SUM(H290:H292)</f>
        <v>10</v>
      </c>
      <c r="D395" s="14"/>
      <c r="H395" s="79"/>
      <c r="K395" s="14"/>
      <c r="Q395" s="14"/>
    </row>
    <row r="396" spans="1:17" x14ac:dyDescent="0.25">
      <c r="B396" s="13" t="s">
        <v>975</v>
      </c>
      <c r="C396" s="61">
        <v>0</v>
      </c>
      <c r="D396" s="14"/>
      <c r="K396" s="14"/>
      <c r="Q396" s="14"/>
    </row>
    <row r="397" spans="1:17" x14ac:dyDescent="0.25">
      <c r="B397" s="13" t="s">
        <v>4204</v>
      </c>
      <c r="C397" s="61">
        <f>H95+SUM(H293:H294)</f>
        <v>3</v>
      </c>
      <c r="D397" s="14"/>
      <c r="K397" s="14"/>
      <c r="Q397" s="14"/>
    </row>
    <row r="398" spans="1:17" x14ac:dyDescent="0.25">
      <c r="B398" s="13" t="s">
        <v>1709</v>
      </c>
      <c r="C398" s="61">
        <f>SUM(H295:H297)</f>
        <v>3</v>
      </c>
      <c r="D398" s="14"/>
      <c r="K398" s="14"/>
      <c r="Q398" s="14"/>
    </row>
    <row r="399" spans="1:17" x14ac:dyDescent="0.25">
      <c r="A399" s="14"/>
      <c r="B399" s="13" t="s">
        <v>426</v>
      </c>
      <c r="C399" s="61">
        <v>0</v>
      </c>
      <c r="D399" s="14"/>
      <c r="K399" s="14"/>
      <c r="Q399" s="14"/>
    </row>
    <row r="400" spans="1:17" x14ac:dyDescent="0.25">
      <c r="A400" s="14"/>
      <c r="B400" s="13" t="s">
        <v>34</v>
      </c>
      <c r="C400" s="61">
        <f>SUM(H96:H108)+SUM(H298:H300)</f>
        <v>39</v>
      </c>
      <c r="D400" s="14"/>
      <c r="K400" s="14"/>
      <c r="Q400" s="14"/>
    </row>
    <row r="401" spans="1:17" x14ac:dyDescent="0.25">
      <c r="A401" s="14"/>
      <c r="B401" s="13" t="s">
        <v>99</v>
      </c>
      <c r="C401" s="61">
        <f>SUM(H109:H111)+SUM(H301:H302)</f>
        <v>9</v>
      </c>
      <c r="D401" s="14"/>
      <c r="K401" s="14"/>
      <c r="Q401" s="14"/>
    </row>
    <row r="402" spans="1:17" x14ac:dyDescent="0.25">
      <c r="A402" s="14"/>
      <c r="B402" s="13" t="s">
        <v>3857</v>
      </c>
      <c r="C402" s="61">
        <v>0</v>
      </c>
      <c r="D402" s="14"/>
      <c r="K402" s="14"/>
      <c r="Q402" s="14"/>
    </row>
    <row r="403" spans="1:17" x14ac:dyDescent="0.25">
      <c r="A403" s="14"/>
      <c r="B403" s="13" t="s">
        <v>170</v>
      </c>
      <c r="C403" s="61">
        <f>H112+H303</f>
        <v>2</v>
      </c>
      <c r="D403" s="14"/>
      <c r="K403" s="14"/>
      <c r="Q403" s="14"/>
    </row>
    <row r="404" spans="1:17" x14ac:dyDescent="0.25">
      <c r="A404" s="14"/>
      <c r="B404" s="13" t="s">
        <v>1694</v>
      </c>
      <c r="C404" s="61">
        <v>0</v>
      </c>
      <c r="D404" s="14"/>
      <c r="K404" s="14"/>
      <c r="Q404" s="14"/>
    </row>
    <row r="405" spans="1:17" x14ac:dyDescent="0.25">
      <c r="A405" s="14"/>
      <c r="B405" s="13" t="s">
        <v>1031</v>
      </c>
      <c r="C405" s="61">
        <f>SUM(H113:H114)</f>
        <v>5</v>
      </c>
      <c r="D405" s="14"/>
      <c r="K405" s="14"/>
      <c r="Q405" s="14"/>
    </row>
    <row r="406" spans="1:17" x14ac:dyDescent="0.25">
      <c r="A406" s="14"/>
      <c r="B406" s="13" t="s">
        <v>319</v>
      </c>
      <c r="C406" s="61">
        <f>SUM(H115:H120)+H304</f>
        <v>9</v>
      </c>
      <c r="D406" s="14"/>
      <c r="K406" s="14"/>
      <c r="Q406" s="14"/>
    </row>
    <row r="407" spans="1:17" x14ac:dyDescent="0.25">
      <c r="A407" s="14"/>
      <c r="B407" s="13" t="s">
        <v>1606</v>
      </c>
      <c r="C407" s="61">
        <v>0</v>
      </c>
      <c r="D407" s="14"/>
      <c r="K407" s="14"/>
      <c r="Q407" s="14"/>
    </row>
    <row r="408" spans="1:17" x14ac:dyDescent="0.25">
      <c r="A408" s="14"/>
      <c r="B408" s="13" t="s">
        <v>1610</v>
      </c>
      <c r="C408" s="61">
        <v>0</v>
      </c>
      <c r="D408" s="14"/>
      <c r="K408" s="14"/>
      <c r="Q408" s="14"/>
    </row>
    <row r="409" spans="1:17" x14ac:dyDescent="0.25">
      <c r="A409" s="14"/>
      <c r="B409" s="13" t="s">
        <v>709</v>
      </c>
      <c r="C409" s="61">
        <v>0</v>
      </c>
      <c r="D409" s="14"/>
      <c r="K409" s="14"/>
      <c r="Q409" s="14"/>
    </row>
    <row r="410" spans="1:17" x14ac:dyDescent="0.25">
      <c r="A410" s="14"/>
      <c r="B410" s="13" t="s">
        <v>743</v>
      </c>
      <c r="C410" s="61">
        <f>H121</f>
        <v>2</v>
      </c>
      <c r="D410" s="14"/>
      <c r="K410" s="14"/>
      <c r="Q410" s="14"/>
    </row>
    <row r="411" spans="1:17" x14ac:dyDescent="0.25">
      <c r="A411" s="14"/>
      <c r="B411" s="13" t="s">
        <v>167</v>
      </c>
      <c r="C411" s="61">
        <v>0</v>
      </c>
      <c r="D411" s="14"/>
      <c r="K411" s="14"/>
      <c r="Q411" s="14"/>
    </row>
    <row r="412" spans="1:17" x14ac:dyDescent="0.25">
      <c r="A412" s="14"/>
      <c r="B412" s="13" t="s">
        <v>522</v>
      </c>
      <c r="C412" s="61">
        <v>0</v>
      </c>
      <c r="D412" s="14"/>
      <c r="K412" s="14"/>
      <c r="Q412" s="14"/>
    </row>
    <row r="413" spans="1:17" x14ac:dyDescent="0.25">
      <c r="A413" s="14"/>
      <c r="B413" s="13" t="s">
        <v>1594</v>
      </c>
      <c r="C413" s="61">
        <v>0</v>
      </c>
      <c r="D413" s="14"/>
      <c r="K413" s="14"/>
      <c r="Q413" s="14"/>
    </row>
    <row r="414" spans="1:17" x14ac:dyDescent="0.25">
      <c r="A414" s="14"/>
      <c r="B414" s="13" t="s">
        <v>1347</v>
      </c>
      <c r="C414" s="61">
        <v>0</v>
      </c>
      <c r="D414" s="14"/>
      <c r="K414" s="14"/>
      <c r="Q414" s="14"/>
    </row>
    <row r="415" spans="1:17" x14ac:dyDescent="0.25">
      <c r="A415" s="14"/>
      <c r="B415" s="12" t="s">
        <v>35</v>
      </c>
      <c r="C415" s="61">
        <f>SUM(C416:C420)+SUM(H142:H143)+H275</f>
        <v>134</v>
      </c>
      <c r="D415" s="14"/>
      <c r="K415" s="14"/>
      <c r="Q415" s="14"/>
    </row>
    <row r="416" spans="1:17" x14ac:dyDescent="0.25">
      <c r="A416" s="14"/>
      <c r="B416" s="13" t="s">
        <v>667</v>
      </c>
      <c r="C416" s="61">
        <f>C383+C395+C400+C401+C405+C406+C410+H276+SUM(H279:H280)</f>
        <v>85</v>
      </c>
      <c r="D416" s="14"/>
      <c r="K416" s="14"/>
      <c r="Q416" s="14"/>
    </row>
    <row r="417" spans="1:17" x14ac:dyDescent="0.25">
      <c r="A417" s="14"/>
      <c r="B417" s="13" t="s">
        <v>668</v>
      </c>
      <c r="C417" s="61">
        <f>C387+H283</f>
        <v>4</v>
      </c>
      <c r="D417" s="14"/>
      <c r="K417" s="14"/>
      <c r="Q417" s="14"/>
    </row>
    <row r="418" spans="1:17" x14ac:dyDescent="0.25">
      <c r="A418" s="14"/>
      <c r="B418" s="13" t="s">
        <v>669</v>
      </c>
      <c r="C418" s="61">
        <f>C392+C397+C398+SUM(H281:H282)</f>
        <v>16</v>
      </c>
      <c r="D418" s="14"/>
      <c r="K418" s="14"/>
      <c r="Q418" s="14"/>
    </row>
    <row r="419" spans="1:17" x14ac:dyDescent="0.25">
      <c r="A419" s="14"/>
      <c r="B419" s="13" t="s">
        <v>670</v>
      </c>
      <c r="C419" s="61">
        <f>SUM(H277:H278)+SUM(H284/2)+H285</f>
        <v>8.5</v>
      </c>
      <c r="D419" s="14"/>
      <c r="K419" s="14"/>
      <c r="Q419" s="14"/>
    </row>
    <row r="420" spans="1:17" x14ac:dyDescent="0.25">
      <c r="A420" s="14"/>
      <c r="B420" s="13" t="s">
        <v>666</v>
      </c>
      <c r="C420" s="61">
        <f>C403+SUM(H284/2)</f>
        <v>2.5</v>
      </c>
      <c r="D420" s="14"/>
      <c r="K420" s="14"/>
      <c r="Q420" s="14"/>
    </row>
    <row r="421" spans="1:17" x14ac:dyDescent="0.25">
      <c r="A421" s="14"/>
      <c r="D421" s="14"/>
      <c r="K421" s="14"/>
      <c r="Q421" s="14"/>
    </row>
    <row r="422" spans="1:17" x14ac:dyDescent="0.25">
      <c r="A422" s="14"/>
      <c r="B422" s="13" t="s">
        <v>5310</v>
      </c>
      <c r="C422" s="61">
        <f>H122</f>
        <v>1</v>
      </c>
      <c r="D422" s="14"/>
      <c r="K422" s="14"/>
      <c r="Q422" s="14"/>
    </row>
    <row r="423" spans="1:17" x14ac:dyDescent="0.25">
      <c r="A423" s="14"/>
      <c r="B423" s="13" t="s">
        <v>163</v>
      </c>
      <c r="C423" s="61">
        <v>0</v>
      </c>
      <c r="D423" s="14"/>
      <c r="K423" s="14"/>
      <c r="Q423" s="14"/>
    </row>
    <row r="424" spans="1:17" x14ac:dyDescent="0.25">
      <c r="A424" s="14"/>
      <c r="B424" s="13" t="s">
        <v>186</v>
      </c>
      <c r="C424" s="61">
        <f>SUM(H123:H124)+H272</f>
        <v>3</v>
      </c>
      <c r="D424" s="14"/>
      <c r="K424" s="14"/>
      <c r="Q424" s="14"/>
    </row>
    <row r="425" spans="1:17" x14ac:dyDescent="0.25">
      <c r="A425" s="14"/>
      <c r="B425" s="13" t="s">
        <v>55</v>
      </c>
      <c r="C425" s="61">
        <f>SUM(H125:H126)+H273</f>
        <v>4</v>
      </c>
      <c r="D425" s="14"/>
      <c r="K425" s="14"/>
      <c r="Q425" s="14"/>
    </row>
    <row r="426" spans="1:17" x14ac:dyDescent="0.25">
      <c r="A426" s="14"/>
      <c r="B426" s="13" t="s">
        <v>593</v>
      </c>
      <c r="C426" s="61">
        <v>0</v>
      </c>
      <c r="D426" s="14"/>
      <c r="K426" s="14"/>
      <c r="Q426" s="14"/>
    </row>
    <row r="427" spans="1:17" x14ac:dyDescent="0.25">
      <c r="A427" s="14"/>
      <c r="B427" s="13" t="s">
        <v>4100</v>
      </c>
      <c r="C427" s="61">
        <v>0</v>
      </c>
      <c r="D427" s="14"/>
      <c r="K427" s="14"/>
      <c r="Q427" s="14"/>
    </row>
    <row r="428" spans="1:17" x14ac:dyDescent="0.25">
      <c r="A428" s="14"/>
      <c r="B428" s="13" t="s">
        <v>161</v>
      </c>
      <c r="C428" s="61">
        <f>H127+H274</f>
        <v>3</v>
      </c>
      <c r="D428" s="14"/>
      <c r="K428" s="14"/>
      <c r="Q428" s="14"/>
    </row>
    <row r="429" spans="1:17" x14ac:dyDescent="0.25">
      <c r="A429" s="14"/>
      <c r="B429" s="13" t="s">
        <v>66</v>
      </c>
      <c r="C429" s="61">
        <v>0</v>
      </c>
      <c r="D429" s="14"/>
      <c r="K429" s="14"/>
      <c r="Q429" s="14"/>
    </row>
    <row r="430" spans="1:17" x14ac:dyDescent="0.25">
      <c r="A430" s="14"/>
      <c r="B430" s="13" t="s">
        <v>1347</v>
      </c>
      <c r="C430" s="61">
        <v>0</v>
      </c>
      <c r="D430" s="14"/>
      <c r="K430" s="14"/>
      <c r="Q430" s="14"/>
    </row>
    <row r="431" spans="1:17" x14ac:dyDescent="0.25">
      <c r="A431" s="14"/>
      <c r="B431" s="12" t="s">
        <v>56</v>
      </c>
      <c r="C431" s="61">
        <f>SUM(C432:C436)+H269</f>
        <v>28</v>
      </c>
      <c r="D431" s="14"/>
      <c r="K431" s="14"/>
      <c r="Q431" s="14"/>
    </row>
    <row r="432" spans="1:17" x14ac:dyDescent="0.25">
      <c r="A432" s="14"/>
      <c r="B432" s="13" t="s">
        <v>663</v>
      </c>
      <c r="C432" s="61">
        <f>C424</f>
        <v>3</v>
      </c>
      <c r="D432" s="14"/>
      <c r="K432" s="14"/>
      <c r="Q432" s="14"/>
    </row>
    <row r="433" spans="1:17" x14ac:dyDescent="0.25">
      <c r="A433" s="14"/>
      <c r="B433" s="13" t="s">
        <v>664</v>
      </c>
      <c r="C433" s="61">
        <f>C428+SUM(C422/2)</f>
        <v>3.5</v>
      </c>
      <c r="D433" s="14"/>
      <c r="K433" s="14"/>
      <c r="Q433" s="14"/>
    </row>
    <row r="434" spans="1:17" x14ac:dyDescent="0.25">
      <c r="A434" s="14"/>
      <c r="B434" s="13" t="s">
        <v>271</v>
      </c>
      <c r="C434" s="61">
        <f>SUM(H268/2)+SUM(H270/2)</f>
        <v>1.5</v>
      </c>
      <c r="D434" s="14"/>
      <c r="K434" s="14"/>
      <c r="Q434" s="14"/>
    </row>
    <row r="435" spans="1:17" x14ac:dyDescent="0.25">
      <c r="A435" s="14"/>
      <c r="B435" s="13" t="s">
        <v>144</v>
      </c>
      <c r="C435" s="61">
        <f>C425+SUM(C422/2)+H271+SUM(H270/2)</f>
        <v>7</v>
      </c>
      <c r="D435" s="14"/>
      <c r="K435" s="14"/>
      <c r="Q435" s="14"/>
    </row>
    <row r="436" spans="1:17" x14ac:dyDescent="0.25">
      <c r="A436" s="14"/>
      <c r="B436" s="13" t="s">
        <v>666</v>
      </c>
      <c r="C436" s="61">
        <v>0</v>
      </c>
      <c r="D436" s="14"/>
      <c r="K436" s="14"/>
      <c r="Q436" s="14"/>
    </row>
    <row r="437" spans="1:17" x14ac:dyDescent="0.25">
      <c r="A437" s="14"/>
      <c r="D437" s="14"/>
      <c r="K437" s="14"/>
      <c r="Q437" s="14"/>
    </row>
    <row r="438" spans="1:17" x14ac:dyDescent="0.25">
      <c r="B438" s="13" t="s">
        <v>778</v>
      </c>
      <c r="C438" s="61">
        <v>0</v>
      </c>
      <c r="D438" s="14"/>
      <c r="K438" s="14"/>
      <c r="Q438" s="14"/>
    </row>
    <row r="439" spans="1:17" x14ac:dyDescent="0.25">
      <c r="B439" s="13" t="s">
        <v>1444</v>
      </c>
      <c r="C439" s="61">
        <f>H128+H308</f>
        <v>2</v>
      </c>
      <c r="Q439" s="14"/>
    </row>
    <row r="440" spans="1:17" x14ac:dyDescent="0.25">
      <c r="B440" s="13" t="s">
        <v>1631</v>
      </c>
      <c r="C440" s="61">
        <v>0</v>
      </c>
      <c r="Q440" s="14"/>
    </row>
    <row r="441" spans="1:17" x14ac:dyDescent="0.25">
      <c r="B441" s="13" t="s">
        <v>1968</v>
      </c>
      <c r="C441" s="61">
        <v>0</v>
      </c>
      <c r="Q441" s="14"/>
    </row>
    <row r="442" spans="1:17" x14ac:dyDescent="0.25">
      <c r="B442" s="13" t="s">
        <v>1099</v>
      </c>
      <c r="C442" s="61">
        <f>H129</f>
        <v>1</v>
      </c>
      <c r="Q442" s="14"/>
    </row>
    <row r="443" spans="1:17" x14ac:dyDescent="0.25">
      <c r="B443" s="13" t="s">
        <v>2114</v>
      </c>
      <c r="C443" s="61">
        <v>0</v>
      </c>
      <c r="Q443" s="14"/>
    </row>
    <row r="444" spans="1:17" x14ac:dyDescent="0.25">
      <c r="B444" s="13" t="s">
        <v>783</v>
      </c>
      <c r="C444" s="61">
        <v>0</v>
      </c>
      <c r="Q444" s="14"/>
    </row>
    <row r="445" spans="1:17" x14ac:dyDescent="0.25">
      <c r="B445" s="13" t="s">
        <v>1264</v>
      </c>
      <c r="C445" s="61">
        <v>0</v>
      </c>
      <c r="Q445" s="14"/>
    </row>
    <row r="446" spans="1:17" x14ac:dyDescent="0.25">
      <c r="B446" s="13" t="s">
        <v>980</v>
      </c>
      <c r="C446" s="61">
        <v>0</v>
      </c>
      <c r="Q446" s="14"/>
    </row>
    <row r="447" spans="1:17" x14ac:dyDescent="0.25">
      <c r="B447" s="13" t="s">
        <v>1157</v>
      </c>
      <c r="C447" s="61">
        <v>0</v>
      </c>
      <c r="Q447" s="14"/>
    </row>
    <row r="448" spans="1:17" x14ac:dyDescent="0.25">
      <c r="B448" s="13" t="s">
        <v>3757</v>
      </c>
      <c r="C448" s="61">
        <v>0</v>
      </c>
      <c r="Q448" s="14"/>
    </row>
    <row r="449" spans="1:17" x14ac:dyDescent="0.25">
      <c r="B449" s="13" t="s">
        <v>1248</v>
      </c>
      <c r="C449" s="61">
        <f>SUM(H130:H131)</f>
        <v>4</v>
      </c>
      <c r="Q449" s="14"/>
    </row>
    <row r="450" spans="1:17" x14ac:dyDescent="0.25">
      <c r="B450" s="13" t="s">
        <v>1688</v>
      </c>
      <c r="C450" s="61">
        <f>H132</f>
        <v>1</v>
      </c>
      <c r="Q450" s="14"/>
    </row>
    <row r="451" spans="1:17" x14ac:dyDescent="0.25">
      <c r="B451" s="13" t="s">
        <v>793</v>
      </c>
      <c r="C451" s="61">
        <v>0</v>
      </c>
      <c r="Q451" s="14"/>
    </row>
    <row r="452" spans="1:17" x14ac:dyDescent="0.25">
      <c r="B452" s="13" t="s">
        <v>1666</v>
      </c>
      <c r="C452" s="61">
        <f>H133</f>
        <v>2</v>
      </c>
      <c r="Q452" s="14"/>
    </row>
    <row r="453" spans="1:17" x14ac:dyDescent="0.25">
      <c r="B453" s="13" t="s">
        <v>878</v>
      </c>
      <c r="C453" s="61">
        <v>0</v>
      </c>
      <c r="Q453" s="14"/>
    </row>
    <row r="454" spans="1:17" x14ac:dyDescent="0.25">
      <c r="B454" s="13" t="s">
        <v>1977</v>
      </c>
      <c r="C454" s="61">
        <v>0</v>
      </c>
      <c r="Q454" s="14"/>
    </row>
    <row r="455" spans="1:17" x14ac:dyDescent="0.25">
      <c r="A455" s="14"/>
      <c r="B455" s="13" t="s">
        <v>2120</v>
      </c>
      <c r="C455" s="61">
        <v>0</v>
      </c>
      <c r="Q455" s="14"/>
    </row>
    <row r="456" spans="1:17" x14ac:dyDescent="0.25">
      <c r="A456" s="14"/>
      <c r="B456" s="13" t="s">
        <v>3759</v>
      </c>
      <c r="C456" s="61">
        <v>0</v>
      </c>
      <c r="Q456" s="14"/>
    </row>
    <row r="457" spans="1:17" x14ac:dyDescent="0.25">
      <c r="A457" s="14"/>
      <c r="B457" s="13" t="s">
        <v>1691</v>
      </c>
      <c r="C457" s="61">
        <v>0</v>
      </c>
      <c r="D457" s="14"/>
      <c r="K457" s="14"/>
      <c r="Q457" s="14"/>
    </row>
    <row r="458" spans="1:17" x14ac:dyDescent="0.25">
      <c r="A458" s="14"/>
      <c r="B458" s="13" t="s">
        <v>804</v>
      </c>
      <c r="C458" s="61">
        <v>0</v>
      </c>
      <c r="D458" s="14"/>
      <c r="K458" s="14"/>
      <c r="Q458" s="14"/>
    </row>
    <row r="459" spans="1:17" x14ac:dyDescent="0.25">
      <c r="A459" s="14" t="s">
        <v>2457</v>
      </c>
      <c r="B459" s="13" t="s">
        <v>2456</v>
      </c>
      <c r="C459" s="61">
        <f>H134</f>
        <v>1</v>
      </c>
      <c r="D459" s="14"/>
      <c r="K459" s="14"/>
      <c r="Q459" s="14"/>
    </row>
    <row r="460" spans="1:17" x14ac:dyDescent="0.25">
      <c r="A460" s="14"/>
      <c r="B460" s="13" t="s">
        <v>984</v>
      </c>
      <c r="C460" s="61">
        <v>0</v>
      </c>
      <c r="D460" s="14"/>
      <c r="K460" s="14"/>
      <c r="Q460" s="14"/>
    </row>
    <row r="461" spans="1:17" x14ac:dyDescent="0.25">
      <c r="A461" s="14"/>
      <c r="B461" s="13" t="s">
        <v>785</v>
      </c>
      <c r="C461" s="61">
        <f>H310</f>
        <v>1</v>
      </c>
      <c r="D461" s="14"/>
      <c r="K461" s="14"/>
      <c r="Q461" s="14"/>
    </row>
    <row r="462" spans="1:17" x14ac:dyDescent="0.25">
      <c r="A462" s="14"/>
      <c r="B462" s="13" t="s">
        <v>795</v>
      </c>
      <c r="C462" s="61">
        <f>H311</f>
        <v>1</v>
      </c>
      <c r="D462" s="14"/>
      <c r="K462" s="14"/>
      <c r="Q462" s="14"/>
    </row>
    <row r="463" spans="1:17" x14ac:dyDescent="0.25">
      <c r="A463" s="14"/>
      <c r="B463" s="13" t="s">
        <v>989</v>
      </c>
      <c r="C463" s="61">
        <f>H135</f>
        <v>1</v>
      </c>
      <c r="D463" s="14"/>
      <c r="K463" s="14"/>
      <c r="Q463" s="14"/>
    </row>
    <row r="464" spans="1:17" x14ac:dyDescent="0.25">
      <c r="A464" s="14"/>
      <c r="B464" s="13" t="s">
        <v>1671</v>
      </c>
      <c r="C464" s="61">
        <v>0</v>
      </c>
      <c r="D464" s="14"/>
      <c r="K464" s="14"/>
      <c r="Q464" s="14"/>
    </row>
    <row r="465" spans="1:17" x14ac:dyDescent="0.25">
      <c r="A465" s="14"/>
      <c r="B465" s="13" t="s">
        <v>1677</v>
      </c>
      <c r="C465" s="61">
        <v>0</v>
      </c>
      <c r="D465" s="14"/>
      <c r="K465" s="14"/>
      <c r="Q465" s="14"/>
    </row>
    <row r="466" spans="1:17" x14ac:dyDescent="0.25">
      <c r="A466" s="14"/>
      <c r="B466" s="13" t="s">
        <v>772</v>
      </c>
      <c r="C466" s="61">
        <v>0</v>
      </c>
      <c r="D466" s="14"/>
      <c r="K466" s="14"/>
      <c r="Q466" s="14"/>
    </row>
    <row r="467" spans="1:17" x14ac:dyDescent="0.25">
      <c r="A467" s="14"/>
      <c r="B467" s="13" t="s">
        <v>1245</v>
      </c>
      <c r="C467" s="61">
        <v>0</v>
      </c>
      <c r="D467" s="14"/>
      <c r="K467" s="14"/>
      <c r="Q467" s="14"/>
    </row>
    <row r="468" spans="1:17" x14ac:dyDescent="0.25">
      <c r="A468" s="14"/>
      <c r="B468" s="13" t="s">
        <v>789</v>
      </c>
      <c r="C468" s="61">
        <v>0</v>
      </c>
      <c r="D468" s="14"/>
      <c r="K468" s="14"/>
      <c r="Q468" s="14"/>
    </row>
    <row r="469" spans="1:17" x14ac:dyDescent="0.25">
      <c r="A469" s="14"/>
      <c r="B469" s="13" t="s">
        <v>3861</v>
      </c>
      <c r="C469" s="61">
        <v>0</v>
      </c>
      <c r="D469" s="14"/>
      <c r="K469" s="14"/>
      <c r="Q469" s="14"/>
    </row>
    <row r="470" spans="1:17" x14ac:dyDescent="0.25">
      <c r="A470" s="14"/>
      <c r="B470" s="13" t="s">
        <v>875</v>
      </c>
      <c r="C470" s="61">
        <v>0</v>
      </c>
      <c r="D470" s="14"/>
      <c r="K470" s="14"/>
      <c r="Q470" s="14"/>
    </row>
    <row r="471" spans="1:17" x14ac:dyDescent="0.25">
      <c r="A471" s="14"/>
      <c r="B471" s="13" t="s">
        <v>1347</v>
      </c>
      <c r="C471" s="61">
        <v>0</v>
      </c>
      <c r="D471" s="14"/>
      <c r="K471" s="14"/>
      <c r="Q471" s="14"/>
    </row>
    <row r="472" spans="1:17" x14ac:dyDescent="0.25">
      <c r="A472" s="14"/>
      <c r="B472" s="12" t="s">
        <v>771</v>
      </c>
      <c r="C472" s="61">
        <f>C473+C479+H305+H309+SUM(H314:H315)</f>
        <v>45</v>
      </c>
      <c r="D472" s="14"/>
      <c r="K472" s="14"/>
      <c r="Q472" s="14"/>
    </row>
    <row r="473" spans="1:17" x14ac:dyDescent="0.25">
      <c r="A473" s="14"/>
      <c r="B473" s="13" t="s">
        <v>2251</v>
      </c>
      <c r="C473" s="61">
        <f>C439+C442+SUM(H306:H307)</f>
        <v>5</v>
      </c>
      <c r="D473" s="14"/>
      <c r="K473" s="14"/>
      <c r="Q473" s="14"/>
    </row>
    <row r="474" spans="1:17" x14ac:dyDescent="0.25">
      <c r="A474" s="14"/>
      <c r="B474" s="13" t="s">
        <v>1351</v>
      </c>
      <c r="C474" s="61">
        <f>C462+C463</f>
        <v>2</v>
      </c>
      <c r="D474" s="14"/>
      <c r="K474" s="14"/>
      <c r="Q474" s="14"/>
    </row>
    <row r="475" spans="1:17" x14ac:dyDescent="0.25">
      <c r="A475" s="14"/>
      <c r="B475" s="13" t="s">
        <v>1352</v>
      </c>
      <c r="C475" s="61">
        <f>C450+C452+C461+SUM(H312/2)</f>
        <v>4.5</v>
      </c>
      <c r="D475" s="14"/>
      <c r="K475" s="14"/>
      <c r="Q475" s="14"/>
    </row>
    <row r="476" spans="1:17" x14ac:dyDescent="0.25">
      <c r="A476" s="14"/>
      <c r="B476" s="13" t="s">
        <v>1353</v>
      </c>
      <c r="C476" s="61">
        <v>0</v>
      </c>
      <c r="D476" s="14"/>
      <c r="K476" s="14"/>
      <c r="Q476" s="14"/>
    </row>
    <row r="477" spans="1:17" x14ac:dyDescent="0.25">
      <c r="A477" s="14"/>
      <c r="B477" s="13" t="s">
        <v>1354</v>
      </c>
      <c r="C477" s="61">
        <f>C449+SUM(H312/2)</f>
        <v>4.5</v>
      </c>
      <c r="D477" s="14"/>
      <c r="K477" s="14"/>
      <c r="Q477" s="14"/>
    </row>
    <row r="478" spans="1:17" x14ac:dyDescent="0.25">
      <c r="A478" s="14"/>
      <c r="B478" s="13" t="s">
        <v>1355</v>
      </c>
      <c r="C478" s="61">
        <f>C459</f>
        <v>1</v>
      </c>
      <c r="D478" s="14"/>
      <c r="K478" s="14"/>
      <c r="Q478" s="14"/>
    </row>
    <row r="479" spans="1:17" x14ac:dyDescent="0.25">
      <c r="A479" s="14"/>
      <c r="B479" s="13" t="s">
        <v>2250</v>
      </c>
      <c r="C479" s="61">
        <f>SUM(C474:C478)+H313</f>
        <v>13</v>
      </c>
      <c r="D479" s="14"/>
      <c r="K479" s="14"/>
      <c r="Q479" s="14"/>
    </row>
    <row r="480" spans="1:17" x14ac:dyDescent="0.25">
      <c r="A480" s="14"/>
      <c r="D480" s="14"/>
      <c r="K480" s="14"/>
      <c r="Q480" s="14"/>
    </row>
    <row r="481" spans="1:17" x14ac:dyDescent="0.25">
      <c r="A481" s="14"/>
      <c r="B481" s="52" t="s">
        <v>2252</v>
      </c>
      <c r="C481" s="61">
        <f>H138+H140+H262</f>
        <v>4</v>
      </c>
      <c r="D481" s="14"/>
      <c r="K481" s="14"/>
      <c r="Q481" s="14"/>
    </row>
    <row r="482" spans="1:17" x14ac:dyDescent="0.25">
      <c r="A482" s="14"/>
      <c r="B482" s="52"/>
      <c r="D482" s="14"/>
      <c r="K482" s="14"/>
      <c r="Q482" s="14"/>
    </row>
    <row r="483" spans="1:17" x14ac:dyDescent="0.25">
      <c r="A483" s="14"/>
      <c r="B483" s="12" t="s">
        <v>2253</v>
      </c>
      <c r="C483" s="61">
        <f>C481+C376+C415+C431+C472</f>
        <v>677</v>
      </c>
      <c r="D483" s="14"/>
      <c r="K483" s="14"/>
      <c r="Q483" s="14"/>
    </row>
    <row r="484" spans="1:17" x14ac:dyDescent="0.25">
      <c r="A484" s="14"/>
      <c r="D484" s="14"/>
      <c r="K484" s="14"/>
      <c r="Q484" s="14"/>
    </row>
    <row r="485" spans="1:17" x14ac:dyDescent="0.25">
      <c r="A485" s="14"/>
      <c r="B485" s="13" t="s">
        <v>5756</v>
      </c>
      <c r="C485" s="61">
        <f>C336+C328+C332+C353+C363+C368+C371</f>
        <v>32</v>
      </c>
      <c r="D485" s="14"/>
      <c r="K485" s="14"/>
      <c r="Q485" s="14"/>
    </row>
    <row r="486" spans="1:17" x14ac:dyDescent="0.25">
      <c r="A486" s="14"/>
      <c r="B486" s="13" t="s">
        <v>1272</v>
      </c>
      <c r="C486" s="61">
        <f>C376-C485</f>
        <v>434</v>
      </c>
      <c r="D486" s="14"/>
      <c r="K486" s="14"/>
      <c r="Q486" s="14"/>
    </row>
    <row r="487" spans="1:17" x14ac:dyDescent="0.25">
      <c r="A487" s="14"/>
      <c r="D487" s="14"/>
      <c r="K487" s="14"/>
      <c r="Q487" s="14"/>
    </row>
    <row r="488" spans="1:17" x14ac:dyDescent="0.25">
      <c r="A488" s="14"/>
      <c r="B488" s="13" t="s">
        <v>1359</v>
      </c>
      <c r="C488" s="61">
        <f>C485</f>
        <v>32</v>
      </c>
      <c r="D488" s="14"/>
      <c r="K488" s="14"/>
      <c r="Q488" s="14"/>
    </row>
    <row r="489" spans="1:17" x14ac:dyDescent="0.25">
      <c r="A489" s="14"/>
      <c r="B489" s="13" t="s">
        <v>1891</v>
      </c>
      <c r="C489" s="61">
        <f>C483-C485</f>
        <v>645</v>
      </c>
      <c r="D489" s="14"/>
      <c r="K489" s="14"/>
      <c r="Q489" s="14"/>
    </row>
    <row r="490" spans="1:17" x14ac:dyDescent="0.25">
      <c r="A490" s="14"/>
      <c r="D490" s="14"/>
      <c r="K490" s="14"/>
      <c r="Q490" s="14"/>
    </row>
    <row r="491" spans="1:17" x14ac:dyDescent="0.25">
      <c r="A491" s="14"/>
      <c r="B491" s="13" t="s">
        <v>11</v>
      </c>
      <c r="C491" s="61">
        <f>C376</f>
        <v>466</v>
      </c>
      <c r="D491" s="14"/>
      <c r="K491" s="14"/>
      <c r="Q491" s="14"/>
    </row>
    <row r="492" spans="1:17" x14ac:dyDescent="0.25">
      <c r="A492" s="14"/>
      <c r="B492" s="13" t="s">
        <v>35</v>
      </c>
      <c r="C492" s="61">
        <f>C415</f>
        <v>134</v>
      </c>
      <c r="D492" s="14"/>
      <c r="K492" s="14"/>
      <c r="Q492" s="14"/>
    </row>
    <row r="493" spans="1:17" x14ac:dyDescent="0.25">
      <c r="A493" s="14"/>
      <c r="B493" s="13" t="s">
        <v>56</v>
      </c>
      <c r="C493" s="61">
        <f>C431</f>
        <v>28</v>
      </c>
      <c r="D493" s="14"/>
      <c r="K493" s="14"/>
      <c r="Q493" s="14"/>
    </row>
    <row r="494" spans="1:17" x14ac:dyDescent="0.25">
      <c r="A494" s="14"/>
      <c r="B494" s="13" t="s">
        <v>771</v>
      </c>
      <c r="C494" s="61">
        <f>C472</f>
        <v>45</v>
      </c>
      <c r="D494" s="14"/>
      <c r="K494" s="14"/>
      <c r="Q494" s="14"/>
    </row>
    <row r="495" spans="1:17" x14ac:dyDescent="0.25">
      <c r="A495" s="14"/>
      <c r="B495" s="14"/>
      <c r="D495" s="14"/>
      <c r="K495" s="14"/>
      <c r="Q495" s="14"/>
    </row>
    <row r="496" spans="1:17" ht="12" thickBot="1" x14ac:dyDescent="0.3"/>
    <row r="497" spans="2:3" ht="12.75" x14ac:dyDescent="0.25">
      <c r="B497" s="85" t="s">
        <v>5449</v>
      </c>
      <c r="C497" s="88">
        <v>36</v>
      </c>
    </row>
    <row r="498" spans="2:3" ht="12.75" x14ac:dyDescent="0.25">
      <c r="B498" s="86" t="s">
        <v>5450</v>
      </c>
      <c r="C498" s="89">
        <v>6.5</v>
      </c>
    </row>
    <row r="499" spans="2:3" ht="12.75" x14ac:dyDescent="0.25">
      <c r="B499" s="86" t="s">
        <v>5451</v>
      </c>
      <c r="C499" s="89">
        <v>57.5</v>
      </c>
    </row>
    <row r="500" spans="2:3" ht="12.75" x14ac:dyDescent="0.25">
      <c r="B500" s="86" t="s">
        <v>5452</v>
      </c>
      <c r="C500" s="89">
        <v>270</v>
      </c>
    </row>
    <row r="501" spans="2:3" ht="13.5" thickBot="1" x14ac:dyDescent="0.3">
      <c r="B501" s="87" t="s">
        <v>5453</v>
      </c>
      <c r="C501" s="90">
        <v>67</v>
      </c>
    </row>
    <row r="502" spans="2:3" ht="12.75" x14ac:dyDescent="0.25">
      <c r="B502" s="85" t="s">
        <v>5454</v>
      </c>
      <c r="C502" s="88">
        <v>85</v>
      </c>
    </row>
    <row r="503" spans="2:3" ht="12.75" x14ac:dyDescent="0.25">
      <c r="B503" s="86" t="s">
        <v>5455</v>
      </c>
      <c r="C503" s="89">
        <v>4</v>
      </c>
    </row>
    <row r="504" spans="2:3" ht="12.75" x14ac:dyDescent="0.25">
      <c r="B504" s="86" t="s">
        <v>5456</v>
      </c>
      <c r="C504" s="89">
        <v>16</v>
      </c>
    </row>
    <row r="505" spans="2:3" ht="12.75" x14ac:dyDescent="0.25">
      <c r="B505" s="86" t="s">
        <v>5457</v>
      </c>
      <c r="C505" s="89">
        <v>8.5</v>
      </c>
    </row>
    <row r="506" spans="2:3" ht="13.5" thickBot="1" x14ac:dyDescent="0.3">
      <c r="B506" s="87" t="s">
        <v>5458</v>
      </c>
      <c r="C506" s="90">
        <v>2.5</v>
      </c>
    </row>
    <row r="507" spans="2:3" ht="12.75" x14ac:dyDescent="0.25">
      <c r="B507" s="85" t="s">
        <v>923</v>
      </c>
      <c r="C507" s="88">
        <v>3</v>
      </c>
    </row>
    <row r="508" spans="2:3" ht="12.75" x14ac:dyDescent="0.25">
      <c r="B508" s="86" t="s">
        <v>924</v>
      </c>
      <c r="C508" s="89">
        <v>3.5</v>
      </c>
    </row>
    <row r="509" spans="2:3" ht="12.75" x14ac:dyDescent="0.25">
      <c r="B509" s="86" t="s">
        <v>925</v>
      </c>
      <c r="C509" s="89">
        <v>1.5</v>
      </c>
    </row>
    <row r="510" spans="2:3" ht="12.75" x14ac:dyDescent="0.25">
      <c r="B510" s="86" t="s">
        <v>926</v>
      </c>
      <c r="C510" s="89">
        <v>7</v>
      </c>
    </row>
    <row r="511" spans="2:3" ht="13.5" thickBot="1" x14ac:dyDescent="0.3">
      <c r="B511" s="87" t="s">
        <v>629</v>
      </c>
      <c r="C511" s="90">
        <v>0</v>
      </c>
    </row>
    <row r="512" spans="2:3" ht="12.75" x14ac:dyDescent="0.25">
      <c r="B512" s="85" t="s">
        <v>776</v>
      </c>
      <c r="C512" s="88">
        <v>5</v>
      </c>
    </row>
    <row r="513" spans="2:3" ht="12.75" x14ac:dyDescent="0.25">
      <c r="B513" s="86" t="s">
        <v>1351</v>
      </c>
      <c r="C513" s="89">
        <v>2</v>
      </c>
    </row>
    <row r="514" spans="2:3" ht="12.75" x14ac:dyDescent="0.25">
      <c r="B514" s="86" t="s">
        <v>1352</v>
      </c>
      <c r="C514" s="89">
        <v>4.5</v>
      </c>
    </row>
    <row r="515" spans="2:3" ht="12.75" x14ac:dyDescent="0.25">
      <c r="B515" s="86" t="s">
        <v>1353</v>
      </c>
      <c r="C515" s="89">
        <v>0</v>
      </c>
    </row>
    <row r="516" spans="2:3" ht="12.75" x14ac:dyDescent="0.25">
      <c r="B516" s="86" t="s">
        <v>1354</v>
      </c>
      <c r="C516" s="89">
        <v>4.5</v>
      </c>
    </row>
    <row r="517" spans="2:3" ht="13.5" thickBot="1" x14ac:dyDescent="0.3">
      <c r="B517" s="87" t="s">
        <v>1880</v>
      </c>
      <c r="C517" s="90">
        <v>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8"/>
  <sheetViews>
    <sheetView zoomScale="114" workbookViewId="0">
      <pane ySplit="1" topLeftCell="A514" activePane="bottomLeft" state="frozen"/>
      <selection activeCell="D125" sqref="D125"/>
      <selection pane="bottomLeft" activeCell="F518" sqref="F518"/>
    </sheetView>
  </sheetViews>
  <sheetFormatPr defaultRowHeight="11.25" x14ac:dyDescent="0.25"/>
  <cols>
    <col min="1" max="1" width="13.28515625" style="11" customWidth="1"/>
    <col min="2" max="2" width="17.140625" style="13" customWidth="1"/>
    <col min="3" max="3" width="21.140625" style="61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4" customWidth="1"/>
    <col min="13" max="13" width="6.85546875" style="14" customWidth="1"/>
    <col min="14" max="14" width="6.5703125" style="14" customWidth="1"/>
    <col min="15" max="16" width="9.140625" style="14"/>
    <col min="17" max="17" width="13.85546875" style="13" customWidth="1"/>
    <col min="18" max="16384" width="9.140625" style="14"/>
  </cols>
  <sheetData>
    <row r="1" spans="1:19" s="11" customFormat="1" ht="54.75" customHeight="1" x14ac:dyDescent="0.25">
      <c r="A1" s="11" t="s">
        <v>1267</v>
      </c>
      <c r="B1" s="12" t="s">
        <v>2</v>
      </c>
      <c r="C1" s="82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ht="33.75" x14ac:dyDescent="0.25">
      <c r="A2" s="11" t="s">
        <v>5448</v>
      </c>
      <c r="B2" s="13" t="s">
        <v>76</v>
      </c>
      <c r="C2" s="61" t="s">
        <v>330</v>
      </c>
      <c r="D2" s="13" t="s">
        <v>4474</v>
      </c>
      <c r="E2" s="14" t="s">
        <v>1281</v>
      </c>
      <c r="F2" s="14" t="s">
        <v>11</v>
      </c>
      <c r="G2" s="13">
        <v>2</v>
      </c>
      <c r="H2" s="14">
        <f>G2+I2</f>
        <v>2</v>
      </c>
      <c r="I2" s="13"/>
      <c r="J2" s="13">
        <v>2</v>
      </c>
      <c r="K2" s="13" t="s">
        <v>687</v>
      </c>
      <c r="L2" s="14" t="s">
        <v>177</v>
      </c>
      <c r="M2" s="14">
        <v>193</v>
      </c>
      <c r="N2" s="14">
        <v>983</v>
      </c>
      <c r="O2" s="14">
        <v>519300</v>
      </c>
      <c r="P2" s="14">
        <v>298300</v>
      </c>
      <c r="Q2" s="14"/>
    </row>
    <row r="3" spans="1:19" ht="22.5" x14ac:dyDescent="0.25">
      <c r="A3" s="11" t="s">
        <v>5448</v>
      </c>
      <c r="B3" s="13" t="s">
        <v>76</v>
      </c>
      <c r="C3" s="61" t="s">
        <v>1872</v>
      </c>
      <c r="D3" s="13" t="s">
        <v>39</v>
      </c>
      <c r="E3" s="13" t="s">
        <v>178</v>
      </c>
      <c r="F3" s="14" t="s">
        <v>11</v>
      </c>
      <c r="G3" s="13"/>
      <c r="H3" s="14">
        <f t="shared" ref="H3" si="0">G3+I3</f>
        <v>2</v>
      </c>
      <c r="I3" s="14">
        <v>2</v>
      </c>
      <c r="J3" s="14">
        <v>2</v>
      </c>
      <c r="K3" s="13" t="s">
        <v>5498</v>
      </c>
      <c r="L3" s="14" t="s">
        <v>177</v>
      </c>
      <c r="M3" s="14">
        <v>6390</v>
      </c>
      <c r="N3" s="14">
        <v>8496</v>
      </c>
      <c r="O3" s="14">
        <v>563900</v>
      </c>
      <c r="P3" s="14">
        <v>284960</v>
      </c>
    </row>
    <row r="4" spans="1:19" x14ac:dyDescent="0.25">
      <c r="A4" s="11" t="s">
        <v>5448</v>
      </c>
      <c r="B4" s="13" t="s">
        <v>191</v>
      </c>
      <c r="C4" s="61" t="s">
        <v>43</v>
      </c>
      <c r="D4" s="13" t="s">
        <v>1278</v>
      </c>
      <c r="E4" s="14" t="s">
        <v>43</v>
      </c>
      <c r="F4" s="14" t="s">
        <v>11</v>
      </c>
      <c r="G4" s="13">
        <v>1</v>
      </c>
      <c r="H4" s="14">
        <f>G4+I4</f>
        <v>1</v>
      </c>
      <c r="J4" s="14">
        <v>1</v>
      </c>
      <c r="K4" s="13" t="s">
        <v>1108</v>
      </c>
      <c r="L4" s="14" t="s">
        <v>520</v>
      </c>
      <c r="M4" s="14">
        <v>64087</v>
      </c>
      <c r="N4" s="14">
        <v>76444</v>
      </c>
      <c r="O4" s="14">
        <v>264087</v>
      </c>
      <c r="P4" s="14">
        <v>76444</v>
      </c>
    </row>
    <row r="5" spans="1:19" ht="33.75" x14ac:dyDescent="0.25">
      <c r="A5" s="11" t="s">
        <v>5448</v>
      </c>
      <c r="B5" s="13" t="s">
        <v>209</v>
      </c>
      <c r="C5" s="61" t="s">
        <v>823</v>
      </c>
      <c r="D5" s="13" t="s">
        <v>4504</v>
      </c>
      <c r="E5" s="13" t="s">
        <v>282</v>
      </c>
      <c r="F5" s="14" t="s">
        <v>11</v>
      </c>
      <c r="G5" s="13"/>
      <c r="H5" s="14">
        <f t="shared" ref="H5:H6" si="1">G5+I5</f>
        <v>1</v>
      </c>
      <c r="I5" s="14">
        <v>1</v>
      </c>
      <c r="J5" s="14">
        <v>1</v>
      </c>
      <c r="K5" s="13" t="s">
        <v>949</v>
      </c>
      <c r="L5" s="14" t="s">
        <v>140</v>
      </c>
      <c r="M5" s="14">
        <v>17</v>
      </c>
      <c r="N5" s="14">
        <v>15</v>
      </c>
      <c r="O5" s="14">
        <v>617500</v>
      </c>
      <c r="P5" s="14">
        <v>215500</v>
      </c>
      <c r="Q5" s="14"/>
    </row>
    <row r="6" spans="1:19" x14ac:dyDescent="0.25">
      <c r="A6" s="11" t="s">
        <v>5448</v>
      </c>
      <c r="B6" s="13" t="s">
        <v>78</v>
      </c>
      <c r="C6" s="61" t="s">
        <v>565</v>
      </c>
      <c r="D6" s="13" t="s">
        <v>158</v>
      </c>
      <c r="E6" s="14" t="s">
        <v>566</v>
      </c>
      <c r="F6" s="14" t="s">
        <v>11</v>
      </c>
      <c r="G6" s="13"/>
      <c r="H6" s="14">
        <f t="shared" si="1"/>
        <v>1</v>
      </c>
      <c r="I6" s="14">
        <v>1</v>
      </c>
      <c r="J6" s="14">
        <v>1</v>
      </c>
      <c r="K6" s="13" t="s">
        <v>1800</v>
      </c>
      <c r="L6" s="14" t="s">
        <v>177</v>
      </c>
      <c r="M6" s="14">
        <v>81758</v>
      </c>
      <c r="N6" s="14">
        <v>89781</v>
      </c>
      <c r="O6" s="14">
        <v>581758</v>
      </c>
      <c r="P6" s="14">
        <v>289781</v>
      </c>
      <c r="Q6" s="14"/>
    </row>
    <row r="7" spans="1:19" x14ac:dyDescent="0.25">
      <c r="A7" s="11" t="s">
        <v>5448</v>
      </c>
      <c r="B7" s="13" t="s">
        <v>206</v>
      </c>
      <c r="C7" s="61" t="s">
        <v>685</v>
      </c>
      <c r="D7" s="13" t="s">
        <v>1278</v>
      </c>
      <c r="E7" s="14" t="s">
        <v>685</v>
      </c>
      <c r="F7" s="14" t="s">
        <v>11</v>
      </c>
      <c r="G7" s="13">
        <v>2</v>
      </c>
      <c r="H7" s="14">
        <f t="shared" ref="H7:H12" si="2">G7+I7</f>
        <v>2</v>
      </c>
      <c r="J7" s="14">
        <v>2</v>
      </c>
      <c r="K7" s="13" t="s">
        <v>5555</v>
      </c>
      <c r="L7" s="14" t="s">
        <v>113</v>
      </c>
      <c r="M7" s="14">
        <v>62</v>
      </c>
      <c r="N7" s="14">
        <v>12</v>
      </c>
      <c r="O7" s="14">
        <v>362500</v>
      </c>
      <c r="P7" s="14">
        <v>212500</v>
      </c>
      <c r="Q7" s="14"/>
    </row>
    <row r="8" spans="1:19" x14ac:dyDescent="0.25">
      <c r="A8" s="11" t="s">
        <v>5448</v>
      </c>
      <c r="B8" s="13" t="s">
        <v>46</v>
      </c>
      <c r="C8" s="61" t="s">
        <v>45</v>
      </c>
      <c r="D8" s="13" t="s">
        <v>1278</v>
      </c>
      <c r="E8" s="14" t="s">
        <v>45</v>
      </c>
      <c r="F8" s="14" t="s">
        <v>11</v>
      </c>
      <c r="G8" s="13">
        <v>4</v>
      </c>
      <c r="H8" s="14">
        <f t="shared" si="2"/>
        <v>4</v>
      </c>
      <c r="J8" s="14">
        <v>4</v>
      </c>
      <c r="K8" s="13" t="s">
        <v>5709</v>
      </c>
      <c r="L8" s="14" t="s">
        <v>398</v>
      </c>
      <c r="M8" s="14">
        <v>992</v>
      </c>
      <c r="N8" s="14">
        <v>278</v>
      </c>
      <c r="O8" s="14">
        <v>399200</v>
      </c>
      <c r="P8" s="14">
        <v>627800</v>
      </c>
      <c r="Q8" s="14"/>
    </row>
    <row r="9" spans="1:19" ht="22.5" x14ac:dyDescent="0.25">
      <c r="A9" s="11" t="s">
        <v>5448</v>
      </c>
      <c r="B9" s="13" t="s">
        <v>62</v>
      </c>
      <c r="C9" s="61" t="s">
        <v>102</v>
      </c>
      <c r="D9" s="13" t="s">
        <v>1278</v>
      </c>
      <c r="E9" s="13" t="s">
        <v>102</v>
      </c>
      <c r="F9" s="14" t="s">
        <v>11</v>
      </c>
      <c r="G9" s="13">
        <v>2</v>
      </c>
      <c r="H9" s="14">
        <f t="shared" si="2"/>
        <v>2</v>
      </c>
      <c r="J9" s="14">
        <v>2</v>
      </c>
      <c r="K9" s="13" t="s">
        <v>5582</v>
      </c>
      <c r="L9" s="14" t="s">
        <v>110</v>
      </c>
      <c r="M9" s="14">
        <v>355</v>
      </c>
      <c r="N9" s="14">
        <v>845</v>
      </c>
      <c r="O9" s="14">
        <v>435500</v>
      </c>
      <c r="P9" s="14">
        <v>184500</v>
      </c>
      <c r="Q9" s="14"/>
    </row>
    <row r="10" spans="1:19" x14ac:dyDescent="0.25">
      <c r="A10" s="11" t="s">
        <v>5448</v>
      </c>
      <c r="B10" s="13" t="s">
        <v>22</v>
      </c>
      <c r="C10" s="61" t="s">
        <v>5492</v>
      </c>
      <c r="D10" s="13" t="s">
        <v>39</v>
      </c>
      <c r="E10" s="14" t="s">
        <v>5493</v>
      </c>
      <c r="F10" s="14" t="s">
        <v>11</v>
      </c>
      <c r="G10" s="13"/>
      <c r="H10" s="14">
        <f t="shared" ref="H10" si="3">G10+I10</f>
        <v>1</v>
      </c>
      <c r="I10" s="14">
        <v>1</v>
      </c>
      <c r="J10" s="14">
        <v>1</v>
      </c>
      <c r="K10" s="13" t="s">
        <v>949</v>
      </c>
      <c r="L10" s="14" t="s">
        <v>119</v>
      </c>
      <c r="M10" s="14">
        <v>296</v>
      </c>
      <c r="N10" s="14">
        <v>587</v>
      </c>
      <c r="O10" s="14">
        <v>329600</v>
      </c>
      <c r="P10" s="14">
        <v>158700</v>
      </c>
      <c r="Q10" s="14"/>
    </row>
    <row r="11" spans="1:19" x14ac:dyDescent="0.25">
      <c r="A11" s="11" t="s">
        <v>5448</v>
      </c>
      <c r="B11" s="13" t="s">
        <v>22</v>
      </c>
      <c r="C11" s="61" t="s">
        <v>3327</v>
      </c>
      <c r="D11" s="13" t="s">
        <v>1278</v>
      </c>
      <c r="E11" s="14" t="s">
        <v>512</v>
      </c>
      <c r="F11" s="14" t="s">
        <v>11</v>
      </c>
      <c r="G11" s="13">
        <v>2</v>
      </c>
      <c r="H11" s="14">
        <f t="shared" si="2"/>
        <v>2</v>
      </c>
      <c r="J11" s="14">
        <v>2</v>
      </c>
      <c r="K11" s="13" t="s">
        <v>5577</v>
      </c>
      <c r="L11" s="14" t="s">
        <v>119</v>
      </c>
      <c r="M11" s="14">
        <v>501</v>
      </c>
      <c r="N11" s="14">
        <v>390</v>
      </c>
      <c r="O11" s="14">
        <v>350100</v>
      </c>
      <c r="P11" s="14">
        <v>139000</v>
      </c>
      <c r="Q11" s="14"/>
    </row>
    <row r="12" spans="1:19" x14ac:dyDescent="0.25">
      <c r="A12" s="11" t="s">
        <v>5448</v>
      </c>
      <c r="B12" s="13" t="s">
        <v>609</v>
      </c>
      <c r="C12" s="61" t="s">
        <v>4920</v>
      </c>
      <c r="D12" s="13" t="s">
        <v>1940</v>
      </c>
      <c r="E12" s="14" t="s">
        <v>2888</v>
      </c>
      <c r="F12" s="14" t="s">
        <v>11</v>
      </c>
      <c r="G12" s="13">
        <v>1</v>
      </c>
      <c r="H12" s="14">
        <f t="shared" si="2"/>
        <v>1</v>
      </c>
      <c r="J12" s="14">
        <v>1</v>
      </c>
      <c r="K12" s="13" t="s">
        <v>224</v>
      </c>
      <c r="L12" s="14" t="s">
        <v>140</v>
      </c>
      <c r="M12" s="14">
        <v>167</v>
      </c>
      <c r="N12" s="14">
        <v>445</v>
      </c>
      <c r="O12" s="14">
        <v>616700</v>
      </c>
      <c r="P12" s="14">
        <v>244500</v>
      </c>
      <c r="Q12" s="14"/>
    </row>
    <row r="13" spans="1:19" x14ac:dyDescent="0.25">
      <c r="A13" s="11" t="s">
        <v>5448</v>
      </c>
      <c r="B13" s="13" t="s">
        <v>93</v>
      </c>
      <c r="C13" s="61" t="s">
        <v>1372</v>
      </c>
      <c r="D13" s="13" t="s">
        <v>158</v>
      </c>
      <c r="E13" s="14" t="s">
        <v>112</v>
      </c>
      <c r="F13" s="14" t="s">
        <v>11</v>
      </c>
      <c r="G13" s="13"/>
      <c r="H13" s="14">
        <f t="shared" ref="H13:H17" si="4">G13+I13</f>
        <v>1</v>
      </c>
      <c r="I13" s="14">
        <v>1</v>
      </c>
      <c r="J13" s="14">
        <v>1</v>
      </c>
      <c r="K13" s="13" t="s">
        <v>1800</v>
      </c>
      <c r="L13" s="14" t="s">
        <v>108</v>
      </c>
      <c r="M13" s="14">
        <v>94</v>
      </c>
      <c r="N13" s="14">
        <v>89</v>
      </c>
      <c r="O13" s="14">
        <v>509400</v>
      </c>
      <c r="P13" s="14">
        <v>108900</v>
      </c>
      <c r="Q13" s="14"/>
    </row>
    <row r="14" spans="1:19" x14ac:dyDescent="0.25">
      <c r="A14" s="11" t="s">
        <v>5448</v>
      </c>
      <c r="B14" s="13" t="s">
        <v>93</v>
      </c>
      <c r="C14" s="61" t="s">
        <v>157</v>
      </c>
      <c r="D14" s="13" t="s">
        <v>158</v>
      </c>
      <c r="E14" s="14" t="s">
        <v>112</v>
      </c>
      <c r="F14" s="14" t="s">
        <v>11</v>
      </c>
      <c r="G14" s="13"/>
      <c r="H14" s="14">
        <f t="shared" si="4"/>
        <v>1</v>
      </c>
      <c r="I14" s="14">
        <v>1</v>
      </c>
      <c r="J14" s="14">
        <v>1</v>
      </c>
      <c r="K14" s="13" t="s">
        <v>1800</v>
      </c>
      <c r="L14" s="14" t="s">
        <v>108</v>
      </c>
      <c r="M14" s="14">
        <v>1360</v>
      </c>
      <c r="N14" s="14">
        <v>788</v>
      </c>
      <c r="O14" s="14">
        <v>513600</v>
      </c>
      <c r="P14" s="14">
        <v>107880</v>
      </c>
      <c r="Q14" s="14"/>
    </row>
    <row r="15" spans="1:19" ht="22.5" x14ac:dyDescent="0.25">
      <c r="A15" s="11" t="s">
        <v>5448</v>
      </c>
      <c r="B15" s="13" t="s">
        <v>24</v>
      </c>
      <c r="C15" s="61" t="s">
        <v>23</v>
      </c>
      <c r="D15" s="13" t="s">
        <v>124</v>
      </c>
      <c r="E15" s="14" t="s">
        <v>21</v>
      </c>
      <c r="F15" s="14" t="s">
        <v>11</v>
      </c>
      <c r="G15" s="13">
        <v>1</v>
      </c>
      <c r="H15" s="14">
        <f t="shared" si="4"/>
        <v>1</v>
      </c>
      <c r="J15" s="14">
        <v>1</v>
      </c>
      <c r="K15" s="13" t="s">
        <v>1005</v>
      </c>
      <c r="L15" s="14" t="s">
        <v>110</v>
      </c>
      <c r="M15" s="14">
        <v>1026</v>
      </c>
      <c r="N15" s="14">
        <v>6996</v>
      </c>
      <c r="O15" s="14">
        <v>410260</v>
      </c>
      <c r="P15" s="14">
        <v>169960</v>
      </c>
      <c r="Q15" s="14"/>
    </row>
    <row r="16" spans="1:19" ht="22.5" x14ac:dyDescent="0.25">
      <c r="A16" s="11" t="s">
        <v>5448</v>
      </c>
      <c r="B16" s="13" t="s">
        <v>24</v>
      </c>
      <c r="C16" s="61" t="s">
        <v>691</v>
      </c>
      <c r="D16" s="13" t="s">
        <v>854</v>
      </c>
      <c r="E16" s="14" t="s">
        <v>21</v>
      </c>
      <c r="F16" s="14" t="s">
        <v>11</v>
      </c>
      <c r="G16" s="13"/>
      <c r="H16" s="14">
        <f t="shared" si="4"/>
        <v>1</v>
      </c>
      <c r="I16" s="14">
        <v>1</v>
      </c>
      <c r="J16" s="14">
        <v>1</v>
      </c>
      <c r="K16" s="13" t="s">
        <v>1800</v>
      </c>
      <c r="L16" s="14" t="s">
        <v>110</v>
      </c>
      <c r="M16" s="14">
        <v>2342</v>
      </c>
      <c r="N16" s="14">
        <v>3579</v>
      </c>
      <c r="O16" s="14">
        <v>423420</v>
      </c>
      <c r="P16" s="14">
        <v>135790</v>
      </c>
      <c r="Q16" s="14"/>
    </row>
    <row r="17" spans="1:17" ht="22.5" x14ac:dyDescent="0.25">
      <c r="A17" s="11" t="s">
        <v>5448</v>
      </c>
      <c r="B17" s="13" t="s">
        <v>24</v>
      </c>
      <c r="C17" s="61" t="s">
        <v>13</v>
      </c>
      <c r="D17" s="13" t="s">
        <v>511</v>
      </c>
      <c r="E17" s="14" t="s">
        <v>21</v>
      </c>
      <c r="F17" s="14" t="s">
        <v>11</v>
      </c>
      <c r="G17" s="13">
        <v>1</v>
      </c>
      <c r="H17" s="14">
        <f t="shared" si="4"/>
        <v>2</v>
      </c>
      <c r="I17" s="14">
        <v>1</v>
      </c>
      <c r="J17" s="14">
        <v>2</v>
      </c>
      <c r="K17" s="13" t="s">
        <v>5722</v>
      </c>
      <c r="L17" s="14" t="s">
        <v>110</v>
      </c>
      <c r="M17" s="14">
        <v>1224</v>
      </c>
      <c r="N17" s="14">
        <v>4128</v>
      </c>
      <c r="O17" s="14">
        <v>412240</v>
      </c>
      <c r="P17" s="14">
        <v>141280</v>
      </c>
      <c r="Q17" s="14"/>
    </row>
    <row r="18" spans="1:17" x14ac:dyDescent="0.25">
      <c r="A18" s="11" t="s">
        <v>5448</v>
      </c>
      <c r="B18" s="13" t="s">
        <v>24</v>
      </c>
      <c r="C18" s="61" t="s">
        <v>5556</v>
      </c>
      <c r="D18" s="13" t="s">
        <v>158</v>
      </c>
      <c r="E18" s="14" t="s">
        <v>21</v>
      </c>
      <c r="F18" s="14" t="s">
        <v>11</v>
      </c>
      <c r="G18" s="13"/>
      <c r="H18" s="14">
        <f t="shared" ref="H18" si="5">G18+I18</f>
        <v>1</v>
      </c>
      <c r="I18" s="14">
        <v>1</v>
      </c>
      <c r="J18" s="14">
        <v>1</v>
      </c>
      <c r="K18" s="13" t="s">
        <v>1800</v>
      </c>
      <c r="L18" s="14" t="s">
        <v>110</v>
      </c>
      <c r="M18" s="14">
        <v>228</v>
      </c>
      <c r="N18" s="14">
        <v>349</v>
      </c>
      <c r="O18" s="14">
        <v>422800</v>
      </c>
      <c r="P18" s="14">
        <v>134900</v>
      </c>
      <c r="Q18" s="14"/>
    </row>
    <row r="19" spans="1:17" x14ac:dyDescent="0.25">
      <c r="A19" s="11" t="s">
        <v>5448</v>
      </c>
      <c r="B19" s="13" t="s">
        <v>593</v>
      </c>
      <c r="C19" s="61" t="s">
        <v>5489</v>
      </c>
      <c r="D19" s="13" t="s">
        <v>5490</v>
      </c>
      <c r="E19" s="14" t="s">
        <v>5491</v>
      </c>
      <c r="F19" s="14" t="s">
        <v>56</v>
      </c>
      <c r="G19" s="13"/>
      <c r="H19" s="14">
        <f t="shared" ref="H19" si="6">G19+I19</f>
        <v>1</v>
      </c>
      <c r="I19" s="14">
        <v>1</v>
      </c>
      <c r="J19" s="14">
        <v>1</v>
      </c>
      <c r="K19" s="13" t="s">
        <v>949</v>
      </c>
      <c r="L19" s="14" t="s">
        <v>153</v>
      </c>
      <c r="M19" s="14">
        <v>1237</v>
      </c>
      <c r="N19" s="14">
        <v>6689</v>
      </c>
      <c r="O19" s="14">
        <v>312370</v>
      </c>
      <c r="P19" s="14">
        <v>166890</v>
      </c>
      <c r="Q19" s="14"/>
    </row>
    <row r="20" spans="1:17" ht="33.75" x14ac:dyDescent="0.25">
      <c r="A20" s="11" t="s">
        <v>5448</v>
      </c>
      <c r="C20" s="61" t="s">
        <v>1892</v>
      </c>
      <c r="F20" s="14" t="s">
        <v>874</v>
      </c>
      <c r="G20" s="13">
        <v>112</v>
      </c>
      <c r="H20" s="14">
        <f t="shared" ref="H20:H58" si="7">G20+I20</f>
        <v>112</v>
      </c>
      <c r="J20" s="14">
        <v>41</v>
      </c>
      <c r="K20" s="13" t="s">
        <v>5723</v>
      </c>
      <c r="Q20" s="14"/>
    </row>
    <row r="21" spans="1:17" x14ac:dyDescent="0.25">
      <c r="A21" s="11" t="s">
        <v>5448</v>
      </c>
      <c r="C21" s="61" t="s">
        <v>5467</v>
      </c>
      <c r="F21" s="14" t="s">
        <v>11</v>
      </c>
      <c r="G21" s="13">
        <v>1</v>
      </c>
      <c r="H21" s="14">
        <f t="shared" ref="H21" si="8">G21+I21</f>
        <v>1</v>
      </c>
      <c r="J21" s="14">
        <v>1</v>
      </c>
      <c r="K21" s="13" t="s">
        <v>1902</v>
      </c>
      <c r="Q21" s="14"/>
    </row>
    <row r="22" spans="1:17" x14ac:dyDescent="0.25">
      <c r="A22" s="11" t="s">
        <v>5448</v>
      </c>
      <c r="C22" s="61" t="s">
        <v>489</v>
      </c>
      <c r="E22" s="14" t="s">
        <v>5560</v>
      </c>
      <c r="F22" s="14" t="s">
        <v>874</v>
      </c>
      <c r="G22" s="13">
        <v>19</v>
      </c>
      <c r="H22" s="14">
        <f t="shared" si="7"/>
        <v>19</v>
      </c>
      <c r="J22" s="14">
        <v>13</v>
      </c>
      <c r="K22" s="13" t="s">
        <v>5737</v>
      </c>
      <c r="Q22" s="14"/>
    </row>
    <row r="23" spans="1:17" x14ac:dyDescent="0.25">
      <c r="A23" s="11" t="s">
        <v>5448</v>
      </c>
      <c r="C23" s="61" t="s">
        <v>5469</v>
      </c>
      <c r="F23" s="14" t="s">
        <v>874</v>
      </c>
      <c r="G23" s="13">
        <v>3</v>
      </c>
      <c r="H23" s="14">
        <f t="shared" ref="H23" si="9">G23+I23</f>
        <v>3</v>
      </c>
      <c r="J23" s="14">
        <v>3</v>
      </c>
      <c r="K23" s="13" t="s">
        <v>5546</v>
      </c>
      <c r="Q23" s="14"/>
    </row>
    <row r="24" spans="1:17" x14ac:dyDescent="0.25">
      <c r="A24" s="11" t="s">
        <v>5448</v>
      </c>
      <c r="C24" s="61" t="s">
        <v>679</v>
      </c>
      <c r="F24" s="14" t="s">
        <v>11</v>
      </c>
      <c r="G24" s="13">
        <v>14</v>
      </c>
      <c r="H24" s="14">
        <f t="shared" si="7"/>
        <v>14</v>
      </c>
      <c r="J24" s="14">
        <v>11</v>
      </c>
      <c r="K24" s="13" t="s">
        <v>5726</v>
      </c>
      <c r="Q24" s="14"/>
    </row>
    <row r="25" spans="1:17" x14ac:dyDescent="0.25">
      <c r="A25" s="11" t="s">
        <v>5448</v>
      </c>
      <c r="C25" s="61" t="s">
        <v>5547</v>
      </c>
      <c r="F25" s="14" t="s">
        <v>11</v>
      </c>
      <c r="G25" s="13">
        <v>2</v>
      </c>
      <c r="H25" s="14">
        <f t="shared" si="7"/>
        <v>2</v>
      </c>
      <c r="J25" s="14">
        <v>2</v>
      </c>
      <c r="K25" s="13" t="s">
        <v>5551</v>
      </c>
      <c r="Q25" s="14"/>
    </row>
    <row r="26" spans="1:17" x14ac:dyDescent="0.25">
      <c r="A26" s="11" t="s">
        <v>5448</v>
      </c>
      <c r="C26" s="61" t="s">
        <v>4040</v>
      </c>
      <c r="F26" s="14" t="s">
        <v>11</v>
      </c>
      <c r="G26" s="13">
        <v>1</v>
      </c>
      <c r="H26" s="14">
        <f>G26+I26</f>
        <v>1</v>
      </c>
      <c r="J26" s="14">
        <v>1</v>
      </c>
      <c r="K26" s="13" t="s">
        <v>1086</v>
      </c>
      <c r="Q26" s="14"/>
    </row>
    <row r="27" spans="1:17" x14ac:dyDescent="0.25">
      <c r="A27" s="11" t="s">
        <v>5448</v>
      </c>
      <c r="C27" s="61" t="s">
        <v>265</v>
      </c>
      <c r="F27" s="14" t="s">
        <v>874</v>
      </c>
      <c r="G27" s="13">
        <v>18</v>
      </c>
      <c r="H27" s="14">
        <f t="shared" si="7"/>
        <v>18</v>
      </c>
      <c r="J27" s="14">
        <v>14</v>
      </c>
      <c r="K27" s="13" t="s">
        <v>5735</v>
      </c>
      <c r="Q27" s="14"/>
    </row>
    <row r="28" spans="1:17" x14ac:dyDescent="0.25">
      <c r="A28" s="11" t="s">
        <v>5448</v>
      </c>
      <c r="C28" s="61" t="s">
        <v>265</v>
      </c>
      <c r="D28" s="13" t="s">
        <v>683</v>
      </c>
      <c r="F28" s="14" t="s">
        <v>874</v>
      </c>
      <c r="G28" s="13">
        <v>2</v>
      </c>
      <c r="H28" s="14">
        <f t="shared" ref="H28" si="10">G28+I28</f>
        <v>2</v>
      </c>
      <c r="J28" s="14">
        <v>2</v>
      </c>
      <c r="K28" s="13" t="s">
        <v>5736</v>
      </c>
      <c r="Q28" s="14"/>
    </row>
    <row r="29" spans="1:17" x14ac:dyDescent="0.25">
      <c r="A29" s="11" t="s">
        <v>5448</v>
      </c>
      <c r="C29" s="61" t="s">
        <v>303</v>
      </c>
      <c r="F29" s="14" t="s">
        <v>11</v>
      </c>
      <c r="G29" s="13">
        <v>3</v>
      </c>
      <c r="H29" s="14">
        <f t="shared" si="7"/>
        <v>3</v>
      </c>
      <c r="J29" s="14">
        <v>3</v>
      </c>
      <c r="K29" s="13" t="s">
        <v>5559</v>
      </c>
      <c r="Q29" s="14"/>
    </row>
    <row r="30" spans="1:17" x14ac:dyDescent="0.25">
      <c r="A30" s="11" t="s">
        <v>5448</v>
      </c>
      <c r="C30" s="61" t="s">
        <v>841</v>
      </c>
      <c r="F30" s="14" t="s">
        <v>11</v>
      </c>
      <c r="G30" s="13">
        <v>6</v>
      </c>
      <c r="H30" s="14">
        <f t="shared" si="7"/>
        <v>6</v>
      </c>
      <c r="J30" s="14">
        <v>6</v>
      </c>
      <c r="K30" s="13" t="s">
        <v>5738</v>
      </c>
      <c r="Q30" s="14"/>
    </row>
    <row r="31" spans="1:17" x14ac:dyDescent="0.25">
      <c r="A31" s="11" t="s">
        <v>5448</v>
      </c>
      <c r="C31" s="61" t="s">
        <v>302</v>
      </c>
      <c r="F31" s="14" t="s">
        <v>35</v>
      </c>
      <c r="G31" s="13">
        <v>6</v>
      </c>
      <c r="H31" s="14">
        <f t="shared" si="7"/>
        <v>6</v>
      </c>
      <c r="J31" s="14">
        <v>5</v>
      </c>
      <c r="K31" s="13" t="s">
        <v>5553</v>
      </c>
      <c r="Q31" s="14"/>
    </row>
    <row r="32" spans="1:17" x14ac:dyDescent="0.25">
      <c r="A32" s="11" t="s">
        <v>5448</v>
      </c>
      <c r="C32" s="61" t="s">
        <v>680</v>
      </c>
      <c r="F32" s="14" t="s">
        <v>35</v>
      </c>
      <c r="G32" s="13">
        <v>1</v>
      </c>
      <c r="H32" s="14">
        <f t="shared" si="7"/>
        <v>1</v>
      </c>
      <c r="J32" s="14">
        <v>1</v>
      </c>
      <c r="K32" s="13" t="s">
        <v>1086</v>
      </c>
      <c r="Q32" s="14"/>
    </row>
    <row r="33" spans="1:17" ht="22.5" x14ac:dyDescent="0.25">
      <c r="A33" s="11" t="s">
        <v>5448</v>
      </c>
      <c r="C33" s="61" t="s">
        <v>1893</v>
      </c>
      <c r="E33" s="14" t="s">
        <v>5521</v>
      </c>
      <c r="F33" s="14" t="s">
        <v>874</v>
      </c>
      <c r="G33" s="13">
        <v>63</v>
      </c>
      <c r="H33" s="14">
        <f t="shared" si="7"/>
        <v>63</v>
      </c>
      <c r="J33" s="14">
        <v>25</v>
      </c>
      <c r="K33" s="13" t="s">
        <v>5725</v>
      </c>
      <c r="Q33" s="14"/>
    </row>
    <row r="34" spans="1:17" x14ac:dyDescent="0.25">
      <c r="A34" s="11" t="s">
        <v>5448</v>
      </c>
      <c r="C34" s="61" t="s">
        <v>5727</v>
      </c>
      <c r="E34" s="14" t="s">
        <v>5521</v>
      </c>
      <c r="F34" s="14" t="s">
        <v>874</v>
      </c>
      <c r="G34" s="13">
        <v>1</v>
      </c>
      <c r="H34" s="14">
        <f t="shared" si="7"/>
        <v>1</v>
      </c>
      <c r="J34" s="14">
        <v>1</v>
      </c>
      <c r="K34" s="13" t="s">
        <v>684</v>
      </c>
      <c r="Q34" s="14"/>
    </row>
    <row r="35" spans="1:17" x14ac:dyDescent="0.25">
      <c r="A35" s="11" t="s">
        <v>5448</v>
      </c>
      <c r="C35" s="61" t="s">
        <v>5558</v>
      </c>
      <c r="E35" s="14" t="s">
        <v>5521</v>
      </c>
      <c r="F35" s="14" t="s">
        <v>874</v>
      </c>
      <c r="G35" s="13">
        <v>1</v>
      </c>
      <c r="H35" s="14">
        <f t="shared" ref="H35" si="11">G35+I35</f>
        <v>1</v>
      </c>
      <c r="J35" s="14">
        <v>1</v>
      </c>
      <c r="K35" s="13" t="s">
        <v>1800</v>
      </c>
      <c r="Q35" s="14"/>
    </row>
    <row r="36" spans="1:17" x14ac:dyDescent="0.25">
      <c r="A36" s="11" t="s">
        <v>5448</v>
      </c>
      <c r="C36" s="61" t="s">
        <v>5557</v>
      </c>
      <c r="E36" s="14" t="s">
        <v>5521</v>
      </c>
      <c r="F36" s="14" t="s">
        <v>11</v>
      </c>
      <c r="G36" s="13">
        <v>2</v>
      </c>
      <c r="H36" s="14">
        <f t="shared" ref="H36" si="12">G36+I36</f>
        <v>2</v>
      </c>
      <c r="J36" s="14">
        <v>2</v>
      </c>
      <c r="K36" s="13" t="s">
        <v>5729</v>
      </c>
      <c r="Q36" s="14"/>
    </row>
    <row r="37" spans="1:17" x14ac:dyDescent="0.25">
      <c r="A37" s="11" t="s">
        <v>5448</v>
      </c>
      <c r="C37" s="61" t="s">
        <v>5728</v>
      </c>
      <c r="E37" s="14" t="s">
        <v>5521</v>
      </c>
      <c r="F37" s="14" t="s">
        <v>11</v>
      </c>
      <c r="G37" s="13">
        <v>1</v>
      </c>
      <c r="H37" s="14">
        <f t="shared" ref="H37" si="13">G37+I37</f>
        <v>1</v>
      </c>
      <c r="J37" s="14">
        <v>1</v>
      </c>
      <c r="K37" s="13" t="s">
        <v>733</v>
      </c>
      <c r="Q37" s="14"/>
    </row>
    <row r="38" spans="1:17" ht="22.5" x14ac:dyDescent="0.25">
      <c r="A38" s="11" t="s">
        <v>5448</v>
      </c>
      <c r="C38" s="61" t="s">
        <v>1894</v>
      </c>
      <c r="E38" s="14" t="s">
        <v>2644</v>
      </c>
      <c r="F38" s="14" t="s">
        <v>874</v>
      </c>
      <c r="G38" s="13">
        <v>81</v>
      </c>
      <c r="H38" s="14">
        <f t="shared" si="7"/>
        <v>81</v>
      </c>
      <c r="J38" s="14">
        <v>31</v>
      </c>
      <c r="K38" s="13" t="s">
        <v>5724</v>
      </c>
      <c r="Q38" s="14"/>
    </row>
    <row r="39" spans="1:17" x14ac:dyDescent="0.25">
      <c r="A39" s="11" t="s">
        <v>5448</v>
      </c>
      <c r="C39" s="61" t="s">
        <v>5730</v>
      </c>
      <c r="D39" s="13" t="s">
        <v>5731</v>
      </c>
      <c r="E39" s="14" t="s">
        <v>2644</v>
      </c>
      <c r="F39" s="14" t="s">
        <v>35</v>
      </c>
      <c r="G39" s="13">
        <v>5</v>
      </c>
      <c r="H39" s="14">
        <f t="shared" si="7"/>
        <v>5</v>
      </c>
      <c r="J39" s="14">
        <v>3</v>
      </c>
      <c r="K39" s="13" t="s">
        <v>5732</v>
      </c>
      <c r="Q39" s="14"/>
    </row>
    <row r="40" spans="1:17" x14ac:dyDescent="0.25">
      <c r="A40" s="11" t="s">
        <v>5448</v>
      </c>
      <c r="C40" s="61" t="s">
        <v>5544</v>
      </c>
      <c r="E40" s="14" t="s">
        <v>2644</v>
      </c>
      <c r="F40" s="14" t="s">
        <v>874</v>
      </c>
      <c r="G40" s="13">
        <v>2</v>
      </c>
      <c r="H40" s="14">
        <f t="shared" ref="H40:H41" si="14">G40+I40</f>
        <v>2</v>
      </c>
      <c r="J40" s="14">
        <v>2</v>
      </c>
      <c r="K40" s="13" t="s">
        <v>5548</v>
      </c>
      <c r="Q40" s="14"/>
    </row>
    <row r="41" spans="1:17" x14ac:dyDescent="0.25">
      <c r="A41" s="11" t="s">
        <v>5448</v>
      </c>
      <c r="C41" s="61" t="s">
        <v>5733</v>
      </c>
      <c r="E41" s="14" t="s">
        <v>2644</v>
      </c>
      <c r="F41" s="14" t="s">
        <v>874</v>
      </c>
      <c r="G41" s="13">
        <v>2</v>
      </c>
      <c r="H41" s="14">
        <f t="shared" si="14"/>
        <v>2</v>
      </c>
      <c r="J41" s="14">
        <v>2</v>
      </c>
      <c r="K41" s="13" t="s">
        <v>5734</v>
      </c>
      <c r="Q41" s="14"/>
    </row>
    <row r="42" spans="1:17" x14ac:dyDescent="0.25">
      <c r="A42" s="11" t="s">
        <v>5448</v>
      </c>
      <c r="B42" s="13" t="s">
        <v>297</v>
      </c>
      <c r="D42" s="13" t="s">
        <v>1940</v>
      </c>
      <c r="F42" s="14" t="s">
        <v>11</v>
      </c>
      <c r="G42" s="13">
        <v>1</v>
      </c>
      <c r="H42" s="14">
        <f t="shared" si="7"/>
        <v>1</v>
      </c>
      <c r="J42" s="14">
        <v>1</v>
      </c>
      <c r="K42" s="13" t="s">
        <v>217</v>
      </c>
      <c r="Q42" s="14"/>
    </row>
    <row r="43" spans="1:17" x14ac:dyDescent="0.25">
      <c r="A43" s="11" t="s">
        <v>5448</v>
      </c>
      <c r="B43" s="13" t="s">
        <v>5447</v>
      </c>
      <c r="C43" s="61" t="s">
        <v>2365</v>
      </c>
      <c r="F43" s="14" t="s">
        <v>11</v>
      </c>
      <c r="G43" s="13">
        <v>1</v>
      </c>
      <c r="H43" s="14">
        <f t="shared" si="7"/>
        <v>1</v>
      </c>
      <c r="J43" s="14">
        <v>1</v>
      </c>
      <c r="K43" s="13" t="s">
        <v>1086</v>
      </c>
      <c r="Q43" s="14"/>
    </row>
    <row r="44" spans="1:17" x14ac:dyDescent="0.25">
      <c r="A44" s="11" t="s">
        <v>5448</v>
      </c>
      <c r="B44" s="13" t="s">
        <v>76</v>
      </c>
      <c r="C44" s="61" t="s">
        <v>281</v>
      </c>
      <c r="F44" s="14" t="s">
        <v>11</v>
      </c>
      <c r="G44" s="13">
        <v>1</v>
      </c>
      <c r="H44" s="14">
        <f>G44+I44</f>
        <v>1</v>
      </c>
      <c r="J44" s="14">
        <v>1</v>
      </c>
      <c r="K44" s="13" t="s">
        <v>217</v>
      </c>
      <c r="Q44" s="14"/>
    </row>
    <row r="45" spans="1:17" x14ac:dyDescent="0.25">
      <c r="A45" s="11" t="s">
        <v>5448</v>
      </c>
      <c r="B45" s="13" t="s">
        <v>76</v>
      </c>
      <c r="C45" s="61" t="s">
        <v>3230</v>
      </c>
      <c r="F45" s="14" t="s">
        <v>11</v>
      </c>
      <c r="G45" s="13">
        <v>3</v>
      </c>
      <c r="H45" s="14">
        <f>G45+I45</f>
        <v>3</v>
      </c>
      <c r="J45" s="14">
        <v>2</v>
      </c>
      <c r="K45" s="13" t="s">
        <v>5598</v>
      </c>
      <c r="Q45" s="14"/>
    </row>
    <row r="46" spans="1:17" x14ac:dyDescent="0.25">
      <c r="A46" s="11" t="s">
        <v>5448</v>
      </c>
      <c r="B46" s="13" t="s">
        <v>76</v>
      </c>
      <c r="C46" s="61" t="s">
        <v>2479</v>
      </c>
      <c r="F46" s="14" t="s">
        <v>11</v>
      </c>
      <c r="G46" s="13">
        <v>1</v>
      </c>
      <c r="H46" s="14">
        <f>G46+I46</f>
        <v>1</v>
      </c>
      <c r="J46" s="14">
        <v>1</v>
      </c>
      <c r="K46" s="13" t="s">
        <v>949</v>
      </c>
      <c r="Q46" s="14"/>
    </row>
    <row r="47" spans="1:17" x14ac:dyDescent="0.25">
      <c r="A47" s="11" t="s">
        <v>5448</v>
      </c>
      <c r="B47" s="13" t="s">
        <v>76</v>
      </c>
      <c r="D47" s="13" t="s">
        <v>1940</v>
      </c>
      <c r="F47" s="14" t="s">
        <v>11</v>
      </c>
      <c r="G47" s="13">
        <v>5</v>
      </c>
      <c r="H47" s="14">
        <f t="shared" si="7"/>
        <v>5</v>
      </c>
      <c r="J47" s="14">
        <v>4</v>
      </c>
      <c r="K47" s="13" t="s">
        <v>5565</v>
      </c>
      <c r="Q47" s="14"/>
    </row>
    <row r="48" spans="1:17" x14ac:dyDescent="0.25">
      <c r="A48" s="11" t="s">
        <v>5448</v>
      </c>
      <c r="B48" s="13" t="s">
        <v>76</v>
      </c>
      <c r="C48" s="61" t="s">
        <v>2350</v>
      </c>
      <c r="F48" s="14" t="s">
        <v>11</v>
      </c>
      <c r="G48" s="13">
        <v>2</v>
      </c>
      <c r="H48" s="14">
        <f t="shared" ref="H48" si="15">G48+I48</f>
        <v>2</v>
      </c>
      <c r="J48" s="14">
        <v>2</v>
      </c>
      <c r="K48" s="13" t="s">
        <v>234</v>
      </c>
      <c r="Q48" s="14"/>
    </row>
    <row r="49" spans="1:17" x14ac:dyDescent="0.25">
      <c r="A49" s="11" t="s">
        <v>5448</v>
      </c>
      <c r="B49" s="13" t="s">
        <v>1424</v>
      </c>
      <c r="D49" s="13" t="s">
        <v>1940</v>
      </c>
      <c r="F49" s="14" t="s">
        <v>11</v>
      </c>
      <c r="G49" s="13">
        <v>2</v>
      </c>
      <c r="H49" s="14">
        <f t="shared" si="7"/>
        <v>2</v>
      </c>
      <c r="J49" s="14">
        <v>2</v>
      </c>
      <c r="K49" s="13" t="s">
        <v>5568</v>
      </c>
      <c r="Q49" s="14"/>
    </row>
    <row r="50" spans="1:17" x14ac:dyDescent="0.25">
      <c r="A50" s="11" t="s">
        <v>5448</v>
      </c>
      <c r="B50" s="13" t="s">
        <v>1424</v>
      </c>
      <c r="C50" s="61" t="s">
        <v>5572</v>
      </c>
      <c r="F50" s="14" t="s">
        <v>11</v>
      </c>
      <c r="G50" s="13">
        <v>1</v>
      </c>
      <c r="H50" s="14">
        <f t="shared" ref="H50" si="16">G50+I50</f>
        <v>1</v>
      </c>
      <c r="J50" s="14">
        <v>1</v>
      </c>
      <c r="K50" s="13" t="s">
        <v>1086</v>
      </c>
      <c r="Q50" s="14"/>
    </row>
    <row r="51" spans="1:17" x14ac:dyDescent="0.25">
      <c r="A51" s="11" t="s">
        <v>5448</v>
      </c>
      <c r="B51" s="13" t="s">
        <v>1424</v>
      </c>
      <c r="C51" s="61" t="s">
        <v>5573</v>
      </c>
      <c r="F51" s="14" t="s">
        <v>11</v>
      </c>
      <c r="G51" s="13">
        <v>1</v>
      </c>
      <c r="H51" s="14">
        <f t="shared" ref="H51" si="17">G51+I51</f>
        <v>1</v>
      </c>
      <c r="J51" s="14">
        <v>1</v>
      </c>
      <c r="K51" s="13" t="s">
        <v>1086</v>
      </c>
      <c r="Q51" s="14"/>
    </row>
    <row r="52" spans="1:17" x14ac:dyDescent="0.25">
      <c r="A52" s="11" t="s">
        <v>5448</v>
      </c>
      <c r="B52" s="13" t="s">
        <v>213</v>
      </c>
      <c r="C52" s="61" t="s">
        <v>1845</v>
      </c>
      <c r="D52" s="13" t="s">
        <v>5587</v>
      </c>
      <c r="F52" s="14" t="s">
        <v>11</v>
      </c>
      <c r="G52" s="13">
        <v>1</v>
      </c>
      <c r="H52" s="14">
        <f t="shared" ref="H52" si="18">G52+I52</f>
        <v>1</v>
      </c>
      <c r="J52" s="14">
        <v>1</v>
      </c>
      <c r="K52" s="13" t="s">
        <v>684</v>
      </c>
      <c r="Q52" s="14"/>
    </row>
    <row r="53" spans="1:17" x14ac:dyDescent="0.25">
      <c r="A53" s="11" t="s">
        <v>5448</v>
      </c>
      <c r="B53" s="13" t="s">
        <v>42</v>
      </c>
      <c r="C53" s="61" t="s">
        <v>42</v>
      </c>
      <c r="D53" s="13" t="s">
        <v>1940</v>
      </c>
      <c r="F53" s="14" t="s">
        <v>11</v>
      </c>
      <c r="G53" s="13">
        <v>10</v>
      </c>
      <c r="H53" s="14">
        <f t="shared" si="7"/>
        <v>10</v>
      </c>
      <c r="J53" s="14">
        <v>10</v>
      </c>
      <c r="K53" s="13" t="s">
        <v>5697</v>
      </c>
      <c r="Q53" s="14"/>
    </row>
    <row r="54" spans="1:17" x14ac:dyDescent="0.25">
      <c r="A54" s="11" t="s">
        <v>5448</v>
      </c>
      <c r="B54" s="13" t="s">
        <v>42</v>
      </c>
      <c r="C54" s="61" t="s">
        <v>5640</v>
      </c>
      <c r="F54" s="14" t="s">
        <v>11</v>
      </c>
      <c r="G54" s="13">
        <v>1</v>
      </c>
      <c r="H54" s="14">
        <f t="shared" si="7"/>
        <v>1</v>
      </c>
      <c r="J54" s="14">
        <v>1</v>
      </c>
      <c r="K54" s="13" t="s">
        <v>243</v>
      </c>
      <c r="Q54" s="14"/>
    </row>
    <row r="55" spans="1:17" x14ac:dyDescent="0.25">
      <c r="A55" s="11" t="s">
        <v>5448</v>
      </c>
      <c r="B55" s="13" t="s">
        <v>42</v>
      </c>
      <c r="C55" s="61" t="s">
        <v>375</v>
      </c>
      <c r="F55" s="14" t="s">
        <v>11</v>
      </c>
      <c r="G55" s="13">
        <v>3</v>
      </c>
      <c r="H55" s="14">
        <f t="shared" si="7"/>
        <v>3</v>
      </c>
      <c r="J55" s="14">
        <v>3</v>
      </c>
      <c r="K55" s="13" t="s">
        <v>5639</v>
      </c>
      <c r="Q55" s="14"/>
    </row>
    <row r="56" spans="1:17" ht="12.75" customHeight="1" x14ac:dyDescent="0.25">
      <c r="A56" s="11" t="s">
        <v>5448</v>
      </c>
      <c r="B56" s="13" t="s">
        <v>42</v>
      </c>
      <c r="C56" s="61" t="s">
        <v>5638</v>
      </c>
      <c r="F56" s="14" t="s">
        <v>11</v>
      </c>
      <c r="G56" s="13">
        <v>1</v>
      </c>
      <c r="H56" s="14">
        <f t="shared" ref="H56" si="19">G56+I56</f>
        <v>1</v>
      </c>
      <c r="J56" s="14">
        <v>1</v>
      </c>
      <c r="K56" s="13" t="s">
        <v>243</v>
      </c>
      <c r="Q56" s="14"/>
    </row>
    <row r="57" spans="1:17" x14ac:dyDescent="0.25">
      <c r="A57" s="11" t="s">
        <v>5448</v>
      </c>
      <c r="B57" s="13" t="s">
        <v>42</v>
      </c>
      <c r="C57" s="61" t="s">
        <v>2511</v>
      </c>
      <c r="F57" s="14" t="s">
        <v>11</v>
      </c>
      <c r="G57" s="13">
        <v>1</v>
      </c>
      <c r="H57" s="14">
        <f t="shared" ref="H57" si="20">G57+I57</f>
        <v>1</v>
      </c>
      <c r="J57" s="14">
        <v>1</v>
      </c>
      <c r="K57" s="13" t="s">
        <v>243</v>
      </c>
      <c r="Q57" s="14"/>
    </row>
    <row r="58" spans="1:17" x14ac:dyDescent="0.25">
      <c r="A58" s="11" t="s">
        <v>5448</v>
      </c>
      <c r="B58" s="13" t="s">
        <v>10</v>
      </c>
      <c r="D58" s="13" t="s">
        <v>1940</v>
      </c>
      <c r="E58" s="14" t="s">
        <v>326</v>
      </c>
      <c r="F58" s="14" t="s">
        <v>11</v>
      </c>
      <c r="G58" s="13">
        <v>1</v>
      </c>
      <c r="H58" s="14">
        <f t="shared" si="7"/>
        <v>1</v>
      </c>
      <c r="J58" s="14">
        <v>1</v>
      </c>
      <c r="K58" s="13" t="s">
        <v>947</v>
      </c>
      <c r="Q58" s="14"/>
    </row>
    <row r="59" spans="1:17" x14ac:dyDescent="0.25">
      <c r="A59" s="11" t="s">
        <v>5448</v>
      </c>
      <c r="B59" s="13" t="s">
        <v>10</v>
      </c>
      <c r="C59" s="61" t="s">
        <v>5517</v>
      </c>
      <c r="D59" s="13" t="s">
        <v>5519</v>
      </c>
      <c r="E59" s="14" t="s">
        <v>326</v>
      </c>
      <c r="F59" s="14" t="s">
        <v>11</v>
      </c>
      <c r="G59" s="13">
        <v>1</v>
      </c>
      <c r="H59" s="14">
        <f t="shared" ref="H59:H60" si="21">G59+I59</f>
        <v>1</v>
      </c>
      <c r="J59" s="14">
        <v>1</v>
      </c>
      <c r="K59" s="13" t="s">
        <v>947</v>
      </c>
      <c r="Q59" s="14"/>
    </row>
    <row r="60" spans="1:17" x14ac:dyDescent="0.25">
      <c r="A60" s="11" t="s">
        <v>5448</v>
      </c>
      <c r="B60" s="13" t="s">
        <v>10</v>
      </c>
      <c r="C60" s="61" t="s">
        <v>5518</v>
      </c>
      <c r="D60" s="13" t="s">
        <v>5519</v>
      </c>
      <c r="E60" s="14" t="s">
        <v>326</v>
      </c>
      <c r="F60" s="14" t="s">
        <v>11</v>
      </c>
      <c r="G60" s="13">
        <v>1</v>
      </c>
      <c r="H60" s="14">
        <f t="shared" si="21"/>
        <v>1</v>
      </c>
      <c r="J60" s="14">
        <v>1</v>
      </c>
      <c r="K60" s="13" t="s">
        <v>947</v>
      </c>
      <c r="Q60" s="14"/>
    </row>
    <row r="61" spans="1:17" x14ac:dyDescent="0.25">
      <c r="A61" s="11" t="s">
        <v>5448</v>
      </c>
      <c r="B61" s="13" t="s">
        <v>10</v>
      </c>
      <c r="E61" s="14" t="s">
        <v>716</v>
      </c>
      <c r="F61" s="14" t="s">
        <v>11</v>
      </c>
      <c r="G61" s="13">
        <v>1</v>
      </c>
      <c r="H61" s="14">
        <f t="shared" ref="H61:H82" si="22">G61+I61</f>
        <v>1</v>
      </c>
      <c r="J61" s="14">
        <v>1</v>
      </c>
      <c r="K61" s="13" t="s">
        <v>252</v>
      </c>
      <c r="Q61" s="14"/>
    </row>
    <row r="62" spans="1:17" x14ac:dyDescent="0.25">
      <c r="A62" s="11" t="s">
        <v>5448</v>
      </c>
      <c r="B62" s="13" t="s">
        <v>10</v>
      </c>
      <c r="C62" s="61" t="s">
        <v>5633</v>
      </c>
      <c r="F62" s="14" t="s">
        <v>11</v>
      </c>
      <c r="G62" s="13">
        <v>3</v>
      </c>
      <c r="H62" s="14">
        <f t="shared" ref="H62" si="23">G62+I62</f>
        <v>3</v>
      </c>
      <c r="J62" s="14">
        <v>3</v>
      </c>
      <c r="K62" s="13" t="s">
        <v>5678</v>
      </c>
      <c r="Q62" s="14"/>
    </row>
    <row r="63" spans="1:17" x14ac:dyDescent="0.25">
      <c r="A63" s="11" t="s">
        <v>5448</v>
      </c>
      <c r="B63" s="13" t="s">
        <v>126</v>
      </c>
      <c r="D63" s="13" t="s">
        <v>1940</v>
      </c>
      <c r="F63" s="14" t="s">
        <v>11</v>
      </c>
      <c r="G63" s="13">
        <v>2</v>
      </c>
      <c r="H63" s="14">
        <f t="shared" si="22"/>
        <v>2</v>
      </c>
      <c r="J63" s="14">
        <v>2</v>
      </c>
      <c r="K63" s="13" t="s">
        <v>5661</v>
      </c>
      <c r="Q63" s="14"/>
    </row>
    <row r="64" spans="1:17" x14ac:dyDescent="0.25">
      <c r="A64" s="11" t="s">
        <v>5448</v>
      </c>
      <c r="B64" s="13" t="s">
        <v>126</v>
      </c>
      <c r="C64" s="61" t="s">
        <v>1584</v>
      </c>
      <c r="E64" s="14" t="s">
        <v>1137</v>
      </c>
      <c r="F64" s="14" t="s">
        <v>11</v>
      </c>
      <c r="G64" s="13">
        <v>7</v>
      </c>
      <c r="H64" s="14">
        <f t="shared" si="22"/>
        <v>7</v>
      </c>
      <c r="J64" s="14">
        <v>7</v>
      </c>
      <c r="K64" s="13" t="s">
        <v>5693</v>
      </c>
      <c r="Q64" s="14"/>
    </row>
    <row r="65" spans="1:17" x14ac:dyDescent="0.25">
      <c r="A65" s="11" t="s">
        <v>5448</v>
      </c>
      <c r="B65" s="13" t="s">
        <v>126</v>
      </c>
      <c r="C65" s="61" t="s">
        <v>444</v>
      </c>
      <c r="E65" s="14" t="s">
        <v>5562</v>
      </c>
      <c r="F65" s="14" t="s">
        <v>11</v>
      </c>
      <c r="G65" s="13">
        <v>1</v>
      </c>
      <c r="H65" s="14">
        <f t="shared" ref="H65" si="24">G65+I65</f>
        <v>1</v>
      </c>
      <c r="J65" s="14">
        <v>1</v>
      </c>
      <c r="K65" s="13" t="s">
        <v>87</v>
      </c>
      <c r="Q65" s="14"/>
    </row>
    <row r="66" spans="1:17" x14ac:dyDescent="0.25">
      <c r="A66" s="11" t="s">
        <v>5448</v>
      </c>
      <c r="B66" s="13" t="s">
        <v>126</v>
      </c>
      <c r="C66" s="61" t="s">
        <v>5542</v>
      </c>
      <c r="E66" s="14" t="s">
        <v>1137</v>
      </c>
      <c r="F66" s="14" t="s">
        <v>11</v>
      </c>
      <c r="G66" s="13">
        <v>1</v>
      </c>
      <c r="H66" s="14">
        <f t="shared" ref="H66" si="25">G66+I66</f>
        <v>1</v>
      </c>
      <c r="J66" s="14">
        <v>1</v>
      </c>
      <c r="K66" s="13" t="s">
        <v>1005</v>
      </c>
      <c r="Q66" s="14"/>
    </row>
    <row r="67" spans="1:17" x14ac:dyDescent="0.25">
      <c r="A67" s="11" t="s">
        <v>5448</v>
      </c>
      <c r="B67" s="13" t="s">
        <v>126</v>
      </c>
      <c r="C67" s="61" t="s">
        <v>3929</v>
      </c>
      <c r="E67" s="14" t="s">
        <v>1137</v>
      </c>
      <c r="F67" s="14" t="s">
        <v>11</v>
      </c>
      <c r="G67" s="13">
        <v>3</v>
      </c>
      <c r="H67" s="14">
        <f>G67+I67</f>
        <v>3</v>
      </c>
      <c r="J67" s="14">
        <v>3</v>
      </c>
      <c r="K67" s="13" t="s">
        <v>5694</v>
      </c>
      <c r="Q67" s="14"/>
    </row>
    <row r="68" spans="1:17" x14ac:dyDescent="0.25">
      <c r="A68" s="11" t="s">
        <v>5448</v>
      </c>
      <c r="B68" s="13" t="s">
        <v>191</v>
      </c>
      <c r="D68" s="13" t="s">
        <v>1940</v>
      </c>
      <c r="F68" s="14" t="s">
        <v>11</v>
      </c>
      <c r="G68" s="13">
        <v>4</v>
      </c>
      <c r="H68" s="14">
        <f t="shared" si="22"/>
        <v>4</v>
      </c>
      <c r="J68" s="14">
        <v>4</v>
      </c>
      <c r="K68" s="13" t="s">
        <v>5714</v>
      </c>
      <c r="Q68" s="14"/>
    </row>
    <row r="69" spans="1:17" x14ac:dyDescent="0.25">
      <c r="A69" s="11" t="s">
        <v>5448</v>
      </c>
      <c r="B69" s="13" t="s">
        <v>191</v>
      </c>
      <c r="C69" s="61" t="s">
        <v>5487</v>
      </c>
      <c r="F69" s="14" t="s">
        <v>11</v>
      </c>
      <c r="G69" s="13">
        <v>1</v>
      </c>
      <c r="H69" s="14">
        <f t="shared" ref="H69" si="26">G69+I69</f>
        <v>1</v>
      </c>
      <c r="J69" s="14">
        <v>1</v>
      </c>
      <c r="K69" s="13" t="s">
        <v>949</v>
      </c>
      <c r="Q69" s="14"/>
    </row>
    <row r="70" spans="1:17" x14ac:dyDescent="0.25">
      <c r="A70" s="11" t="s">
        <v>5448</v>
      </c>
      <c r="B70" s="13" t="s">
        <v>191</v>
      </c>
      <c r="C70" s="61" t="s">
        <v>43</v>
      </c>
      <c r="E70" s="14" t="s">
        <v>43</v>
      </c>
      <c r="F70" s="14" t="s">
        <v>11</v>
      </c>
      <c r="G70" s="13">
        <v>2</v>
      </c>
      <c r="H70" s="14">
        <f t="shared" si="22"/>
        <v>2</v>
      </c>
      <c r="J70" s="14">
        <v>2</v>
      </c>
      <c r="K70" s="13" t="s">
        <v>5698</v>
      </c>
      <c r="Q70" s="14"/>
    </row>
    <row r="71" spans="1:17" x14ac:dyDescent="0.25">
      <c r="A71" s="11" t="s">
        <v>5448</v>
      </c>
      <c r="B71" s="13" t="s">
        <v>191</v>
      </c>
      <c r="C71" s="61" t="s">
        <v>3089</v>
      </c>
      <c r="D71" s="13" t="s">
        <v>5508</v>
      </c>
      <c r="F71" s="14" t="s">
        <v>11</v>
      </c>
      <c r="G71" s="13">
        <v>1</v>
      </c>
      <c r="H71" s="14">
        <f>G71+I71</f>
        <v>1</v>
      </c>
      <c r="J71" s="14">
        <v>1</v>
      </c>
      <c r="K71" s="13" t="s">
        <v>2343</v>
      </c>
      <c r="Q71" s="14"/>
    </row>
    <row r="72" spans="1:17" x14ac:dyDescent="0.25">
      <c r="A72" s="11" t="s">
        <v>5448</v>
      </c>
      <c r="B72" s="13" t="s">
        <v>191</v>
      </c>
      <c r="C72" s="61" t="s">
        <v>5515</v>
      </c>
      <c r="E72" s="14" t="s">
        <v>3089</v>
      </c>
      <c r="F72" s="14" t="s">
        <v>11</v>
      </c>
      <c r="G72" s="13">
        <v>1</v>
      </c>
      <c r="H72" s="14">
        <f>G72+I72</f>
        <v>1</v>
      </c>
      <c r="J72" s="14">
        <v>1</v>
      </c>
      <c r="K72" s="13" t="s">
        <v>2343</v>
      </c>
      <c r="Q72" s="14"/>
    </row>
    <row r="73" spans="1:17" x14ac:dyDescent="0.25">
      <c r="A73" s="11" t="s">
        <v>5448</v>
      </c>
      <c r="B73" s="13" t="s">
        <v>191</v>
      </c>
      <c r="C73" s="61" t="s">
        <v>5516</v>
      </c>
      <c r="F73" s="14" t="s">
        <v>11</v>
      </c>
      <c r="G73" s="13">
        <v>1</v>
      </c>
      <c r="H73" s="14">
        <f t="shared" ref="H73" si="27">G73+I73</f>
        <v>1</v>
      </c>
      <c r="J73" s="14">
        <v>1</v>
      </c>
      <c r="K73" s="13" t="s">
        <v>2343</v>
      </c>
      <c r="Q73" s="14"/>
    </row>
    <row r="74" spans="1:17" x14ac:dyDescent="0.25">
      <c r="A74" s="11" t="s">
        <v>5448</v>
      </c>
      <c r="B74" s="13" t="s">
        <v>191</v>
      </c>
      <c r="C74" s="61" t="s">
        <v>5713</v>
      </c>
      <c r="F74" s="14" t="s">
        <v>11</v>
      </c>
      <c r="G74" s="13">
        <v>1</v>
      </c>
      <c r="H74" s="14">
        <f t="shared" si="22"/>
        <v>1</v>
      </c>
      <c r="J74" s="14">
        <v>1</v>
      </c>
      <c r="K74" s="13" t="s">
        <v>459</v>
      </c>
      <c r="Q74" s="14"/>
    </row>
    <row r="75" spans="1:17" x14ac:dyDescent="0.25">
      <c r="A75" s="11" t="s">
        <v>5448</v>
      </c>
      <c r="B75" s="13" t="s">
        <v>68</v>
      </c>
      <c r="C75" s="61" t="s">
        <v>68</v>
      </c>
      <c r="D75" s="13" t="s">
        <v>1940</v>
      </c>
      <c r="F75" s="14" t="s">
        <v>11</v>
      </c>
      <c r="G75" s="13">
        <v>1</v>
      </c>
      <c r="H75" s="14">
        <f t="shared" si="22"/>
        <v>1</v>
      </c>
      <c r="J75" s="14">
        <v>1</v>
      </c>
      <c r="K75" s="13" t="s">
        <v>87</v>
      </c>
      <c r="Q75" s="14"/>
    </row>
    <row r="76" spans="1:17" x14ac:dyDescent="0.25">
      <c r="A76" s="11" t="s">
        <v>5448</v>
      </c>
      <c r="B76" s="13" t="s">
        <v>68</v>
      </c>
      <c r="C76" s="61" t="s">
        <v>2112</v>
      </c>
      <c r="D76" s="13" t="s">
        <v>5482</v>
      </c>
      <c r="F76" s="14" t="s">
        <v>11</v>
      </c>
      <c r="G76" s="13">
        <v>3</v>
      </c>
      <c r="H76" s="14">
        <f>G76+I76</f>
        <v>3</v>
      </c>
      <c r="J76" s="14">
        <v>3</v>
      </c>
      <c r="K76" s="13" t="s">
        <v>5618</v>
      </c>
      <c r="Q76" s="14"/>
    </row>
    <row r="77" spans="1:17" x14ac:dyDescent="0.25">
      <c r="A77" s="11" t="s">
        <v>5448</v>
      </c>
      <c r="B77" s="13" t="s">
        <v>68</v>
      </c>
      <c r="C77" s="61" t="s">
        <v>5486</v>
      </c>
      <c r="E77" s="14" t="s">
        <v>2112</v>
      </c>
      <c r="F77" s="14" t="s">
        <v>11</v>
      </c>
      <c r="G77" s="13">
        <v>2</v>
      </c>
      <c r="H77" s="14">
        <f>G77+I77</f>
        <v>2</v>
      </c>
      <c r="J77" s="14">
        <v>2</v>
      </c>
      <c r="K77" s="13" t="s">
        <v>5619</v>
      </c>
      <c r="Q77" s="14"/>
    </row>
    <row r="78" spans="1:17" x14ac:dyDescent="0.25">
      <c r="A78" s="11" t="s">
        <v>5448</v>
      </c>
      <c r="B78" s="13" t="s">
        <v>68</v>
      </c>
      <c r="C78" s="61" t="s">
        <v>5566</v>
      </c>
      <c r="F78" s="14" t="s">
        <v>11</v>
      </c>
      <c r="G78" s="13">
        <v>2</v>
      </c>
      <c r="H78" s="14">
        <f>G78+I78</f>
        <v>2</v>
      </c>
      <c r="J78" s="14">
        <v>2</v>
      </c>
      <c r="K78" s="13" t="s">
        <v>5623</v>
      </c>
      <c r="Q78" s="14"/>
    </row>
    <row r="79" spans="1:17" x14ac:dyDescent="0.25">
      <c r="A79" s="11" t="s">
        <v>5448</v>
      </c>
      <c r="B79" s="13" t="s">
        <v>68</v>
      </c>
      <c r="C79" s="61" t="s">
        <v>5523</v>
      </c>
      <c r="F79" s="14" t="s">
        <v>11</v>
      </c>
      <c r="G79" s="13">
        <v>2</v>
      </c>
      <c r="H79" s="14">
        <f>G79+I79</f>
        <v>2</v>
      </c>
      <c r="J79" s="14">
        <v>2</v>
      </c>
      <c r="K79" s="13" t="s">
        <v>5567</v>
      </c>
      <c r="Q79" s="14"/>
    </row>
    <row r="80" spans="1:17" x14ac:dyDescent="0.25">
      <c r="A80" s="11" t="s">
        <v>5448</v>
      </c>
      <c r="B80" s="13" t="s">
        <v>68</v>
      </c>
      <c r="C80" s="61" t="s">
        <v>5616</v>
      </c>
      <c r="E80" s="14" t="s">
        <v>5483</v>
      </c>
      <c r="F80" s="14" t="s">
        <v>11</v>
      </c>
      <c r="G80" s="13">
        <v>1</v>
      </c>
      <c r="H80" s="14">
        <f t="shared" ref="H80" si="28">G80+I80</f>
        <v>1</v>
      </c>
      <c r="J80" s="14">
        <v>1</v>
      </c>
      <c r="K80" s="13" t="s">
        <v>240</v>
      </c>
      <c r="Q80" s="14"/>
    </row>
    <row r="81" spans="1:17" x14ac:dyDescent="0.25">
      <c r="A81" s="11" t="s">
        <v>5448</v>
      </c>
      <c r="B81" s="13" t="s">
        <v>68</v>
      </c>
      <c r="C81" s="61" t="s">
        <v>5483</v>
      </c>
      <c r="D81" s="13" t="s">
        <v>5482</v>
      </c>
      <c r="F81" s="14" t="s">
        <v>11</v>
      </c>
      <c r="G81" s="13">
        <v>4</v>
      </c>
      <c r="H81" s="14">
        <f>G81+I81</f>
        <v>4</v>
      </c>
      <c r="J81" s="14">
        <v>4</v>
      </c>
      <c r="K81" s="13" t="s">
        <v>5617</v>
      </c>
      <c r="Q81" s="14"/>
    </row>
    <row r="82" spans="1:17" x14ac:dyDescent="0.25">
      <c r="A82" s="11" t="s">
        <v>5448</v>
      </c>
      <c r="B82" s="13" t="s">
        <v>674</v>
      </c>
      <c r="D82" s="13" t="s">
        <v>1940</v>
      </c>
      <c r="F82" s="14" t="s">
        <v>11</v>
      </c>
      <c r="G82" s="13">
        <v>3</v>
      </c>
      <c r="H82" s="14">
        <f t="shared" si="22"/>
        <v>3</v>
      </c>
      <c r="J82" s="14">
        <v>3</v>
      </c>
      <c r="K82" s="13" t="s">
        <v>5712</v>
      </c>
      <c r="Q82" s="14"/>
    </row>
    <row r="83" spans="1:17" x14ac:dyDescent="0.25">
      <c r="A83" s="11" t="s">
        <v>5448</v>
      </c>
      <c r="B83" s="13" t="s">
        <v>327</v>
      </c>
      <c r="C83" s="61" t="s">
        <v>282</v>
      </c>
      <c r="D83" s="13" t="s">
        <v>1940</v>
      </c>
      <c r="F83" s="14" t="s">
        <v>11</v>
      </c>
      <c r="G83" s="13">
        <v>10</v>
      </c>
      <c r="H83" s="14">
        <f t="shared" ref="H83:H89" si="29">G83+I83</f>
        <v>10</v>
      </c>
      <c r="J83" s="14">
        <v>8</v>
      </c>
      <c r="K83" s="13" t="s">
        <v>5684</v>
      </c>
      <c r="Q83" s="14"/>
    </row>
    <row r="84" spans="1:17" x14ac:dyDescent="0.25">
      <c r="A84" s="11" t="s">
        <v>5448</v>
      </c>
      <c r="B84" s="13" t="s">
        <v>327</v>
      </c>
      <c r="C84" s="61" t="s">
        <v>5472</v>
      </c>
      <c r="D84" s="13" t="s">
        <v>3927</v>
      </c>
      <c r="F84" s="14" t="s">
        <v>11</v>
      </c>
      <c r="G84" s="13">
        <v>1</v>
      </c>
      <c r="H84" s="14">
        <f t="shared" si="29"/>
        <v>1</v>
      </c>
      <c r="J84" s="14">
        <v>1</v>
      </c>
      <c r="K84" s="13" t="s">
        <v>4895</v>
      </c>
      <c r="Q84" s="14"/>
    </row>
    <row r="85" spans="1:17" x14ac:dyDescent="0.25">
      <c r="A85" s="11" t="s">
        <v>5448</v>
      </c>
      <c r="B85" s="13" t="s">
        <v>327</v>
      </c>
      <c r="C85" s="61" t="s">
        <v>566</v>
      </c>
      <c r="F85" s="14" t="s">
        <v>11</v>
      </c>
      <c r="G85" s="13">
        <v>3</v>
      </c>
      <c r="H85" s="14">
        <f t="shared" si="29"/>
        <v>3</v>
      </c>
      <c r="J85" s="14">
        <v>3</v>
      </c>
      <c r="K85" s="13" t="s">
        <v>5583</v>
      </c>
      <c r="Q85" s="14"/>
    </row>
    <row r="86" spans="1:17" x14ac:dyDescent="0.25">
      <c r="A86" s="11" t="s">
        <v>5448</v>
      </c>
      <c r="B86" s="13" t="s">
        <v>327</v>
      </c>
      <c r="C86" s="61" t="s">
        <v>2204</v>
      </c>
      <c r="E86" s="14" t="s">
        <v>677</v>
      </c>
      <c r="F86" s="14" t="s">
        <v>11</v>
      </c>
      <c r="G86" s="13">
        <v>2</v>
      </c>
      <c r="H86" s="14">
        <f t="shared" si="29"/>
        <v>2</v>
      </c>
      <c r="J86" s="14">
        <v>2</v>
      </c>
      <c r="K86" s="13" t="s">
        <v>5494</v>
      </c>
      <c r="Q86" s="14"/>
    </row>
    <row r="87" spans="1:17" x14ac:dyDescent="0.25">
      <c r="A87" s="11" t="s">
        <v>5448</v>
      </c>
      <c r="B87" s="13" t="s">
        <v>327</v>
      </c>
      <c r="C87" s="61" t="s">
        <v>5497</v>
      </c>
      <c r="E87" s="14" t="s">
        <v>677</v>
      </c>
      <c r="F87" s="14" t="s">
        <v>11</v>
      </c>
      <c r="G87" s="13">
        <v>4</v>
      </c>
      <c r="H87" s="14">
        <f t="shared" si="29"/>
        <v>4</v>
      </c>
      <c r="J87" s="14">
        <v>4</v>
      </c>
      <c r="K87" s="13" t="s">
        <v>5626</v>
      </c>
      <c r="Q87" s="14"/>
    </row>
    <row r="88" spans="1:17" x14ac:dyDescent="0.25">
      <c r="A88" s="11" t="s">
        <v>5448</v>
      </c>
      <c r="B88" s="13" t="s">
        <v>327</v>
      </c>
      <c r="C88" s="61" t="s">
        <v>5495</v>
      </c>
      <c r="E88" s="14" t="s">
        <v>677</v>
      </c>
      <c r="F88" s="14" t="s">
        <v>11</v>
      </c>
      <c r="G88" s="13">
        <v>1</v>
      </c>
      <c r="H88" s="14">
        <f t="shared" si="29"/>
        <v>1</v>
      </c>
      <c r="J88" s="14">
        <v>1</v>
      </c>
      <c r="K88" s="13" t="s">
        <v>949</v>
      </c>
      <c r="Q88" s="14"/>
    </row>
    <row r="89" spans="1:17" x14ac:dyDescent="0.25">
      <c r="A89" s="11" t="s">
        <v>5448</v>
      </c>
      <c r="B89" s="13" t="s">
        <v>327</v>
      </c>
      <c r="C89" s="61" t="s">
        <v>5473</v>
      </c>
      <c r="D89" s="13" t="s">
        <v>3927</v>
      </c>
      <c r="F89" s="14" t="s">
        <v>11</v>
      </c>
      <c r="G89" s="13">
        <v>1</v>
      </c>
      <c r="H89" s="14">
        <f t="shared" si="29"/>
        <v>1</v>
      </c>
      <c r="J89" s="14">
        <v>1</v>
      </c>
      <c r="K89" s="13" t="s">
        <v>4895</v>
      </c>
      <c r="Q89" s="14"/>
    </row>
    <row r="90" spans="1:17" x14ac:dyDescent="0.25">
      <c r="A90" s="11" t="s">
        <v>5448</v>
      </c>
      <c r="B90" s="13" t="s">
        <v>327</v>
      </c>
      <c r="C90" s="61" t="s">
        <v>5479</v>
      </c>
      <c r="D90" s="13" t="s">
        <v>5100</v>
      </c>
      <c r="F90" s="14" t="s">
        <v>11</v>
      </c>
      <c r="G90" s="13">
        <v>1</v>
      </c>
      <c r="H90" s="14">
        <f t="shared" ref="H90:H91" si="30">G90+I90</f>
        <v>1</v>
      </c>
      <c r="J90" s="14">
        <v>1</v>
      </c>
      <c r="K90" s="13" t="s">
        <v>4895</v>
      </c>
      <c r="Q90" s="14"/>
    </row>
    <row r="91" spans="1:17" x14ac:dyDescent="0.25">
      <c r="A91" s="11" t="s">
        <v>5448</v>
      </c>
      <c r="B91" s="13" t="s">
        <v>327</v>
      </c>
      <c r="C91" s="61" t="s">
        <v>5612</v>
      </c>
      <c r="D91" s="13" t="s">
        <v>5100</v>
      </c>
      <c r="F91" s="14" t="s">
        <v>11</v>
      </c>
      <c r="G91" s="13">
        <v>1</v>
      </c>
      <c r="H91" s="14">
        <f t="shared" si="30"/>
        <v>1</v>
      </c>
      <c r="J91" s="14">
        <v>1</v>
      </c>
      <c r="K91" s="13" t="s">
        <v>5318</v>
      </c>
      <c r="Q91" s="14"/>
    </row>
    <row r="92" spans="1:17" x14ac:dyDescent="0.25">
      <c r="A92" s="11" t="s">
        <v>5448</v>
      </c>
      <c r="B92" s="13" t="s">
        <v>327</v>
      </c>
      <c r="C92" s="61" t="s">
        <v>5480</v>
      </c>
      <c r="D92" s="13" t="s">
        <v>5100</v>
      </c>
      <c r="F92" s="14" t="s">
        <v>11</v>
      </c>
      <c r="G92" s="13">
        <v>3</v>
      </c>
      <c r="H92" s="14">
        <f t="shared" ref="H92" si="31">G92+I92</f>
        <v>3</v>
      </c>
      <c r="J92" s="14">
        <v>3</v>
      </c>
      <c r="K92" s="13" t="s">
        <v>5611</v>
      </c>
      <c r="Q92" s="14"/>
    </row>
    <row r="93" spans="1:17" x14ac:dyDescent="0.25">
      <c r="A93" s="11" t="s">
        <v>5448</v>
      </c>
      <c r="B93" s="13" t="s">
        <v>327</v>
      </c>
      <c r="C93" s="61" t="s">
        <v>1813</v>
      </c>
      <c r="D93" s="13" t="s">
        <v>5100</v>
      </c>
      <c r="F93" s="14" t="s">
        <v>11</v>
      </c>
      <c r="G93" s="13">
        <v>2</v>
      </c>
      <c r="H93" s="14">
        <f t="shared" ref="H93" si="32">G93+I93</f>
        <v>2</v>
      </c>
      <c r="J93" s="14">
        <v>2</v>
      </c>
      <c r="K93" s="13" t="s">
        <v>5613</v>
      </c>
      <c r="Q93" s="14"/>
    </row>
    <row r="94" spans="1:17" x14ac:dyDescent="0.25">
      <c r="A94" s="11" t="s">
        <v>5448</v>
      </c>
      <c r="B94" s="13" t="s">
        <v>327</v>
      </c>
      <c r="C94" s="61" t="s">
        <v>5481</v>
      </c>
      <c r="D94" s="13" t="s">
        <v>5100</v>
      </c>
      <c r="F94" s="14" t="s">
        <v>11</v>
      </c>
      <c r="G94" s="13">
        <v>1</v>
      </c>
      <c r="H94" s="14">
        <f t="shared" ref="H94:H236" si="33">G94+I94</f>
        <v>1</v>
      </c>
      <c r="J94" s="14">
        <v>1</v>
      </c>
      <c r="K94" s="13" t="s">
        <v>4895</v>
      </c>
      <c r="Q94" s="14"/>
    </row>
    <row r="95" spans="1:17" x14ac:dyDescent="0.25">
      <c r="A95" s="11" t="s">
        <v>5448</v>
      </c>
      <c r="B95" s="13" t="s">
        <v>3231</v>
      </c>
      <c r="C95" s="61" t="s">
        <v>5511</v>
      </c>
      <c r="F95" s="14" t="s">
        <v>11</v>
      </c>
      <c r="G95" s="13">
        <v>1</v>
      </c>
      <c r="H95" s="14">
        <f t="shared" ref="H95" si="34">G95+I95</f>
        <v>1</v>
      </c>
      <c r="J95" s="14">
        <v>1</v>
      </c>
      <c r="K95" s="13" t="s">
        <v>2343</v>
      </c>
      <c r="Q95" s="14"/>
    </row>
    <row r="96" spans="1:17" x14ac:dyDescent="0.25">
      <c r="A96" s="11" t="s">
        <v>5448</v>
      </c>
      <c r="B96" s="13" t="s">
        <v>209</v>
      </c>
      <c r="D96" s="13" t="s">
        <v>1940</v>
      </c>
      <c r="F96" s="14" t="s">
        <v>11</v>
      </c>
      <c r="G96" s="13">
        <v>1</v>
      </c>
      <c r="H96" s="14">
        <f t="shared" si="33"/>
        <v>1</v>
      </c>
      <c r="J96" s="14">
        <v>1</v>
      </c>
      <c r="K96" s="13" t="s">
        <v>240</v>
      </c>
      <c r="Q96" s="14"/>
    </row>
    <row r="97" spans="1:17" x14ac:dyDescent="0.25">
      <c r="A97" s="11" t="s">
        <v>5448</v>
      </c>
      <c r="B97" s="13" t="s">
        <v>209</v>
      </c>
      <c r="C97" s="61" t="s">
        <v>5470</v>
      </c>
      <c r="D97" s="13" t="s">
        <v>683</v>
      </c>
      <c r="F97" s="14" t="s">
        <v>11</v>
      </c>
      <c r="G97" s="13">
        <v>5</v>
      </c>
      <c r="H97" s="14">
        <f t="shared" ref="H97" si="35">G97+I97</f>
        <v>5</v>
      </c>
      <c r="J97" s="14">
        <v>4</v>
      </c>
      <c r="K97" s="13" t="s">
        <v>5500</v>
      </c>
      <c r="Q97" s="14"/>
    </row>
    <row r="98" spans="1:17" x14ac:dyDescent="0.25">
      <c r="A98" s="11" t="s">
        <v>5448</v>
      </c>
      <c r="B98" s="13" t="s">
        <v>209</v>
      </c>
      <c r="C98" s="61" t="s">
        <v>5496</v>
      </c>
      <c r="F98" s="14" t="s">
        <v>11</v>
      </c>
      <c r="G98" s="13">
        <v>1</v>
      </c>
      <c r="H98" s="14">
        <f t="shared" ref="H98" si="36">G98+I98</f>
        <v>1</v>
      </c>
      <c r="J98" s="14">
        <v>1</v>
      </c>
      <c r="K98" s="13" t="s">
        <v>949</v>
      </c>
      <c r="Q98" s="14"/>
    </row>
    <row r="99" spans="1:17" x14ac:dyDescent="0.25">
      <c r="A99" s="11" t="s">
        <v>5448</v>
      </c>
      <c r="B99" s="13" t="s">
        <v>209</v>
      </c>
      <c r="C99" s="61" t="s">
        <v>5604</v>
      </c>
      <c r="E99" s="14" t="s">
        <v>5605</v>
      </c>
      <c r="F99" s="14" t="s">
        <v>11</v>
      </c>
      <c r="G99" s="13">
        <v>1</v>
      </c>
      <c r="H99" s="14">
        <f t="shared" ref="H99" si="37">G99+I99</f>
        <v>1</v>
      </c>
      <c r="J99" s="14">
        <v>1</v>
      </c>
      <c r="K99" s="13" t="s">
        <v>217</v>
      </c>
      <c r="Q99" s="14"/>
    </row>
    <row r="100" spans="1:17" x14ac:dyDescent="0.25">
      <c r="A100" s="11" t="s">
        <v>5448</v>
      </c>
      <c r="B100" s="13" t="s">
        <v>64</v>
      </c>
      <c r="D100" s="13" t="s">
        <v>1940</v>
      </c>
      <c r="F100" s="14" t="s">
        <v>11</v>
      </c>
      <c r="G100" s="13">
        <v>3</v>
      </c>
      <c r="H100" s="14">
        <f t="shared" si="33"/>
        <v>3</v>
      </c>
      <c r="J100" s="14">
        <v>3</v>
      </c>
      <c r="K100" s="13" t="s">
        <v>5600</v>
      </c>
      <c r="Q100" s="14"/>
    </row>
    <row r="101" spans="1:17" x14ac:dyDescent="0.25">
      <c r="A101" s="11" t="s">
        <v>5448</v>
      </c>
      <c r="B101" s="13" t="s">
        <v>64</v>
      </c>
      <c r="C101" s="61" t="s">
        <v>1181</v>
      </c>
      <c r="D101" s="13" t="s">
        <v>5294</v>
      </c>
      <c r="F101" s="14" t="s">
        <v>11</v>
      </c>
      <c r="G101" s="13">
        <v>1</v>
      </c>
      <c r="H101" s="14">
        <f t="shared" ref="H101" si="38">G101+I101</f>
        <v>1</v>
      </c>
      <c r="J101" s="14">
        <v>1</v>
      </c>
      <c r="K101" s="13" t="s">
        <v>224</v>
      </c>
      <c r="Q101" s="14"/>
    </row>
    <row r="102" spans="1:17" x14ac:dyDescent="0.25">
      <c r="A102" s="11" t="s">
        <v>5448</v>
      </c>
      <c r="B102" s="13" t="s">
        <v>64</v>
      </c>
      <c r="C102" s="61" t="s">
        <v>2347</v>
      </c>
      <c r="F102" s="14" t="s">
        <v>11</v>
      </c>
      <c r="G102" s="13">
        <v>1</v>
      </c>
      <c r="H102" s="14">
        <f t="shared" si="33"/>
        <v>1</v>
      </c>
      <c r="J102" s="14">
        <v>1</v>
      </c>
      <c r="K102" s="13" t="s">
        <v>279</v>
      </c>
      <c r="Q102" s="14"/>
    </row>
    <row r="103" spans="1:17" x14ac:dyDescent="0.25">
      <c r="A103" s="11" t="s">
        <v>5448</v>
      </c>
      <c r="B103" s="13" t="s">
        <v>64</v>
      </c>
      <c r="C103" s="61" t="s">
        <v>5580</v>
      </c>
      <c r="F103" s="14" t="s">
        <v>11</v>
      </c>
      <c r="G103" s="13">
        <v>1</v>
      </c>
      <c r="H103" s="14">
        <f t="shared" ref="H103" si="39">G103+I103</f>
        <v>1</v>
      </c>
      <c r="J103" s="14">
        <v>1</v>
      </c>
      <c r="K103" s="13" t="s">
        <v>204</v>
      </c>
      <c r="Q103" s="14"/>
    </row>
    <row r="104" spans="1:17" x14ac:dyDescent="0.25">
      <c r="A104" s="11" t="s">
        <v>5448</v>
      </c>
      <c r="B104" s="13" t="s">
        <v>5471</v>
      </c>
      <c r="C104" s="61" t="s">
        <v>3142</v>
      </c>
      <c r="D104" s="13" t="s">
        <v>683</v>
      </c>
      <c r="F104" s="14" t="s">
        <v>11</v>
      </c>
      <c r="G104" s="13">
        <v>1</v>
      </c>
      <c r="H104" s="14">
        <f t="shared" ref="H104" si="40">G104+I104</f>
        <v>1</v>
      </c>
      <c r="J104" s="14">
        <v>1</v>
      </c>
      <c r="K104" s="13" t="s">
        <v>32</v>
      </c>
      <c r="Q104" s="14"/>
    </row>
    <row r="105" spans="1:17" x14ac:dyDescent="0.25">
      <c r="A105" s="11" t="s">
        <v>5448</v>
      </c>
      <c r="B105" s="13" t="s">
        <v>261</v>
      </c>
      <c r="C105" s="61" t="s">
        <v>5620</v>
      </c>
      <c r="F105" s="14" t="s">
        <v>11</v>
      </c>
      <c r="G105" s="13">
        <v>1</v>
      </c>
      <c r="H105" s="14">
        <f t="shared" ref="H105" si="41">G105+I105</f>
        <v>1</v>
      </c>
      <c r="J105" s="14">
        <v>1</v>
      </c>
      <c r="K105" s="13" t="s">
        <v>240</v>
      </c>
      <c r="Q105" s="14"/>
    </row>
    <row r="106" spans="1:17" x14ac:dyDescent="0.25">
      <c r="A106" s="11" t="s">
        <v>5448</v>
      </c>
      <c r="B106" s="13" t="s">
        <v>261</v>
      </c>
      <c r="C106" s="61" t="s">
        <v>2602</v>
      </c>
      <c r="F106" s="14" t="s">
        <v>11</v>
      </c>
      <c r="G106" s="13">
        <v>1</v>
      </c>
      <c r="H106" s="14">
        <f t="shared" si="33"/>
        <v>1</v>
      </c>
      <c r="J106" s="14">
        <v>1</v>
      </c>
      <c r="K106" s="13" t="s">
        <v>240</v>
      </c>
      <c r="Q106" s="14"/>
    </row>
    <row r="107" spans="1:17" x14ac:dyDescent="0.25">
      <c r="A107" s="11" t="s">
        <v>5448</v>
      </c>
      <c r="B107" s="13" t="s">
        <v>4728</v>
      </c>
      <c r="C107" s="61" t="s">
        <v>5261</v>
      </c>
      <c r="F107" s="14" t="s">
        <v>11</v>
      </c>
      <c r="G107" s="13">
        <v>1</v>
      </c>
      <c r="H107" s="14">
        <f t="shared" si="33"/>
        <v>1</v>
      </c>
      <c r="J107" s="14">
        <v>1</v>
      </c>
      <c r="K107" s="13" t="s">
        <v>279</v>
      </c>
      <c r="Q107" s="14"/>
    </row>
    <row r="108" spans="1:17" x14ac:dyDescent="0.25">
      <c r="A108" s="11" t="s">
        <v>5448</v>
      </c>
      <c r="B108" s="13" t="s">
        <v>705</v>
      </c>
      <c r="D108" s="13" t="s">
        <v>1940</v>
      </c>
      <c r="F108" s="14" t="s">
        <v>11</v>
      </c>
      <c r="G108" s="13">
        <v>1</v>
      </c>
      <c r="H108" s="14">
        <f t="shared" si="33"/>
        <v>1</v>
      </c>
      <c r="J108" s="14">
        <v>1</v>
      </c>
      <c r="K108" s="13" t="s">
        <v>1800</v>
      </c>
      <c r="Q108" s="14"/>
    </row>
    <row r="109" spans="1:17" x14ac:dyDescent="0.25">
      <c r="A109" s="11" t="s">
        <v>5448</v>
      </c>
      <c r="B109" s="13" t="s">
        <v>705</v>
      </c>
      <c r="C109" s="61" t="s">
        <v>707</v>
      </c>
      <c r="F109" s="14" t="s">
        <v>11</v>
      </c>
      <c r="G109" s="13">
        <v>1</v>
      </c>
      <c r="H109" s="14">
        <f t="shared" ref="H109" si="42">G109+I109</f>
        <v>1</v>
      </c>
      <c r="J109" s="14">
        <v>1</v>
      </c>
      <c r="K109" s="13" t="s">
        <v>240</v>
      </c>
      <c r="Q109" s="14"/>
    </row>
    <row r="110" spans="1:17" x14ac:dyDescent="0.25">
      <c r="A110" s="11" t="s">
        <v>5448</v>
      </c>
      <c r="B110" s="13" t="s">
        <v>283</v>
      </c>
      <c r="D110" s="13" t="s">
        <v>1940</v>
      </c>
      <c r="F110" s="14" t="s">
        <v>11</v>
      </c>
      <c r="G110" s="13">
        <v>6</v>
      </c>
      <c r="H110" s="14">
        <f t="shared" si="33"/>
        <v>6</v>
      </c>
      <c r="J110" s="14">
        <v>5</v>
      </c>
      <c r="K110" s="13" t="s">
        <v>5739</v>
      </c>
      <c r="Q110" s="14"/>
    </row>
    <row r="111" spans="1:17" x14ac:dyDescent="0.25">
      <c r="A111" s="11" t="s">
        <v>5448</v>
      </c>
      <c r="B111" s="13" t="s">
        <v>283</v>
      </c>
      <c r="C111" s="61" t="s">
        <v>1813</v>
      </c>
      <c r="D111" s="13" t="s">
        <v>5100</v>
      </c>
      <c r="F111" s="14" t="s">
        <v>11</v>
      </c>
      <c r="G111" s="13">
        <v>1</v>
      </c>
      <c r="H111" s="14">
        <f t="shared" si="33"/>
        <v>1</v>
      </c>
      <c r="J111" s="14">
        <v>1</v>
      </c>
      <c r="K111" s="13" t="s">
        <v>224</v>
      </c>
      <c r="Q111" s="14"/>
    </row>
    <row r="112" spans="1:17" x14ac:dyDescent="0.25">
      <c r="A112" s="11" t="s">
        <v>5448</v>
      </c>
      <c r="B112" s="13" t="s">
        <v>283</v>
      </c>
      <c r="C112" s="61" t="s">
        <v>3395</v>
      </c>
      <c r="F112" s="14" t="s">
        <v>11</v>
      </c>
      <c r="G112" s="13">
        <v>1</v>
      </c>
      <c r="H112" s="14">
        <f t="shared" ref="H112" si="43">G112+I112</f>
        <v>1</v>
      </c>
      <c r="J112" s="14">
        <v>1</v>
      </c>
      <c r="K112" s="13" t="s">
        <v>217</v>
      </c>
      <c r="Q112" s="14"/>
    </row>
    <row r="113" spans="1:17" x14ac:dyDescent="0.25">
      <c r="A113" s="11" t="s">
        <v>5448</v>
      </c>
      <c r="B113" s="13" t="s">
        <v>283</v>
      </c>
      <c r="C113" s="61" t="s">
        <v>475</v>
      </c>
      <c r="F113" s="14" t="s">
        <v>11</v>
      </c>
      <c r="G113" s="13">
        <v>1</v>
      </c>
      <c r="H113" s="14">
        <f>G113+I113</f>
        <v>1</v>
      </c>
      <c r="J113" s="14">
        <v>1</v>
      </c>
      <c r="K113" s="13" t="s">
        <v>224</v>
      </c>
      <c r="Q113" s="14"/>
    </row>
    <row r="114" spans="1:17" x14ac:dyDescent="0.25">
      <c r="A114" s="11" t="s">
        <v>5448</v>
      </c>
      <c r="B114" s="13" t="s">
        <v>283</v>
      </c>
      <c r="C114" s="61" t="s">
        <v>3854</v>
      </c>
      <c r="F114" s="14" t="s">
        <v>11</v>
      </c>
      <c r="G114" s="13">
        <v>1</v>
      </c>
      <c r="H114" s="14">
        <f>G114+I114</f>
        <v>1</v>
      </c>
      <c r="J114" s="14">
        <v>1</v>
      </c>
      <c r="K114" s="13" t="s">
        <v>224</v>
      </c>
      <c r="Q114" s="14"/>
    </row>
    <row r="115" spans="1:17" x14ac:dyDescent="0.25">
      <c r="A115" s="11" t="s">
        <v>5448</v>
      </c>
      <c r="B115" s="13" t="s">
        <v>283</v>
      </c>
      <c r="C115" s="61" t="s">
        <v>1806</v>
      </c>
      <c r="F115" s="14" t="s">
        <v>11</v>
      </c>
      <c r="G115" s="13">
        <v>1</v>
      </c>
      <c r="H115" s="14">
        <f t="shared" ref="H115" si="44">G115+I115</f>
        <v>1</v>
      </c>
      <c r="J115" s="14">
        <v>1</v>
      </c>
      <c r="K115" s="13" t="s">
        <v>224</v>
      </c>
    </row>
    <row r="116" spans="1:17" x14ac:dyDescent="0.25">
      <c r="A116" s="11" t="s">
        <v>5448</v>
      </c>
      <c r="B116" s="13" t="s">
        <v>283</v>
      </c>
      <c r="C116" s="61" t="s">
        <v>5527</v>
      </c>
      <c r="D116" s="13" t="s">
        <v>5508</v>
      </c>
      <c r="F116" s="14" t="s">
        <v>11</v>
      </c>
      <c r="G116" s="13">
        <v>2</v>
      </c>
      <c r="H116" s="14">
        <f>G116+I116</f>
        <v>2</v>
      </c>
      <c r="J116" s="14">
        <v>2</v>
      </c>
      <c r="K116" s="13" t="s">
        <v>5628</v>
      </c>
      <c r="Q116" s="14"/>
    </row>
    <row r="117" spans="1:17" x14ac:dyDescent="0.25">
      <c r="A117" s="11" t="s">
        <v>5448</v>
      </c>
      <c r="B117" s="13" t="s">
        <v>283</v>
      </c>
      <c r="C117" s="61" t="s">
        <v>5528</v>
      </c>
      <c r="D117" s="13" t="s">
        <v>5508</v>
      </c>
      <c r="F117" s="14" t="s">
        <v>11</v>
      </c>
      <c r="G117" s="13">
        <v>2</v>
      </c>
      <c r="H117" s="14">
        <f>G117+I117</f>
        <v>2</v>
      </c>
      <c r="J117" s="14">
        <v>2</v>
      </c>
      <c r="K117" s="13" t="s">
        <v>5628</v>
      </c>
      <c r="Q117" s="14"/>
    </row>
    <row r="118" spans="1:17" x14ac:dyDescent="0.25">
      <c r="A118" s="11" t="s">
        <v>5448</v>
      </c>
      <c r="B118" s="13" t="s">
        <v>283</v>
      </c>
      <c r="C118" s="61" t="s">
        <v>5610</v>
      </c>
      <c r="F118" s="14" t="s">
        <v>11</v>
      </c>
      <c r="G118" s="13">
        <v>1</v>
      </c>
      <c r="H118" s="14">
        <f>G118+I118</f>
        <v>1</v>
      </c>
      <c r="J118" s="14">
        <v>1</v>
      </c>
      <c r="K118" s="13" t="s">
        <v>224</v>
      </c>
      <c r="Q118" s="14"/>
    </row>
    <row r="119" spans="1:17" x14ac:dyDescent="0.25">
      <c r="A119" s="11" t="s">
        <v>5448</v>
      </c>
      <c r="B119" s="13" t="s">
        <v>430</v>
      </c>
      <c r="D119" s="13" t="s">
        <v>1940</v>
      </c>
      <c r="F119" s="14" t="s">
        <v>11</v>
      </c>
      <c r="G119" s="13">
        <v>1</v>
      </c>
      <c r="H119" s="14">
        <f t="shared" si="33"/>
        <v>1</v>
      </c>
      <c r="J119" s="14">
        <v>1</v>
      </c>
      <c r="K119" s="13" t="s">
        <v>1076</v>
      </c>
      <c r="Q119" s="14"/>
    </row>
    <row r="120" spans="1:17" x14ac:dyDescent="0.25">
      <c r="A120" s="11" t="s">
        <v>5448</v>
      </c>
      <c r="B120" s="13" t="s">
        <v>430</v>
      </c>
      <c r="C120" s="61" t="s">
        <v>5571</v>
      </c>
      <c r="F120" s="14" t="s">
        <v>11</v>
      </c>
      <c r="G120" s="13">
        <v>1</v>
      </c>
      <c r="H120" s="14">
        <f t="shared" ref="H120" si="45">G120+I120</f>
        <v>1</v>
      </c>
      <c r="J120" s="14">
        <v>1</v>
      </c>
      <c r="K120" s="13" t="s">
        <v>1086</v>
      </c>
      <c r="Q120" s="14"/>
    </row>
    <row r="121" spans="1:17" x14ac:dyDescent="0.25">
      <c r="A121" s="11" t="s">
        <v>5448</v>
      </c>
      <c r="B121" s="13" t="s">
        <v>430</v>
      </c>
      <c r="C121" s="61" t="s">
        <v>5666</v>
      </c>
      <c r="F121" s="14" t="s">
        <v>11</v>
      </c>
      <c r="G121" s="13">
        <v>1</v>
      </c>
      <c r="H121" s="14">
        <f t="shared" ref="H121:H122" si="46">G121+I121</f>
        <v>1</v>
      </c>
      <c r="J121" s="14">
        <v>1</v>
      </c>
      <c r="K121" s="13" t="s">
        <v>264</v>
      </c>
      <c r="Q121" s="14"/>
    </row>
    <row r="122" spans="1:17" x14ac:dyDescent="0.25">
      <c r="A122" s="11" t="s">
        <v>5448</v>
      </c>
      <c r="B122" s="13" t="s">
        <v>430</v>
      </c>
      <c r="C122" s="61" t="s">
        <v>5667</v>
      </c>
      <c r="F122" s="14" t="s">
        <v>11</v>
      </c>
      <c r="G122" s="13">
        <v>2</v>
      </c>
      <c r="H122" s="14">
        <f t="shared" si="46"/>
        <v>2</v>
      </c>
      <c r="J122" s="14">
        <v>2</v>
      </c>
      <c r="K122" s="13" t="s">
        <v>690</v>
      </c>
      <c r="Q122" s="14"/>
    </row>
    <row r="123" spans="1:17" x14ac:dyDescent="0.25">
      <c r="A123" s="11" t="s">
        <v>5448</v>
      </c>
      <c r="B123" s="13" t="s">
        <v>328</v>
      </c>
      <c r="D123" s="13" t="s">
        <v>1940</v>
      </c>
      <c r="F123" s="14" t="s">
        <v>11</v>
      </c>
      <c r="G123" s="13">
        <v>6</v>
      </c>
      <c r="H123" s="14">
        <f>G123+I123</f>
        <v>6</v>
      </c>
      <c r="J123" s="14">
        <v>6</v>
      </c>
      <c r="K123" s="13" t="s">
        <v>5683</v>
      </c>
      <c r="Q123" s="14"/>
    </row>
    <row r="124" spans="1:17" x14ac:dyDescent="0.25">
      <c r="A124" s="11" t="s">
        <v>5448</v>
      </c>
      <c r="B124" s="13" t="s">
        <v>328</v>
      </c>
      <c r="C124" s="61" t="s">
        <v>5532</v>
      </c>
      <c r="D124" s="13" t="s">
        <v>5508</v>
      </c>
      <c r="F124" s="14" t="s">
        <v>11</v>
      </c>
      <c r="G124" s="13">
        <v>1</v>
      </c>
      <c r="H124" s="14">
        <f>G124+I124</f>
        <v>1</v>
      </c>
      <c r="J124" s="14">
        <v>1</v>
      </c>
      <c r="K124" s="13" t="s">
        <v>947</v>
      </c>
      <c r="Q124" s="14"/>
    </row>
    <row r="125" spans="1:17" x14ac:dyDescent="0.25">
      <c r="A125" s="11" t="s">
        <v>5448</v>
      </c>
      <c r="B125" s="13" t="s">
        <v>328</v>
      </c>
      <c r="C125" s="61" t="s">
        <v>5535</v>
      </c>
      <c r="D125" s="13" t="s">
        <v>5508</v>
      </c>
      <c r="E125" s="14" t="s">
        <v>5532</v>
      </c>
      <c r="F125" s="14" t="s">
        <v>11</v>
      </c>
      <c r="G125" s="13">
        <v>6</v>
      </c>
      <c r="H125" s="14">
        <f>G125+I125</f>
        <v>6</v>
      </c>
      <c r="J125" s="14">
        <v>3</v>
      </c>
      <c r="K125" s="13" t="s">
        <v>5599</v>
      </c>
      <c r="Q125" s="14"/>
    </row>
    <row r="126" spans="1:17" x14ac:dyDescent="0.25">
      <c r="A126" s="11" t="s">
        <v>5448</v>
      </c>
      <c r="B126" s="13" t="s">
        <v>328</v>
      </c>
      <c r="C126" s="61" t="s">
        <v>5688</v>
      </c>
      <c r="E126" s="14" t="s">
        <v>5689</v>
      </c>
      <c r="F126" s="14" t="s">
        <v>11</v>
      </c>
      <c r="G126" s="13">
        <v>1</v>
      </c>
      <c r="H126" s="14">
        <f t="shared" ref="H126" si="47">G126+I126</f>
        <v>1</v>
      </c>
      <c r="J126" s="14">
        <v>1</v>
      </c>
      <c r="K126" s="13" t="s">
        <v>279</v>
      </c>
      <c r="Q126" s="14"/>
    </row>
    <row r="127" spans="1:17" x14ac:dyDescent="0.25">
      <c r="A127" s="11" t="s">
        <v>5448</v>
      </c>
      <c r="B127" s="13" t="s">
        <v>328</v>
      </c>
      <c r="C127" s="61" t="s">
        <v>5595</v>
      </c>
      <c r="F127" s="14" t="s">
        <v>11</v>
      </c>
      <c r="G127" s="13">
        <v>1</v>
      </c>
      <c r="H127" s="14">
        <f t="shared" ref="H127" si="48">G127+I127</f>
        <v>1</v>
      </c>
      <c r="J127" s="14">
        <v>1</v>
      </c>
      <c r="K127" s="13" t="s">
        <v>684</v>
      </c>
      <c r="Q127" s="14"/>
    </row>
    <row r="128" spans="1:17" x14ac:dyDescent="0.25">
      <c r="A128" s="11" t="s">
        <v>5448</v>
      </c>
      <c r="B128" s="13" t="s">
        <v>328</v>
      </c>
      <c r="C128" s="61" t="s">
        <v>5590</v>
      </c>
      <c r="F128" s="14" t="s">
        <v>11</v>
      </c>
      <c r="G128" s="13">
        <v>1</v>
      </c>
      <c r="H128" s="14">
        <f t="shared" ref="H128" si="49">G128+I128</f>
        <v>1</v>
      </c>
      <c r="J128" s="14">
        <v>1</v>
      </c>
      <c r="K128" s="13" t="s">
        <v>684</v>
      </c>
      <c r="Q128" s="14"/>
    </row>
    <row r="129" spans="1:17" x14ac:dyDescent="0.25">
      <c r="A129" s="11" t="s">
        <v>5448</v>
      </c>
      <c r="B129" s="13" t="s">
        <v>328</v>
      </c>
      <c r="C129" s="61" t="s">
        <v>5593</v>
      </c>
      <c r="F129" s="14" t="s">
        <v>11</v>
      </c>
      <c r="G129" s="13">
        <v>2</v>
      </c>
      <c r="H129" s="14">
        <f t="shared" ref="H129" si="50">G129+I129</f>
        <v>2</v>
      </c>
      <c r="J129" s="14">
        <v>1</v>
      </c>
      <c r="K129" s="13" t="s">
        <v>684</v>
      </c>
      <c r="Q129" s="14"/>
    </row>
    <row r="130" spans="1:17" x14ac:dyDescent="0.25">
      <c r="A130" s="11" t="s">
        <v>5448</v>
      </c>
      <c r="B130" s="13" t="s">
        <v>328</v>
      </c>
      <c r="C130" s="61" t="s">
        <v>5596</v>
      </c>
      <c r="F130" s="14" t="s">
        <v>11</v>
      </c>
      <c r="G130" s="13">
        <v>1</v>
      </c>
      <c r="H130" s="14">
        <f t="shared" ref="H130" si="51">G130+I130</f>
        <v>1</v>
      </c>
      <c r="J130" s="14">
        <v>1</v>
      </c>
      <c r="K130" s="13" t="s">
        <v>684</v>
      </c>
      <c r="Q130" s="14"/>
    </row>
    <row r="131" spans="1:17" x14ac:dyDescent="0.25">
      <c r="A131" s="11" t="s">
        <v>5448</v>
      </c>
      <c r="B131" s="13" t="s">
        <v>328</v>
      </c>
      <c r="C131" s="61" t="s">
        <v>5436</v>
      </c>
      <c r="F131" s="14" t="s">
        <v>11</v>
      </c>
      <c r="G131" s="13">
        <v>2</v>
      </c>
      <c r="H131" s="14">
        <f t="shared" ref="H131" si="52">G131+I131</f>
        <v>2</v>
      </c>
      <c r="J131" s="14">
        <v>2</v>
      </c>
      <c r="K131" s="13" t="s">
        <v>5594</v>
      </c>
      <c r="Q131" s="14"/>
    </row>
    <row r="132" spans="1:17" x14ac:dyDescent="0.25">
      <c r="A132" s="11" t="s">
        <v>5448</v>
      </c>
      <c r="B132" s="13" t="s">
        <v>328</v>
      </c>
      <c r="C132" s="61" t="s">
        <v>5592</v>
      </c>
      <c r="F132" s="14" t="s">
        <v>11</v>
      </c>
      <c r="G132" s="13">
        <v>1</v>
      </c>
      <c r="H132" s="14">
        <f t="shared" ref="H132" si="53">G132+I132</f>
        <v>1</v>
      </c>
      <c r="J132" s="14">
        <v>1</v>
      </c>
      <c r="K132" s="13" t="s">
        <v>684</v>
      </c>
      <c r="Q132" s="14"/>
    </row>
    <row r="133" spans="1:17" x14ac:dyDescent="0.25">
      <c r="A133" s="11" t="s">
        <v>5448</v>
      </c>
      <c r="B133" s="13" t="s">
        <v>328</v>
      </c>
      <c r="C133" s="61" t="s">
        <v>5591</v>
      </c>
      <c r="F133" s="14" t="s">
        <v>11</v>
      </c>
      <c r="G133" s="13">
        <v>1</v>
      </c>
      <c r="H133" s="14">
        <f t="shared" si="33"/>
        <v>1</v>
      </c>
      <c r="J133" s="14">
        <v>1</v>
      </c>
      <c r="K133" s="13" t="s">
        <v>684</v>
      </c>
      <c r="Q133" s="14"/>
    </row>
    <row r="134" spans="1:17" x14ac:dyDescent="0.25">
      <c r="A134" s="11" t="s">
        <v>5448</v>
      </c>
      <c r="B134" s="13" t="s">
        <v>328</v>
      </c>
      <c r="C134" s="61" t="s">
        <v>2565</v>
      </c>
      <c r="F134" s="14" t="s">
        <v>11</v>
      </c>
      <c r="G134" s="13">
        <v>2</v>
      </c>
      <c r="H134" s="14">
        <f t="shared" si="33"/>
        <v>2</v>
      </c>
      <c r="J134" s="14">
        <v>1</v>
      </c>
      <c r="K134" s="13" t="s">
        <v>684</v>
      </c>
      <c r="Q134" s="14"/>
    </row>
    <row r="135" spans="1:17" x14ac:dyDescent="0.25">
      <c r="A135" s="11" t="s">
        <v>5448</v>
      </c>
      <c r="B135" s="13" t="s">
        <v>328</v>
      </c>
      <c r="C135" s="61" t="s">
        <v>1778</v>
      </c>
      <c r="F135" s="14" t="s">
        <v>11</v>
      </c>
      <c r="G135" s="13">
        <v>2</v>
      </c>
      <c r="H135" s="14">
        <f t="shared" si="33"/>
        <v>2</v>
      </c>
      <c r="J135" s="14">
        <v>1</v>
      </c>
      <c r="K135" s="13" t="s">
        <v>684</v>
      </c>
      <c r="Q135" s="14"/>
    </row>
    <row r="136" spans="1:17" x14ac:dyDescent="0.25">
      <c r="A136" s="11" t="s">
        <v>5448</v>
      </c>
      <c r="B136" s="13" t="s">
        <v>2391</v>
      </c>
      <c r="C136" s="61" t="s">
        <v>4696</v>
      </c>
      <c r="F136" s="14" t="s">
        <v>11</v>
      </c>
      <c r="G136" s="13">
        <v>1</v>
      </c>
      <c r="H136" s="14">
        <f t="shared" si="33"/>
        <v>1</v>
      </c>
      <c r="J136" s="14">
        <v>1</v>
      </c>
      <c r="K136" s="13" t="s">
        <v>217</v>
      </c>
      <c r="Q136" s="14"/>
    </row>
    <row r="137" spans="1:17" x14ac:dyDescent="0.25">
      <c r="A137" s="11" t="s">
        <v>5448</v>
      </c>
      <c r="B137" s="13" t="s">
        <v>483</v>
      </c>
      <c r="C137" s="61" t="s">
        <v>5295</v>
      </c>
      <c r="D137" s="13" t="s">
        <v>5100</v>
      </c>
      <c r="F137" s="14" t="s">
        <v>11</v>
      </c>
      <c r="G137" s="13">
        <v>6</v>
      </c>
      <c r="H137" s="14">
        <f t="shared" ref="H137:H138" si="54">G137+I137</f>
        <v>6</v>
      </c>
      <c r="J137" s="14">
        <v>4</v>
      </c>
      <c r="K137" s="13" t="s">
        <v>5681</v>
      </c>
      <c r="Q137" s="14"/>
    </row>
    <row r="138" spans="1:17" x14ac:dyDescent="0.25">
      <c r="A138" s="11" t="s">
        <v>5448</v>
      </c>
      <c r="B138" s="13" t="s">
        <v>483</v>
      </c>
      <c r="C138" s="61" t="s">
        <v>5668</v>
      </c>
      <c r="F138" s="14" t="s">
        <v>11</v>
      </c>
      <c r="G138" s="13">
        <v>1</v>
      </c>
      <c r="H138" s="14">
        <f t="shared" si="54"/>
        <v>1</v>
      </c>
      <c r="J138" s="14">
        <v>1</v>
      </c>
      <c r="K138" s="13" t="s">
        <v>264</v>
      </c>
      <c r="Q138" s="14"/>
    </row>
    <row r="139" spans="1:17" x14ac:dyDescent="0.25">
      <c r="A139" s="11" t="s">
        <v>5448</v>
      </c>
      <c r="B139" s="13" t="s">
        <v>78</v>
      </c>
      <c r="D139" s="13" t="s">
        <v>1940</v>
      </c>
      <c r="F139" s="14" t="s">
        <v>11</v>
      </c>
      <c r="G139" s="13">
        <v>4</v>
      </c>
      <c r="H139" s="14">
        <f t="shared" si="33"/>
        <v>4</v>
      </c>
      <c r="J139" s="14">
        <v>4</v>
      </c>
      <c r="K139" s="13" t="s">
        <v>5602</v>
      </c>
      <c r="Q139" s="14"/>
    </row>
    <row r="140" spans="1:17" x14ac:dyDescent="0.25">
      <c r="A140" s="11" t="s">
        <v>5448</v>
      </c>
      <c r="B140" s="13" t="s">
        <v>78</v>
      </c>
      <c r="C140" s="61" t="s">
        <v>3894</v>
      </c>
      <c r="D140" s="13" t="s">
        <v>281</v>
      </c>
      <c r="F140" s="14" t="s">
        <v>11</v>
      </c>
      <c r="G140" s="13">
        <v>1</v>
      </c>
      <c r="H140" s="14">
        <f t="shared" ref="H140" si="55">G140+I140</f>
        <v>1</v>
      </c>
      <c r="J140" s="14">
        <v>1</v>
      </c>
      <c r="K140" s="13" t="s">
        <v>87</v>
      </c>
      <c r="Q140" s="14"/>
    </row>
    <row r="141" spans="1:17" x14ac:dyDescent="0.25">
      <c r="A141" s="11" t="s">
        <v>5448</v>
      </c>
      <c r="B141" s="13" t="s">
        <v>78</v>
      </c>
      <c r="C141" s="61" t="s">
        <v>5531</v>
      </c>
      <c r="F141" s="14" t="s">
        <v>11</v>
      </c>
      <c r="G141" s="13">
        <v>1</v>
      </c>
      <c r="H141" s="14">
        <f>G141+I141</f>
        <v>1</v>
      </c>
      <c r="J141" s="14">
        <v>1</v>
      </c>
      <c r="K141" s="13" t="s">
        <v>947</v>
      </c>
      <c r="Q141" s="14"/>
    </row>
    <row r="142" spans="1:17" x14ac:dyDescent="0.25">
      <c r="A142" s="11" t="s">
        <v>5448</v>
      </c>
      <c r="B142" s="13" t="s">
        <v>78</v>
      </c>
      <c r="C142" s="61" t="s">
        <v>5621</v>
      </c>
      <c r="F142" s="14" t="s">
        <v>11</v>
      </c>
      <c r="G142" s="13">
        <v>1</v>
      </c>
      <c r="H142" s="14">
        <f>G142+I142</f>
        <v>1</v>
      </c>
      <c r="J142" s="14">
        <v>1</v>
      </c>
      <c r="K142" s="13" t="s">
        <v>240</v>
      </c>
      <c r="Q142" s="14"/>
    </row>
    <row r="143" spans="1:17" x14ac:dyDescent="0.25">
      <c r="A143" s="11" t="s">
        <v>5448</v>
      </c>
      <c r="B143" s="13" t="s">
        <v>78</v>
      </c>
      <c r="C143" s="61" t="s">
        <v>1820</v>
      </c>
      <c r="F143" s="14" t="s">
        <v>11</v>
      </c>
      <c r="G143" s="13">
        <v>1</v>
      </c>
      <c r="H143" s="14">
        <f>G143+I143</f>
        <v>1</v>
      </c>
      <c r="J143" s="14">
        <v>1</v>
      </c>
      <c r="K143" s="13" t="s">
        <v>224</v>
      </c>
      <c r="Q143" s="14"/>
    </row>
    <row r="144" spans="1:17" x14ac:dyDescent="0.25">
      <c r="A144" s="11" t="s">
        <v>5448</v>
      </c>
      <c r="B144" s="13" t="s">
        <v>78</v>
      </c>
      <c r="C144" s="61" t="s">
        <v>5608</v>
      </c>
      <c r="D144" s="13" t="s">
        <v>5294</v>
      </c>
      <c r="F144" s="14" t="s">
        <v>11</v>
      </c>
      <c r="G144" s="13">
        <v>1</v>
      </c>
      <c r="H144" s="14">
        <f>G144+I144</f>
        <v>1</v>
      </c>
      <c r="J144" s="14">
        <v>1</v>
      </c>
      <c r="K144" s="13" t="s">
        <v>224</v>
      </c>
      <c r="Q144" s="14"/>
    </row>
    <row r="145" spans="1:17" x14ac:dyDescent="0.25">
      <c r="A145" s="11" t="s">
        <v>5448</v>
      </c>
      <c r="B145" s="13" t="s">
        <v>206</v>
      </c>
      <c r="D145" s="13" t="s">
        <v>1940</v>
      </c>
      <c r="F145" s="14" t="s">
        <v>11</v>
      </c>
      <c r="G145" s="13">
        <v>2</v>
      </c>
      <c r="H145" s="14">
        <f t="shared" si="33"/>
        <v>2</v>
      </c>
      <c r="J145" s="14">
        <v>2</v>
      </c>
      <c r="K145" s="13" t="s">
        <v>5597</v>
      </c>
      <c r="Q145" s="14"/>
    </row>
    <row r="146" spans="1:17" x14ac:dyDescent="0.25">
      <c r="A146" s="11" t="s">
        <v>5448</v>
      </c>
      <c r="B146" s="13" t="s">
        <v>206</v>
      </c>
      <c r="C146" s="61" t="s">
        <v>5534</v>
      </c>
      <c r="F146" s="14" t="s">
        <v>11</v>
      </c>
      <c r="G146" s="13">
        <v>1</v>
      </c>
      <c r="H146" s="14">
        <f t="shared" ref="H146" si="56">G146+I146</f>
        <v>1</v>
      </c>
      <c r="J146" s="14">
        <v>1</v>
      </c>
      <c r="K146" s="13" t="s">
        <v>947</v>
      </c>
      <c r="Q146" s="14"/>
    </row>
    <row r="147" spans="1:17" x14ac:dyDescent="0.25">
      <c r="A147" s="11" t="s">
        <v>5448</v>
      </c>
      <c r="B147" s="13" t="s">
        <v>206</v>
      </c>
      <c r="C147" s="61" t="s">
        <v>2455</v>
      </c>
      <c r="F147" s="14" t="s">
        <v>11</v>
      </c>
      <c r="G147" s="13">
        <v>4</v>
      </c>
      <c r="H147" s="14">
        <f t="shared" si="33"/>
        <v>4</v>
      </c>
      <c r="J147" s="14">
        <v>3</v>
      </c>
      <c r="K147" s="13" t="s">
        <v>5609</v>
      </c>
      <c r="Q147" s="14"/>
    </row>
    <row r="148" spans="1:17" x14ac:dyDescent="0.25">
      <c r="A148" s="11" t="s">
        <v>5448</v>
      </c>
      <c r="B148" s="13" t="s">
        <v>206</v>
      </c>
      <c r="C148" s="61" t="s">
        <v>208</v>
      </c>
      <c r="F148" s="14" t="s">
        <v>11</v>
      </c>
      <c r="G148" s="13">
        <v>1</v>
      </c>
      <c r="H148" s="14">
        <f>G148+I148</f>
        <v>1</v>
      </c>
      <c r="J148" s="14">
        <v>1</v>
      </c>
      <c r="K148" s="13" t="s">
        <v>684</v>
      </c>
      <c r="Q148" s="14"/>
    </row>
    <row r="149" spans="1:17" x14ac:dyDescent="0.25">
      <c r="A149" s="11" t="s">
        <v>5448</v>
      </c>
      <c r="B149" s="13" t="s">
        <v>2617</v>
      </c>
      <c r="C149" s="61" t="s">
        <v>4860</v>
      </c>
      <c r="F149" s="14" t="s">
        <v>11</v>
      </c>
      <c r="G149" s="13">
        <v>1</v>
      </c>
      <c r="H149" s="14">
        <f t="shared" si="33"/>
        <v>1</v>
      </c>
      <c r="J149" s="14">
        <v>1</v>
      </c>
      <c r="K149" s="13" t="s">
        <v>279</v>
      </c>
      <c r="Q149" s="14"/>
    </row>
    <row r="150" spans="1:17" x14ac:dyDescent="0.25">
      <c r="A150" s="11" t="s">
        <v>5448</v>
      </c>
      <c r="B150" s="13" t="s">
        <v>53</v>
      </c>
      <c r="C150" s="61" t="s">
        <v>51</v>
      </c>
      <c r="E150" s="14" t="s">
        <v>5536</v>
      </c>
      <c r="F150" s="14" t="s">
        <v>11</v>
      </c>
      <c r="G150" s="13">
        <v>5</v>
      </c>
      <c r="H150" s="14">
        <f t="shared" si="33"/>
        <v>5</v>
      </c>
      <c r="J150" s="14">
        <v>3</v>
      </c>
      <c r="K150" s="13" t="s">
        <v>5687</v>
      </c>
      <c r="Q150" s="14"/>
    </row>
    <row r="151" spans="1:17" x14ac:dyDescent="0.25">
      <c r="A151" s="11" t="s">
        <v>5448</v>
      </c>
      <c r="B151" s="13" t="s">
        <v>46</v>
      </c>
      <c r="C151" s="61" t="s">
        <v>4210</v>
      </c>
      <c r="F151" s="14" t="s">
        <v>11</v>
      </c>
      <c r="G151" s="13">
        <v>6</v>
      </c>
      <c r="H151" s="14">
        <f t="shared" si="33"/>
        <v>6</v>
      </c>
      <c r="J151" s="14">
        <v>5</v>
      </c>
      <c r="K151" s="13" t="s">
        <v>5679</v>
      </c>
      <c r="Q151" s="14"/>
    </row>
    <row r="152" spans="1:17" x14ac:dyDescent="0.25">
      <c r="A152" s="11" t="s">
        <v>5448</v>
      </c>
      <c r="B152" s="13" t="s">
        <v>46</v>
      </c>
      <c r="C152" s="61" t="s">
        <v>5669</v>
      </c>
      <c r="F152" s="14" t="s">
        <v>11</v>
      </c>
      <c r="G152" s="13">
        <v>1</v>
      </c>
      <c r="H152" s="14">
        <f t="shared" ref="H152" si="57">G152+I152</f>
        <v>1</v>
      </c>
      <c r="J152" s="14">
        <v>1</v>
      </c>
      <c r="K152" s="13" t="s">
        <v>264</v>
      </c>
      <c r="Q152" s="14"/>
    </row>
    <row r="153" spans="1:17" x14ac:dyDescent="0.25">
      <c r="A153" s="11" t="s">
        <v>5448</v>
      </c>
      <c r="B153" s="13" t="s">
        <v>62</v>
      </c>
      <c r="C153" s="61" t="s">
        <v>3155</v>
      </c>
      <c r="D153" s="13" t="s">
        <v>1940</v>
      </c>
      <c r="F153" s="14" t="s">
        <v>11</v>
      </c>
      <c r="G153" s="13">
        <v>3</v>
      </c>
      <c r="H153" s="14">
        <f t="shared" ref="H153" si="58">G153+I153</f>
        <v>3</v>
      </c>
      <c r="J153" s="14">
        <v>3</v>
      </c>
      <c r="K153" s="13" t="s">
        <v>5603</v>
      </c>
      <c r="Q153" s="14"/>
    </row>
    <row r="154" spans="1:17" x14ac:dyDescent="0.25">
      <c r="A154" s="11" t="s">
        <v>5448</v>
      </c>
      <c r="B154" s="13" t="s">
        <v>82</v>
      </c>
      <c r="D154" s="13" t="s">
        <v>1940</v>
      </c>
      <c r="E154" s="14" t="s">
        <v>82</v>
      </c>
      <c r="F154" s="14" t="s">
        <v>11</v>
      </c>
      <c r="G154" s="13">
        <v>2</v>
      </c>
      <c r="H154" s="14">
        <f t="shared" si="33"/>
        <v>2</v>
      </c>
      <c r="J154" s="14">
        <v>1</v>
      </c>
      <c r="K154" s="13" t="s">
        <v>2343</v>
      </c>
      <c r="Q154" s="14"/>
    </row>
    <row r="155" spans="1:17" x14ac:dyDescent="0.25">
      <c r="A155" s="11" t="s">
        <v>5448</v>
      </c>
      <c r="B155" s="13" t="s">
        <v>82</v>
      </c>
      <c r="C155" s="61" t="s">
        <v>5507</v>
      </c>
      <c r="D155" s="13" t="s">
        <v>5508</v>
      </c>
      <c r="E155" s="14" t="s">
        <v>82</v>
      </c>
      <c r="F155" s="14" t="s">
        <v>11</v>
      </c>
      <c r="G155" s="13">
        <v>2</v>
      </c>
      <c r="H155" s="14">
        <f t="shared" ref="H155" si="59">G155+I155</f>
        <v>2</v>
      </c>
      <c r="J155" s="14">
        <v>2</v>
      </c>
      <c r="K155" s="13" t="s">
        <v>5655</v>
      </c>
      <c r="Q155" s="14"/>
    </row>
    <row r="156" spans="1:17" x14ac:dyDescent="0.25">
      <c r="A156" s="11" t="s">
        <v>5448</v>
      </c>
      <c r="B156" s="13" t="s">
        <v>82</v>
      </c>
      <c r="C156" s="61" t="s">
        <v>5509</v>
      </c>
      <c r="D156" s="13" t="s">
        <v>5510</v>
      </c>
      <c r="E156" s="14" t="s">
        <v>82</v>
      </c>
      <c r="F156" s="14" t="s">
        <v>11</v>
      </c>
      <c r="G156" s="13">
        <v>2</v>
      </c>
      <c r="H156" s="14">
        <f t="shared" ref="H156" si="60">G156+I156</f>
        <v>2</v>
      </c>
      <c r="J156" s="14">
        <v>2</v>
      </c>
      <c r="K156" s="13" t="s">
        <v>5661</v>
      </c>
      <c r="Q156" s="14"/>
    </row>
    <row r="157" spans="1:17" x14ac:dyDescent="0.25">
      <c r="A157" s="11" t="s">
        <v>5448</v>
      </c>
      <c r="B157" s="13" t="s">
        <v>82</v>
      </c>
      <c r="C157" s="61" t="s">
        <v>5660</v>
      </c>
      <c r="E157" s="14" t="s">
        <v>82</v>
      </c>
      <c r="F157" s="14" t="s">
        <v>11</v>
      </c>
      <c r="G157" s="13">
        <v>1</v>
      </c>
      <c r="H157" s="14">
        <f t="shared" ref="H157" si="61">G157+I157</f>
        <v>1</v>
      </c>
      <c r="J157" s="14">
        <v>1</v>
      </c>
      <c r="K157" s="13" t="s">
        <v>264</v>
      </c>
      <c r="Q157" s="14"/>
    </row>
    <row r="158" spans="1:17" x14ac:dyDescent="0.25">
      <c r="A158" s="11" t="s">
        <v>5448</v>
      </c>
      <c r="B158" s="13" t="s">
        <v>82</v>
      </c>
      <c r="C158" s="61" t="s">
        <v>5659</v>
      </c>
      <c r="E158" s="14" t="s">
        <v>82</v>
      </c>
      <c r="F158" s="14" t="s">
        <v>11</v>
      </c>
      <c r="G158" s="13">
        <v>1</v>
      </c>
      <c r="H158" s="14">
        <f t="shared" si="33"/>
        <v>1</v>
      </c>
      <c r="J158" s="14">
        <v>1</v>
      </c>
      <c r="K158" s="13" t="s">
        <v>264</v>
      </c>
      <c r="Q158" s="14"/>
    </row>
    <row r="159" spans="1:17" x14ac:dyDescent="0.25">
      <c r="A159" s="11" t="s">
        <v>5448</v>
      </c>
      <c r="B159" s="13" t="s">
        <v>82</v>
      </c>
      <c r="C159" s="61" t="s">
        <v>5690</v>
      </c>
      <c r="E159" s="14" t="s">
        <v>82</v>
      </c>
      <c r="F159" s="14" t="s">
        <v>11</v>
      </c>
      <c r="G159" s="13">
        <v>1</v>
      </c>
      <c r="H159" s="14">
        <f t="shared" ref="H159" si="62">G159+I159</f>
        <v>1</v>
      </c>
      <c r="J159" s="14">
        <v>1</v>
      </c>
      <c r="K159" s="13" t="s">
        <v>279</v>
      </c>
      <c r="Q159" s="14"/>
    </row>
    <row r="160" spans="1:17" x14ac:dyDescent="0.25">
      <c r="A160" s="11" t="s">
        <v>5448</v>
      </c>
      <c r="B160" s="13" t="s">
        <v>22</v>
      </c>
      <c r="D160" s="13" t="s">
        <v>1940</v>
      </c>
      <c r="E160" s="14" t="s">
        <v>22</v>
      </c>
      <c r="F160" s="14" t="s">
        <v>11</v>
      </c>
      <c r="G160" s="13">
        <v>3</v>
      </c>
      <c r="H160" s="14">
        <f t="shared" si="33"/>
        <v>3</v>
      </c>
      <c r="J160" s="14">
        <v>3</v>
      </c>
      <c r="K160" s="13" t="s">
        <v>5574</v>
      </c>
      <c r="Q160" s="14"/>
    </row>
    <row r="161" spans="1:17" x14ac:dyDescent="0.25">
      <c r="A161" s="11" t="s">
        <v>5448</v>
      </c>
      <c r="B161" s="13" t="s">
        <v>609</v>
      </c>
      <c r="C161" s="61" t="s">
        <v>5584</v>
      </c>
      <c r="F161" s="14" t="s">
        <v>11</v>
      </c>
      <c r="G161" s="13">
        <v>1</v>
      </c>
      <c r="H161" s="14">
        <f t="shared" ref="H161" si="63">G161+I161</f>
        <v>1</v>
      </c>
      <c r="J161" s="14">
        <v>1</v>
      </c>
      <c r="K161" s="13" t="s">
        <v>1092</v>
      </c>
      <c r="Q161" s="14"/>
    </row>
    <row r="162" spans="1:17" x14ac:dyDescent="0.25">
      <c r="A162" s="11" t="s">
        <v>5448</v>
      </c>
      <c r="B162" s="13" t="s">
        <v>609</v>
      </c>
      <c r="C162" s="61" t="s">
        <v>5563</v>
      </c>
      <c r="F162" s="14" t="s">
        <v>11</v>
      </c>
      <c r="G162" s="13">
        <v>1</v>
      </c>
      <c r="H162" s="14">
        <f t="shared" ref="H162" si="64">G162+I162</f>
        <v>1</v>
      </c>
      <c r="J162" s="14">
        <v>1</v>
      </c>
      <c r="K162" s="13" t="s">
        <v>87</v>
      </c>
      <c r="Q162" s="14"/>
    </row>
    <row r="163" spans="1:17" x14ac:dyDescent="0.25">
      <c r="A163" s="11" t="s">
        <v>5448</v>
      </c>
      <c r="B163" s="13" t="s">
        <v>609</v>
      </c>
      <c r="C163" s="61" t="s">
        <v>5564</v>
      </c>
      <c r="D163" s="13" t="s">
        <v>281</v>
      </c>
      <c r="F163" s="14" t="s">
        <v>11</v>
      </c>
      <c r="G163" s="13">
        <v>2</v>
      </c>
      <c r="H163" s="14">
        <f t="shared" ref="H163" si="65">G163+I163</f>
        <v>2</v>
      </c>
      <c r="J163" s="14">
        <v>2</v>
      </c>
      <c r="K163" s="13" t="s">
        <v>5585</v>
      </c>
      <c r="Q163" s="14"/>
    </row>
    <row r="164" spans="1:17" x14ac:dyDescent="0.25">
      <c r="A164" s="11" t="s">
        <v>5448</v>
      </c>
      <c r="B164" s="13" t="s">
        <v>699</v>
      </c>
      <c r="C164" s="61" t="s">
        <v>5529</v>
      </c>
      <c r="D164" s="13" t="s">
        <v>5508</v>
      </c>
      <c r="F164" s="14" t="s">
        <v>11</v>
      </c>
      <c r="G164" s="13">
        <v>1</v>
      </c>
      <c r="H164" s="14">
        <f t="shared" ref="H164" si="66">G164+I164</f>
        <v>1</v>
      </c>
      <c r="J164" s="14">
        <v>1</v>
      </c>
      <c r="K164" s="13" t="s">
        <v>947</v>
      </c>
      <c r="Q164" s="14"/>
    </row>
    <row r="165" spans="1:17" x14ac:dyDescent="0.25">
      <c r="A165" s="11" t="s">
        <v>5448</v>
      </c>
      <c r="B165" s="13" t="s">
        <v>93</v>
      </c>
      <c r="C165" s="61" t="s">
        <v>103</v>
      </c>
      <c r="D165" s="13" t="s">
        <v>3230</v>
      </c>
      <c r="E165" s="14" t="s">
        <v>103</v>
      </c>
      <c r="F165" s="14" t="s">
        <v>11</v>
      </c>
      <c r="G165" s="13">
        <v>1</v>
      </c>
      <c r="H165" s="14">
        <f t="shared" si="33"/>
        <v>1</v>
      </c>
      <c r="J165" s="14">
        <v>1</v>
      </c>
      <c r="K165" s="13" t="s">
        <v>1092</v>
      </c>
      <c r="Q165" s="14"/>
    </row>
    <row r="166" spans="1:17" x14ac:dyDescent="0.25">
      <c r="A166" s="11" t="s">
        <v>5448</v>
      </c>
      <c r="B166" s="13" t="s">
        <v>93</v>
      </c>
      <c r="D166" s="13" t="s">
        <v>1940</v>
      </c>
      <c r="F166" s="14" t="s">
        <v>11</v>
      </c>
      <c r="G166" s="13">
        <v>6</v>
      </c>
      <c r="H166" s="14">
        <f t="shared" si="33"/>
        <v>6</v>
      </c>
      <c r="J166" s="14">
        <v>6</v>
      </c>
      <c r="K166" s="13" t="s">
        <v>5629</v>
      </c>
      <c r="Q166" s="14"/>
    </row>
    <row r="167" spans="1:17" x14ac:dyDescent="0.25">
      <c r="A167" s="11" t="s">
        <v>5448</v>
      </c>
      <c r="B167" s="13" t="s">
        <v>93</v>
      </c>
      <c r="C167" s="61" t="s">
        <v>160</v>
      </c>
      <c r="E167" s="14" t="s">
        <v>93</v>
      </c>
      <c r="F167" s="14" t="s">
        <v>11</v>
      </c>
      <c r="G167" s="13">
        <v>1</v>
      </c>
      <c r="H167" s="14">
        <f t="shared" si="33"/>
        <v>1</v>
      </c>
      <c r="J167" s="14">
        <v>1</v>
      </c>
      <c r="K167" s="13" t="s">
        <v>87</v>
      </c>
      <c r="Q167" s="14"/>
    </row>
    <row r="168" spans="1:17" x14ac:dyDescent="0.25">
      <c r="A168" s="11" t="s">
        <v>5448</v>
      </c>
      <c r="B168" s="13" t="s">
        <v>1879</v>
      </c>
      <c r="C168" s="61" t="s">
        <v>5631</v>
      </c>
      <c r="F168" s="14" t="s">
        <v>11</v>
      </c>
      <c r="G168" s="13">
        <v>1</v>
      </c>
      <c r="H168" s="14">
        <f t="shared" ref="H168" si="67">G168+I168</f>
        <v>1</v>
      </c>
      <c r="J168" s="14">
        <v>1</v>
      </c>
      <c r="K168" s="13" t="s">
        <v>243</v>
      </c>
      <c r="Q168" s="14"/>
    </row>
    <row r="169" spans="1:17" x14ac:dyDescent="0.25">
      <c r="A169" s="11" t="s">
        <v>5448</v>
      </c>
      <c r="B169" s="13" t="s">
        <v>1879</v>
      </c>
      <c r="C169" s="61" t="s">
        <v>5670</v>
      </c>
      <c r="F169" s="14" t="s">
        <v>11</v>
      </c>
      <c r="G169" s="13">
        <v>2</v>
      </c>
      <c r="H169" s="14">
        <f t="shared" ref="H169" si="68">G169+I169</f>
        <v>2</v>
      </c>
      <c r="J169" s="14">
        <v>1</v>
      </c>
      <c r="K169" s="13" t="s">
        <v>264</v>
      </c>
      <c r="Q169" s="14"/>
    </row>
    <row r="170" spans="1:17" x14ac:dyDescent="0.25">
      <c r="A170" s="11" t="s">
        <v>5448</v>
      </c>
      <c r="B170" s="13" t="s">
        <v>24</v>
      </c>
      <c r="C170" s="61" t="s">
        <v>5484</v>
      </c>
      <c r="D170" s="13" t="s">
        <v>5485</v>
      </c>
      <c r="E170" s="14" t="s">
        <v>3763</v>
      </c>
      <c r="F170" s="14" t="s">
        <v>11</v>
      </c>
      <c r="G170" s="13">
        <v>1</v>
      </c>
      <c r="H170" s="14">
        <f t="shared" ref="H170" si="69">G170+I170</f>
        <v>1</v>
      </c>
      <c r="J170" s="14">
        <v>1</v>
      </c>
      <c r="K170" s="13" t="s">
        <v>284</v>
      </c>
      <c r="Q170" s="14"/>
    </row>
    <row r="171" spans="1:17" x14ac:dyDescent="0.25">
      <c r="A171" s="11" t="s">
        <v>5448</v>
      </c>
      <c r="B171" s="13" t="s">
        <v>24</v>
      </c>
      <c r="C171" s="61" t="s">
        <v>24</v>
      </c>
      <c r="D171" s="13" t="s">
        <v>1940</v>
      </c>
      <c r="F171" s="14" t="s">
        <v>11</v>
      </c>
      <c r="G171" s="13">
        <v>2</v>
      </c>
      <c r="H171" s="14">
        <f t="shared" si="33"/>
        <v>2</v>
      </c>
      <c r="J171" s="14">
        <v>1</v>
      </c>
      <c r="K171" s="13" t="s">
        <v>1800</v>
      </c>
      <c r="Q171" s="14"/>
    </row>
    <row r="172" spans="1:17" x14ac:dyDescent="0.25">
      <c r="A172" s="11" t="s">
        <v>5448</v>
      </c>
      <c r="B172" s="13" t="s">
        <v>24</v>
      </c>
      <c r="C172" s="61" t="s">
        <v>848</v>
      </c>
      <c r="E172" s="14" t="s">
        <v>21</v>
      </c>
      <c r="F172" s="14" t="s">
        <v>11</v>
      </c>
      <c r="G172" s="13">
        <v>17</v>
      </c>
      <c r="H172" s="14">
        <f>G172+I172</f>
        <v>17</v>
      </c>
      <c r="J172" s="14">
        <v>10</v>
      </c>
      <c r="K172" s="13" t="s">
        <v>5721</v>
      </c>
      <c r="Q172" s="14"/>
    </row>
    <row r="173" spans="1:17" x14ac:dyDescent="0.25">
      <c r="A173" s="11" t="s">
        <v>5448</v>
      </c>
      <c r="B173" s="13" t="s">
        <v>5750</v>
      </c>
      <c r="C173" s="61" t="s">
        <v>601</v>
      </c>
      <c r="F173" s="14" t="s">
        <v>11</v>
      </c>
      <c r="G173" s="13">
        <v>1</v>
      </c>
      <c r="H173" s="14">
        <f>G173+I173</f>
        <v>1</v>
      </c>
      <c r="J173" s="14">
        <v>1</v>
      </c>
      <c r="K173" s="13" t="s">
        <v>79</v>
      </c>
      <c r="Q173" s="14"/>
    </row>
    <row r="174" spans="1:17" x14ac:dyDescent="0.25">
      <c r="A174" s="11" t="s">
        <v>5448</v>
      </c>
      <c r="B174" s="13" t="s">
        <v>5663</v>
      </c>
      <c r="C174" s="61" t="s">
        <v>5664</v>
      </c>
      <c r="E174" s="62" t="s">
        <v>2673</v>
      </c>
      <c r="F174" s="14" t="s">
        <v>11</v>
      </c>
      <c r="G174" s="13">
        <v>2</v>
      </c>
      <c r="H174" s="14">
        <f t="shared" ref="H174" si="70">G174+I174</f>
        <v>2</v>
      </c>
      <c r="J174" s="14">
        <v>2</v>
      </c>
      <c r="K174" s="13" t="s">
        <v>690</v>
      </c>
      <c r="Q174" s="14"/>
    </row>
    <row r="175" spans="1:17" x14ac:dyDescent="0.25">
      <c r="A175" s="11" t="s">
        <v>5448</v>
      </c>
      <c r="B175" s="13" t="s">
        <v>416</v>
      </c>
      <c r="C175" s="61" t="s">
        <v>416</v>
      </c>
      <c r="D175" s="13" t="s">
        <v>1940</v>
      </c>
      <c r="F175" s="14" t="s">
        <v>11</v>
      </c>
      <c r="G175" s="13">
        <v>7</v>
      </c>
      <c r="H175" s="14">
        <f t="shared" si="33"/>
        <v>7</v>
      </c>
      <c r="J175" s="14">
        <v>7</v>
      </c>
      <c r="K175" s="13" t="s">
        <v>5615</v>
      </c>
      <c r="Q175" s="14"/>
    </row>
    <row r="176" spans="1:17" x14ac:dyDescent="0.25">
      <c r="A176" s="11" t="s">
        <v>5448</v>
      </c>
      <c r="B176" s="13" t="s">
        <v>139</v>
      </c>
      <c r="D176" s="13" t="s">
        <v>1940</v>
      </c>
      <c r="F176" s="14" t="s">
        <v>11</v>
      </c>
      <c r="G176" s="13">
        <v>7</v>
      </c>
      <c r="H176" s="14">
        <f t="shared" si="33"/>
        <v>7</v>
      </c>
      <c r="J176" s="14">
        <v>5</v>
      </c>
      <c r="K176" s="13" t="s">
        <v>5682</v>
      </c>
      <c r="Q176" s="14"/>
    </row>
    <row r="177" spans="1:17" x14ac:dyDescent="0.25">
      <c r="A177" s="11" t="s">
        <v>5448</v>
      </c>
      <c r="B177" s="13" t="s">
        <v>139</v>
      </c>
      <c r="C177" s="61" t="s">
        <v>3134</v>
      </c>
      <c r="F177" s="14" t="s">
        <v>11</v>
      </c>
      <c r="G177" s="13">
        <v>1</v>
      </c>
      <c r="H177" s="14">
        <f t="shared" si="33"/>
        <v>1</v>
      </c>
      <c r="J177" s="14">
        <v>1</v>
      </c>
      <c r="K177" s="13" t="s">
        <v>240</v>
      </c>
      <c r="Q177" s="14"/>
    </row>
    <row r="178" spans="1:17" x14ac:dyDescent="0.25">
      <c r="A178" s="11" t="s">
        <v>5448</v>
      </c>
      <c r="B178" s="13" t="s">
        <v>139</v>
      </c>
      <c r="C178" s="61" t="s">
        <v>2661</v>
      </c>
      <c r="E178" s="14" t="s">
        <v>2662</v>
      </c>
      <c r="F178" s="14" t="s">
        <v>11</v>
      </c>
      <c r="G178" s="13">
        <v>1</v>
      </c>
      <c r="H178" s="14">
        <f t="shared" si="33"/>
        <v>1</v>
      </c>
      <c r="J178" s="14">
        <v>1</v>
      </c>
      <c r="K178" s="13" t="s">
        <v>947</v>
      </c>
      <c r="Q178" s="14"/>
    </row>
    <row r="179" spans="1:17" x14ac:dyDescent="0.25">
      <c r="A179" s="11" t="s">
        <v>5448</v>
      </c>
      <c r="B179" s="13" t="s">
        <v>139</v>
      </c>
      <c r="C179" s="61" t="s">
        <v>1924</v>
      </c>
      <c r="F179" s="14" t="s">
        <v>11</v>
      </c>
      <c r="G179" s="13">
        <v>1</v>
      </c>
      <c r="H179" s="14">
        <f>G179+I179</f>
        <v>1</v>
      </c>
      <c r="J179" s="14">
        <v>1</v>
      </c>
      <c r="K179" s="13" t="s">
        <v>240</v>
      </c>
      <c r="Q179" s="14"/>
    </row>
    <row r="180" spans="1:17" x14ac:dyDescent="0.25">
      <c r="A180" s="11" t="s">
        <v>5448</v>
      </c>
      <c r="B180" s="13" t="s">
        <v>1844</v>
      </c>
      <c r="C180" s="61" t="s">
        <v>630</v>
      </c>
      <c r="E180" s="13"/>
      <c r="F180" s="14" t="s">
        <v>11</v>
      </c>
      <c r="G180" s="13">
        <v>1</v>
      </c>
      <c r="H180" s="14">
        <f t="shared" si="33"/>
        <v>1</v>
      </c>
      <c r="J180" s="14">
        <v>1</v>
      </c>
      <c r="K180" s="13" t="s">
        <v>947</v>
      </c>
      <c r="Q180" s="14"/>
    </row>
    <row r="181" spans="1:17" x14ac:dyDescent="0.25">
      <c r="A181" s="11" t="s">
        <v>5448</v>
      </c>
      <c r="B181" s="13" t="s">
        <v>1844</v>
      </c>
      <c r="C181" s="61" t="s">
        <v>630</v>
      </c>
      <c r="D181" s="13" t="s">
        <v>5586</v>
      </c>
      <c r="E181" s="13"/>
      <c r="F181" s="14" t="s">
        <v>11</v>
      </c>
      <c r="G181" s="13">
        <v>1</v>
      </c>
      <c r="H181" s="14">
        <f t="shared" ref="H181" si="71">G181+I181</f>
        <v>1</v>
      </c>
      <c r="J181" s="14">
        <v>1</v>
      </c>
      <c r="K181" s="13" t="s">
        <v>684</v>
      </c>
      <c r="Q181" s="14"/>
    </row>
    <row r="182" spans="1:17" x14ac:dyDescent="0.25">
      <c r="A182" s="11" t="s">
        <v>5448</v>
      </c>
      <c r="B182" s="13" t="s">
        <v>269</v>
      </c>
      <c r="C182" s="61" t="s">
        <v>5636</v>
      </c>
      <c r="F182" s="14" t="s">
        <v>11</v>
      </c>
      <c r="G182" s="13">
        <v>2</v>
      </c>
      <c r="H182" s="14">
        <f t="shared" ref="H182" si="72">G182+I182</f>
        <v>2</v>
      </c>
      <c r="J182" s="14">
        <v>2</v>
      </c>
      <c r="K182" s="13" t="s">
        <v>5276</v>
      </c>
      <c r="Q182" s="14"/>
    </row>
    <row r="183" spans="1:17" x14ac:dyDescent="0.25">
      <c r="A183" s="11" t="s">
        <v>5448</v>
      </c>
      <c r="B183" s="13" t="s">
        <v>269</v>
      </c>
      <c r="C183" s="61" t="s">
        <v>5634</v>
      </c>
      <c r="E183" s="14" t="s">
        <v>5665</v>
      </c>
      <c r="F183" s="14" t="s">
        <v>11</v>
      </c>
      <c r="G183" s="13">
        <v>4</v>
      </c>
      <c r="H183" s="14">
        <f t="shared" ref="H183" si="73">G183+I183</f>
        <v>4</v>
      </c>
      <c r="J183" s="14">
        <v>3</v>
      </c>
      <c r="K183" s="13" t="s">
        <v>5678</v>
      </c>
      <c r="Q183" s="14"/>
    </row>
    <row r="184" spans="1:17" x14ac:dyDescent="0.25">
      <c r="A184" s="11" t="s">
        <v>5448</v>
      </c>
      <c r="B184" s="13" t="s">
        <v>269</v>
      </c>
      <c r="C184" s="61" t="s">
        <v>5539</v>
      </c>
      <c r="D184" s="62"/>
      <c r="E184" s="62" t="s">
        <v>630</v>
      </c>
      <c r="F184" s="14" t="s">
        <v>11</v>
      </c>
      <c r="G184" s="13">
        <v>1</v>
      </c>
      <c r="H184" s="14">
        <f t="shared" ref="H184" si="74">G184+I184</f>
        <v>1</v>
      </c>
      <c r="J184" s="14">
        <v>1</v>
      </c>
      <c r="K184" s="13" t="s">
        <v>947</v>
      </c>
      <c r="Q184" s="14"/>
    </row>
    <row r="185" spans="1:17" x14ac:dyDescent="0.25">
      <c r="A185" s="11" t="s">
        <v>5448</v>
      </c>
      <c r="B185" s="13" t="s">
        <v>269</v>
      </c>
      <c r="C185" s="61" t="s">
        <v>2454</v>
      </c>
      <c r="D185" s="62"/>
      <c r="E185" s="62" t="s">
        <v>630</v>
      </c>
      <c r="F185" s="14" t="s">
        <v>11</v>
      </c>
      <c r="G185" s="13">
        <v>2</v>
      </c>
      <c r="H185" s="14">
        <f t="shared" si="33"/>
        <v>2</v>
      </c>
      <c r="J185" s="14">
        <v>2</v>
      </c>
      <c r="K185" s="13" t="s">
        <v>5614</v>
      </c>
      <c r="Q185" s="14"/>
    </row>
    <row r="186" spans="1:17" x14ac:dyDescent="0.25">
      <c r="A186" s="11" t="s">
        <v>5448</v>
      </c>
      <c r="B186" s="13" t="s">
        <v>269</v>
      </c>
      <c r="C186" s="61" t="s">
        <v>5538</v>
      </c>
      <c r="D186" s="62"/>
      <c r="E186" s="62" t="s">
        <v>5415</v>
      </c>
      <c r="F186" s="14" t="s">
        <v>11</v>
      </c>
      <c r="G186" s="13">
        <v>1</v>
      </c>
      <c r="H186" s="14">
        <f t="shared" ref="H186" si="75">G186+I186</f>
        <v>1</v>
      </c>
      <c r="J186" s="14">
        <v>1</v>
      </c>
      <c r="K186" s="13" t="s">
        <v>947</v>
      </c>
      <c r="Q186" s="14"/>
    </row>
    <row r="187" spans="1:17" x14ac:dyDescent="0.25">
      <c r="A187" s="11" t="s">
        <v>5448</v>
      </c>
      <c r="B187" s="13" t="s">
        <v>2079</v>
      </c>
      <c r="C187" s="61" t="s">
        <v>5562</v>
      </c>
      <c r="F187" s="14" t="s">
        <v>11</v>
      </c>
      <c r="G187" s="13">
        <v>1</v>
      </c>
      <c r="H187" s="14">
        <f t="shared" ref="H187" si="76">G187+I187</f>
        <v>1</v>
      </c>
      <c r="J187" s="14">
        <v>1</v>
      </c>
      <c r="K187" s="13" t="s">
        <v>279</v>
      </c>
      <c r="Q187" s="14"/>
    </row>
    <row r="188" spans="1:17" x14ac:dyDescent="0.25">
      <c r="A188" s="11" t="s">
        <v>5448</v>
      </c>
      <c r="B188" s="13" t="s">
        <v>272</v>
      </c>
      <c r="D188" s="13" t="s">
        <v>1940</v>
      </c>
      <c r="F188" s="14" t="s">
        <v>11</v>
      </c>
      <c r="G188" s="13">
        <v>8</v>
      </c>
      <c r="H188" s="14">
        <f t="shared" si="33"/>
        <v>8</v>
      </c>
      <c r="J188" s="14">
        <v>7</v>
      </c>
      <c r="K188" s="13" t="s">
        <v>5677</v>
      </c>
      <c r="Q188" s="14"/>
    </row>
    <row r="189" spans="1:17" x14ac:dyDescent="0.25">
      <c r="A189" s="11" t="s">
        <v>5448</v>
      </c>
      <c r="B189" s="13" t="s">
        <v>2365</v>
      </c>
      <c r="C189" s="61" t="s">
        <v>1181</v>
      </c>
      <c r="F189" s="14" t="s">
        <v>11</v>
      </c>
      <c r="G189" s="13">
        <v>1</v>
      </c>
      <c r="H189" s="14">
        <f t="shared" ref="H189:H190" si="77">G189+I189</f>
        <v>1</v>
      </c>
      <c r="J189" s="14">
        <v>1</v>
      </c>
      <c r="K189" s="13" t="s">
        <v>224</v>
      </c>
      <c r="Q189" s="14"/>
    </row>
    <row r="190" spans="1:17" x14ac:dyDescent="0.25">
      <c r="A190" s="11" t="s">
        <v>5448</v>
      </c>
      <c r="B190" s="13" t="s">
        <v>327</v>
      </c>
      <c r="C190" s="61" t="s">
        <v>2040</v>
      </c>
      <c r="F190" s="14" t="s">
        <v>11</v>
      </c>
      <c r="G190" s="13">
        <v>1</v>
      </c>
      <c r="H190" s="14">
        <f t="shared" si="77"/>
        <v>1</v>
      </c>
      <c r="J190" s="14">
        <v>1</v>
      </c>
      <c r="K190" s="13" t="s">
        <v>4895</v>
      </c>
      <c r="Q190" s="14"/>
    </row>
    <row r="191" spans="1:17" x14ac:dyDescent="0.25">
      <c r="A191" s="11" t="s">
        <v>5448</v>
      </c>
      <c r="B191" s="13" t="s">
        <v>5751</v>
      </c>
      <c r="C191" s="61" t="s">
        <v>1624</v>
      </c>
      <c r="E191" s="14" t="s">
        <v>5541</v>
      </c>
      <c r="F191" s="14" t="s">
        <v>11</v>
      </c>
      <c r="G191" s="13">
        <v>7</v>
      </c>
      <c r="H191" s="14">
        <f t="shared" si="33"/>
        <v>7</v>
      </c>
      <c r="J191" s="14">
        <v>6</v>
      </c>
      <c r="K191" s="13" t="s">
        <v>5624</v>
      </c>
      <c r="Q191" s="14"/>
    </row>
    <row r="192" spans="1:17" x14ac:dyDescent="0.25">
      <c r="A192" s="11" t="s">
        <v>5448</v>
      </c>
      <c r="B192" s="13" t="s">
        <v>5752</v>
      </c>
      <c r="C192" s="61" t="s">
        <v>1939</v>
      </c>
      <c r="E192" s="14" t="s">
        <v>416</v>
      </c>
      <c r="F192" s="14" t="s">
        <v>11</v>
      </c>
      <c r="G192" s="13">
        <v>1</v>
      </c>
      <c r="H192" s="14">
        <f t="shared" ref="H192" si="78">G192+I192</f>
        <v>1</v>
      </c>
      <c r="J192" s="14">
        <v>1</v>
      </c>
      <c r="K192" s="13" t="s">
        <v>4895</v>
      </c>
    </row>
    <row r="193" spans="1:17" x14ac:dyDescent="0.25">
      <c r="A193" s="11" t="s">
        <v>5448</v>
      </c>
      <c r="B193" s="13" t="s">
        <v>213</v>
      </c>
      <c r="C193" s="61" t="s">
        <v>1580</v>
      </c>
      <c r="E193" s="14" t="s">
        <v>5711</v>
      </c>
      <c r="F193" s="14" t="s">
        <v>11</v>
      </c>
      <c r="G193" s="13">
        <v>2</v>
      </c>
      <c r="H193" s="14">
        <f t="shared" si="33"/>
        <v>2</v>
      </c>
      <c r="J193" s="14">
        <v>2</v>
      </c>
      <c r="K193" s="13" t="s">
        <v>5710</v>
      </c>
      <c r="Q193" s="14"/>
    </row>
    <row r="194" spans="1:17" x14ac:dyDescent="0.25">
      <c r="A194" s="11" t="s">
        <v>5448</v>
      </c>
      <c r="B194" s="13" t="s">
        <v>327</v>
      </c>
      <c r="C194" s="61" t="s">
        <v>677</v>
      </c>
      <c r="D194" s="13" t="s">
        <v>1940</v>
      </c>
      <c r="F194" s="14" t="s">
        <v>11</v>
      </c>
      <c r="G194" s="13">
        <v>1</v>
      </c>
      <c r="H194" s="14">
        <f>G194+I194</f>
        <v>1</v>
      </c>
      <c r="J194" s="14">
        <v>1</v>
      </c>
      <c r="K194" s="13" t="s">
        <v>947</v>
      </c>
    </row>
    <row r="195" spans="1:17" x14ac:dyDescent="0.25">
      <c r="A195" s="11" t="s">
        <v>5448</v>
      </c>
      <c r="B195" s="13" t="s">
        <v>327</v>
      </c>
      <c r="C195" s="61" t="s">
        <v>566</v>
      </c>
      <c r="F195" s="14" t="s">
        <v>11</v>
      </c>
      <c r="G195" s="13">
        <v>1</v>
      </c>
      <c r="H195" s="14">
        <f t="shared" si="33"/>
        <v>1</v>
      </c>
      <c r="J195" s="14">
        <v>1</v>
      </c>
      <c r="K195" s="13" t="s">
        <v>240</v>
      </c>
    </row>
    <row r="196" spans="1:17" x14ac:dyDescent="0.25">
      <c r="A196" s="11" t="s">
        <v>5448</v>
      </c>
      <c r="B196" s="13" t="s">
        <v>5451</v>
      </c>
      <c r="C196" s="61" t="s">
        <v>1422</v>
      </c>
      <c r="E196" s="14" t="s">
        <v>1422</v>
      </c>
      <c r="F196" s="14" t="s">
        <v>11</v>
      </c>
      <c r="G196" s="13">
        <v>3</v>
      </c>
      <c r="H196" s="14">
        <f t="shared" si="33"/>
        <v>3</v>
      </c>
      <c r="J196" s="14">
        <v>3</v>
      </c>
      <c r="K196" s="13" t="s">
        <v>5607</v>
      </c>
    </row>
    <row r="197" spans="1:17" x14ac:dyDescent="0.25">
      <c r="A197" s="11" t="s">
        <v>5448</v>
      </c>
      <c r="B197" s="13" t="s">
        <v>5451</v>
      </c>
      <c r="C197" s="61" t="s">
        <v>5478</v>
      </c>
      <c r="E197" s="14" t="s">
        <v>52</v>
      </c>
      <c r="F197" s="14" t="s">
        <v>11</v>
      </c>
      <c r="G197" s="13">
        <v>2</v>
      </c>
      <c r="H197" s="14">
        <f t="shared" si="33"/>
        <v>2</v>
      </c>
      <c r="J197" s="14">
        <v>2</v>
      </c>
      <c r="K197" s="13" t="s">
        <v>5537</v>
      </c>
    </row>
    <row r="198" spans="1:17" x14ac:dyDescent="0.25">
      <c r="A198" s="11" t="s">
        <v>5448</v>
      </c>
      <c r="B198" s="13" t="s">
        <v>282</v>
      </c>
      <c r="C198" s="61" t="s">
        <v>48</v>
      </c>
      <c r="D198" s="62"/>
      <c r="E198" s="62" t="s">
        <v>48</v>
      </c>
      <c r="F198" s="14" t="s">
        <v>11</v>
      </c>
      <c r="G198" s="13">
        <v>18</v>
      </c>
      <c r="H198" s="14">
        <f t="shared" si="33"/>
        <v>18</v>
      </c>
      <c r="J198" s="14">
        <v>12</v>
      </c>
      <c r="K198" s="13" t="s">
        <v>5740</v>
      </c>
    </row>
    <row r="199" spans="1:17" x14ac:dyDescent="0.25">
      <c r="A199" s="11" t="s">
        <v>5448</v>
      </c>
      <c r="B199" s="13" t="s">
        <v>191</v>
      </c>
      <c r="C199" s="61" t="s">
        <v>5601</v>
      </c>
      <c r="E199" s="62" t="s">
        <v>5502</v>
      </c>
      <c r="F199" s="14" t="s">
        <v>11</v>
      </c>
      <c r="G199" s="13">
        <v>1</v>
      </c>
      <c r="H199" s="14">
        <f t="shared" ref="H199" si="79">G199+I199</f>
        <v>1</v>
      </c>
      <c r="J199" s="14">
        <v>1</v>
      </c>
      <c r="K199" s="13" t="s">
        <v>2343</v>
      </c>
    </row>
    <row r="200" spans="1:17" s="25" customFormat="1" ht="30" customHeight="1" x14ac:dyDescent="0.25">
      <c r="A200" s="11" t="s">
        <v>5448</v>
      </c>
      <c r="B200" s="26"/>
      <c r="C200" s="80" t="s">
        <v>11</v>
      </c>
      <c r="D200" s="26"/>
      <c r="F200" s="25" t="s">
        <v>11</v>
      </c>
      <c r="G200" s="26">
        <v>7</v>
      </c>
      <c r="H200" s="25">
        <f t="shared" si="33"/>
        <v>7</v>
      </c>
      <c r="J200" s="25">
        <v>4</v>
      </c>
      <c r="K200" s="26" t="s">
        <v>5575</v>
      </c>
      <c r="Q200" s="26"/>
    </row>
    <row r="201" spans="1:17" x14ac:dyDescent="0.25">
      <c r="A201" s="11" t="s">
        <v>5448</v>
      </c>
      <c r="C201" s="61" t="s">
        <v>5365</v>
      </c>
      <c r="E201" s="14" t="s">
        <v>851</v>
      </c>
      <c r="F201" s="14" t="s">
        <v>11</v>
      </c>
      <c r="G201" s="13">
        <v>1</v>
      </c>
      <c r="H201" s="14">
        <f t="shared" si="33"/>
        <v>1</v>
      </c>
      <c r="J201" s="14">
        <v>1</v>
      </c>
      <c r="K201" s="13" t="s">
        <v>1790</v>
      </c>
    </row>
    <row r="202" spans="1:17" x14ac:dyDescent="0.25">
      <c r="A202" s="11" t="s">
        <v>5448</v>
      </c>
      <c r="C202" s="61" t="s">
        <v>5503</v>
      </c>
      <c r="E202" s="14" t="s">
        <v>852</v>
      </c>
      <c r="F202" s="14" t="s">
        <v>11</v>
      </c>
      <c r="G202" s="13">
        <v>1</v>
      </c>
      <c r="H202" s="14">
        <f t="shared" si="33"/>
        <v>1</v>
      </c>
      <c r="J202" s="14">
        <v>1</v>
      </c>
      <c r="K202" s="13" t="s">
        <v>2343</v>
      </c>
    </row>
    <row r="203" spans="1:17" x14ac:dyDescent="0.25">
      <c r="A203" s="11" t="s">
        <v>5448</v>
      </c>
      <c r="C203" s="61" t="s">
        <v>296</v>
      </c>
      <c r="E203" s="14" t="s">
        <v>5554</v>
      </c>
      <c r="F203" s="14" t="s">
        <v>11</v>
      </c>
      <c r="G203" s="13">
        <v>3</v>
      </c>
      <c r="H203" s="14">
        <f t="shared" si="33"/>
        <v>3</v>
      </c>
      <c r="J203" s="14">
        <v>3</v>
      </c>
      <c r="K203" s="13" t="s">
        <v>5576</v>
      </c>
    </row>
    <row r="204" spans="1:17" x14ac:dyDescent="0.25">
      <c r="A204" s="11" t="s">
        <v>5448</v>
      </c>
      <c r="C204" s="61" t="s">
        <v>259</v>
      </c>
      <c r="F204" s="14" t="s">
        <v>11</v>
      </c>
      <c r="G204" s="13">
        <v>2</v>
      </c>
      <c r="H204" s="14">
        <f t="shared" si="33"/>
        <v>2</v>
      </c>
      <c r="J204" s="14">
        <v>2</v>
      </c>
      <c r="K204" s="13" t="s">
        <v>5477</v>
      </c>
    </row>
    <row r="205" spans="1:17" x14ac:dyDescent="0.25">
      <c r="A205" s="11" t="s">
        <v>5448</v>
      </c>
      <c r="C205" s="61" t="s">
        <v>1281</v>
      </c>
      <c r="F205" s="14" t="s">
        <v>11</v>
      </c>
      <c r="G205" s="13">
        <v>4</v>
      </c>
      <c r="H205" s="14">
        <f t="shared" si="33"/>
        <v>4</v>
      </c>
      <c r="J205" s="14">
        <v>3</v>
      </c>
      <c r="K205" s="13" t="s">
        <v>5625</v>
      </c>
    </row>
    <row r="206" spans="1:17" x14ac:dyDescent="0.25">
      <c r="A206" s="11" t="s">
        <v>5448</v>
      </c>
      <c r="C206" s="61" t="s">
        <v>5504</v>
      </c>
      <c r="F206" s="14" t="s">
        <v>11</v>
      </c>
      <c r="G206" s="13">
        <v>3</v>
      </c>
      <c r="H206" s="14">
        <f t="shared" ref="H206" si="80">G206+I206</f>
        <v>3</v>
      </c>
      <c r="J206" s="14">
        <v>2</v>
      </c>
      <c r="K206" s="13" t="s">
        <v>5569</v>
      </c>
    </row>
    <row r="207" spans="1:17" x14ac:dyDescent="0.25">
      <c r="A207" s="11" t="s">
        <v>5448</v>
      </c>
      <c r="B207" s="13" t="s">
        <v>22</v>
      </c>
      <c r="C207" s="61" t="s">
        <v>512</v>
      </c>
      <c r="D207" s="13" t="s">
        <v>5508</v>
      </c>
      <c r="F207" s="14" t="s">
        <v>11</v>
      </c>
      <c r="G207" s="13">
        <v>3</v>
      </c>
      <c r="H207" s="14">
        <f t="shared" si="33"/>
        <v>3</v>
      </c>
      <c r="J207" s="14">
        <v>3</v>
      </c>
      <c r="K207" s="13" t="s">
        <v>5561</v>
      </c>
    </row>
    <row r="208" spans="1:17" x14ac:dyDescent="0.25">
      <c r="A208" s="11" t="s">
        <v>5448</v>
      </c>
      <c r="B208" s="13" t="s">
        <v>22</v>
      </c>
      <c r="C208" s="61" t="s">
        <v>5514</v>
      </c>
      <c r="D208" s="13" t="s">
        <v>5508</v>
      </c>
      <c r="F208" s="14" t="s">
        <v>11</v>
      </c>
      <c r="G208" s="13">
        <v>1</v>
      </c>
      <c r="H208" s="14">
        <f t="shared" ref="H208" si="81">G208+I208</f>
        <v>1</v>
      </c>
      <c r="J208" s="14">
        <v>1</v>
      </c>
      <c r="K208" s="13" t="s">
        <v>2343</v>
      </c>
    </row>
    <row r="209" spans="1:17" x14ac:dyDescent="0.25">
      <c r="A209" s="11" t="s">
        <v>5448</v>
      </c>
      <c r="B209" s="13" t="s">
        <v>297</v>
      </c>
      <c r="C209" s="61" t="s">
        <v>918</v>
      </c>
      <c r="F209" s="14" t="s">
        <v>11</v>
      </c>
      <c r="G209" s="13">
        <v>1</v>
      </c>
      <c r="H209" s="14">
        <f t="shared" si="33"/>
        <v>1</v>
      </c>
      <c r="J209" s="14">
        <v>1</v>
      </c>
      <c r="K209" s="13" t="s">
        <v>1005</v>
      </c>
    </row>
    <row r="210" spans="1:17" x14ac:dyDescent="0.25">
      <c r="A210" s="11" t="s">
        <v>5448</v>
      </c>
      <c r="C210" s="61" t="s">
        <v>895</v>
      </c>
      <c r="E210" s="14" t="s">
        <v>266</v>
      </c>
      <c r="F210" s="14" t="s">
        <v>11</v>
      </c>
      <c r="G210" s="13">
        <v>1</v>
      </c>
      <c r="H210" s="14">
        <f t="shared" ref="H210" si="82">G210+I210</f>
        <v>1</v>
      </c>
      <c r="J210" s="14">
        <v>1</v>
      </c>
      <c r="K210" s="13" t="s">
        <v>217</v>
      </c>
      <c r="Q210" s="14"/>
    </row>
    <row r="211" spans="1:17" x14ac:dyDescent="0.25">
      <c r="A211" s="11" t="s">
        <v>5448</v>
      </c>
      <c r="C211" s="61" t="s">
        <v>3395</v>
      </c>
      <c r="D211" s="13" t="s">
        <v>1940</v>
      </c>
      <c r="F211" s="14" t="s">
        <v>11</v>
      </c>
      <c r="G211" s="13">
        <v>3</v>
      </c>
      <c r="H211" s="14">
        <f>G211+I211</f>
        <v>3</v>
      </c>
      <c r="J211" s="14">
        <v>3</v>
      </c>
      <c r="K211" s="13" t="s">
        <v>5589</v>
      </c>
    </row>
    <row r="212" spans="1:17" x14ac:dyDescent="0.25">
      <c r="A212" s="11" t="s">
        <v>5448</v>
      </c>
      <c r="C212" s="61" t="s">
        <v>1783</v>
      </c>
      <c r="D212" s="13" t="s">
        <v>1940</v>
      </c>
      <c r="F212" s="14" t="s">
        <v>11</v>
      </c>
      <c r="G212" s="13">
        <v>2</v>
      </c>
      <c r="H212" s="14">
        <f>G212+I212</f>
        <v>2</v>
      </c>
      <c r="J212" s="14">
        <v>2</v>
      </c>
      <c r="K212" s="13" t="s">
        <v>5588</v>
      </c>
    </row>
    <row r="213" spans="1:17" x14ac:dyDescent="0.25">
      <c r="A213" s="11" t="s">
        <v>5448</v>
      </c>
      <c r="C213" s="61" t="s">
        <v>5524</v>
      </c>
      <c r="F213" s="14" t="s">
        <v>11</v>
      </c>
      <c r="G213" s="13">
        <v>2</v>
      </c>
      <c r="H213" s="14">
        <f>G213+I213</f>
        <v>2</v>
      </c>
      <c r="J213" s="14">
        <v>2</v>
      </c>
      <c r="K213" s="13" t="s">
        <v>5582</v>
      </c>
    </row>
    <row r="214" spans="1:17" x14ac:dyDescent="0.25">
      <c r="A214" s="11" t="s">
        <v>5448</v>
      </c>
      <c r="C214" s="61" t="s">
        <v>266</v>
      </c>
      <c r="F214" s="14" t="s">
        <v>11</v>
      </c>
      <c r="G214" s="13">
        <v>3</v>
      </c>
      <c r="H214" s="14">
        <f>G214+I214</f>
        <v>3</v>
      </c>
      <c r="J214" s="14">
        <v>3</v>
      </c>
      <c r="K214" s="13" t="s">
        <v>5549</v>
      </c>
    </row>
    <row r="215" spans="1:17" x14ac:dyDescent="0.25">
      <c r="A215" s="11" t="s">
        <v>5448</v>
      </c>
      <c r="C215" s="61" t="s">
        <v>5545</v>
      </c>
      <c r="F215" s="14" t="s">
        <v>11</v>
      </c>
      <c r="G215" s="13">
        <v>1</v>
      </c>
      <c r="H215" s="14">
        <f t="shared" ref="H215" si="83">G215+I215</f>
        <v>1</v>
      </c>
      <c r="J215" s="14">
        <v>1</v>
      </c>
      <c r="K215" s="13" t="s">
        <v>1005</v>
      </c>
      <c r="Q215" s="14"/>
    </row>
    <row r="216" spans="1:17" ht="22.5" x14ac:dyDescent="0.25">
      <c r="A216" s="11" t="s">
        <v>5448</v>
      </c>
      <c r="B216" s="13" t="s">
        <v>93</v>
      </c>
      <c r="C216" s="61" t="s">
        <v>5526</v>
      </c>
      <c r="E216" s="13" t="s">
        <v>5754</v>
      </c>
      <c r="F216" s="14" t="s">
        <v>11</v>
      </c>
      <c r="G216" s="13">
        <v>1</v>
      </c>
      <c r="H216" s="14">
        <f t="shared" ref="H216" si="84">G216+I216</f>
        <v>1</v>
      </c>
      <c r="J216" s="14">
        <v>1</v>
      </c>
      <c r="K216" s="13" t="s">
        <v>947</v>
      </c>
      <c r="Q216" s="14"/>
    </row>
    <row r="217" spans="1:17" x14ac:dyDescent="0.25">
      <c r="A217" s="11" t="s">
        <v>5448</v>
      </c>
      <c r="B217" s="13" t="s">
        <v>283</v>
      </c>
      <c r="C217" s="61" t="s">
        <v>1911</v>
      </c>
      <c r="F217" s="14" t="s">
        <v>11</v>
      </c>
      <c r="G217" s="13">
        <v>9</v>
      </c>
      <c r="H217" s="14">
        <f t="shared" si="33"/>
        <v>9</v>
      </c>
      <c r="J217" s="14">
        <v>6</v>
      </c>
      <c r="K217" s="13" t="s">
        <v>5747</v>
      </c>
      <c r="Q217" s="14"/>
    </row>
    <row r="218" spans="1:17" x14ac:dyDescent="0.25">
      <c r="A218" s="11" t="s">
        <v>5448</v>
      </c>
      <c r="B218" s="13" t="s">
        <v>283</v>
      </c>
      <c r="C218" s="61" t="s">
        <v>2107</v>
      </c>
      <c r="F218" s="14" t="s">
        <v>11</v>
      </c>
      <c r="G218" s="13">
        <v>1</v>
      </c>
      <c r="H218" s="14">
        <f t="shared" si="33"/>
        <v>1</v>
      </c>
      <c r="J218" s="14">
        <v>1</v>
      </c>
      <c r="K218" s="13" t="s">
        <v>947</v>
      </c>
      <c r="Q218" s="14"/>
    </row>
    <row r="219" spans="1:17" x14ac:dyDescent="0.25">
      <c r="A219" s="11" t="s">
        <v>5448</v>
      </c>
      <c r="B219" s="13" t="s">
        <v>261</v>
      </c>
      <c r="C219" s="61" t="s">
        <v>5525</v>
      </c>
      <c r="F219" s="14" t="s">
        <v>11</v>
      </c>
      <c r="G219" s="13">
        <v>1</v>
      </c>
      <c r="H219" s="14">
        <f>G219+I219</f>
        <v>1</v>
      </c>
      <c r="J219" s="14">
        <v>1</v>
      </c>
      <c r="K219" s="13" t="s">
        <v>947</v>
      </c>
    </row>
    <row r="220" spans="1:17" x14ac:dyDescent="0.25">
      <c r="A220" s="11" t="s">
        <v>5448</v>
      </c>
      <c r="B220" s="13" t="s">
        <v>266</v>
      </c>
      <c r="C220" s="61" t="s">
        <v>5540</v>
      </c>
      <c r="E220" s="14" t="s">
        <v>683</v>
      </c>
      <c r="F220" s="14" t="s">
        <v>11</v>
      </c>
      <c r="G220" s="13">
        <v>3</v>
      </c>
      <c r="H220" s="14">
        <f t="shared" ref="H220" si="85">G220+I220</f>
        <v>3</v>
      </c>
      <c r="J220" s="14">
        <v>2</v>
      </c>
      <c r="K220" s="13" t="s">
        <v>5614</v>
      </c>
      <c r="Q220" s="14"/>
    </row>
    <row r="221" spans="1:17" x14ac:dyDescent="0.25">
      <c r="A221" s="11" t="s">
        <v>5448</v>
      </c>
      <c r="B221" s="13" t="s">
        <v>266</v>
      </c>
      <c r="C221" s="61" t="s">
        <v>682</v>
      </c>
      <c r="D221" s="13" t="s">
        <v>1940</v>
      </c>
      <c r="E221" s="14" t="s">
        <v>683</v>
      </c>
      <c r="F221" s="14" t="s">
        <v>11</v>
      </c>
      <c r="G221" s="13">
        <v>8</v>
      </c>
      <c r="H221" s="14">
        <f t="shared" si="33"/>
        <v>8</v>
      </c>
      <c r="J221" s="14">
        <v>7</v>
      </c>
      <c r="K221" s="13" t="s">
        <v>5745</v>
      </c>
      <c r="Q221" s="14"/>
    </row>
    <row r="222" spans="1:17" x14ac:dyDescent="0.25">
      <c r="A222" s="11" t="s">
        <v>5448</v>
      </c>
      <c r="B222" s="13" t="s">
        <v>266</v>
      </c>
      <c r="C222" s="61" t="s">
        <v>3303</v>
      </c>
      <c r="E222" s="14" t="s">
        <v>683</v>
      </c>
      <c r="F222" s="14" t="s">
        <v>11</v>
      </c>
      <c r="G222" s="13">
        <v>6</v>
      </c>
      <c r="H222" s="14">
        <f t="shared" si="33"/>
        <v>6</v>
      </c>
      <c r="J222" s="14">
        <v>4</v>
      </c>
      <c r="K222" s="13" t="s">
        <v>5552</v>
      </c>
      <c r="Q222" s="14"/>
    </row>
    <row r="223" spans="1:17" x14ac:dyDescent="0.25">
      <c r="A223" s="11" t="s">
        <v>5448</v>
      </c>
      <c r="B223" s="13" t="s">
        <v>266</v>
      </c>
      <c r="C223" s="61" t="s">
        <v>3303</v>
      </c>
      <c r="D223" s="13" t="s">
        <v>5499</v>
      </c>
      <c r="F223" s="14" t="s">
        <v>11</v>
      </c>
      <c r="G223" s="13">
        <v>3</v>
      </c>
      <c r="H223" s="14">
        <f t="shared" ref="H223" si="86">G223+I223</f>
        <v>3</v>
      </c>
      <c r="J223" s="14">
        <v>3</v>
      </c>
      <c r="K223" s="13" t="s">
        <v>5746</v>
      </c>
      <c r="Q223" s="14"/>
    </row>
    <row r="224" spans="1:17" x14ac:dyDescent="0.25">
      <c r="A224" s="11" t="s">
        <v>5448</v>
      </c>
      <c r="C224" s="61" t="s">
        <v>770</v>
      </c>
      <c r="E224" s="14" t="s">
        <v>683</v>
      </c>
      <c r="F224" s="14" t="s">
        <v>874</v>
      </c>
      <c r="G224" s="13">
        <v>13</v>
      </c>
      <c r="H224" s="14">
        <f t="shared" ref="H224" si="87">G224+I224</f>
        <v>13</v>
      </c>
      <c r="J224" s="14">
        <v>10</v>
      </c>
      <c r="K224" s="13" t="s">
        <v>5748</v>
      </c>
      <c r="Q224" s="14"/>
    </row>
    <row r="225" spans="1:17" x14ac:dyDescent="0.25">
      <c r="A225" s="11" t="s">
        <v>5448</v>
      </c>
      <c r="C225" s="61" t="s">
        <v>5476</v>
      </c>
      <c r="E225" s="14" t="s">
        <v>683</v>
      </c>
      <c r="F225" s="14" t="s">
        <v>874</v>
      </c>
      <c r="G225" s="13">
        <v>1</v>
      </c>
      <c r="H225" s="14">
        <f t="shared" si="33"/>
        <v>1</v>
      </c>
      <c r="J225" s="14">
        <v>1</v>
      </c>
      <c r="K225" s="13" t="s">
        <v>2340</v>
      </c>
      <c r="Q225" s="14"/>
    </row>
    <row r="226" spans="1:17" x14ac:dyDescent="0.25">
      <c r="A226" s="11" t="s">
        <v>5448</v>
      </c>
      <c r="C226" s="61" t="s">
        <v>3341</v>
      </c>
      <c r="E226" s="14" t="s">
        <v>683</v>
      </c>
      <c r="F226" s="14" t="s">
        <v>11</v>
      </c>
      <c r="G226" s="13">
        <v>3</v>
      </c>
      <c r="H226" s="14">
        <f t="shared" si="33"/>
        <v>3</v>
      </c>
      <c r="J226" s="14">
        <v>3</v>
      </c>
      <c r="K226" s="13" t="s">
        <v>5749</v>
      </c>
      <c r="Q226" s="14"/>
    </row>
    <row r="227" spans="1:17" x14ac:dyDescent="0.25">
      <c r="A227" s="11" t="s">
        <v>5448</v>
      </c>
      <c r="C227" s="61" t="s">
        <v>1798</v>
      </c>
      <c r="F227" s="14" t="s">
        <v>874</v>
      </c>
      <c r="G227" s="13">
        <v>16</v>
      </c>
      <c r="H227" s="14">
        <f t="shared" si="33"/>
        <v>16</v>
      </c>
      <c r="J227" s="14">
        <v>11</v>
      </c>
      <c r="K227" s="13" t="s">
        <v>5744</v>
      </c>
      <c r="Q227" s="14"/>
    </row>
    <row r="228" spans="1:17" x14ac:dyDescent="0.25">
      <c r="A228" s="11" t="s">
        <v>5448</v>
      </c>
      <c r="C228" s="61" t="s">
        <v>718</v>
      </c>
      <c r="D228" s="13" t="s">
        <v>833</v>
      </c>
      <c r="F228" s="14" t="s">
        <v>11</v>
      </c>
      <c r="G228" s="13">
        <v>3</v>
      </c>
      <c r="H228" s="14">
        <f t="shared" si="33"/>
        <v>3</v>
      </c>
      <c r="J228" s="14">
        <v>3</v>
      </c>
      <c r="K228" s="13" t="s">
        <v>5654</v>
      </c>
      <c r="Q228" s="14"/>
    </row>
    <row r="229" spans="1:17" x14ac:dyDescent="0.25">
      <c r="A229" s="11" t="s">
        <v>5448</v>
      </c>
      <c r="C229" s="61" t="s">
        <v>742</v>
      </c>
      <c r="D229" s="13" t="s">
        <v>1940</v>
      </c>
      <c r="F229" s="14" t="s">
        <v>11</v>
      </c>
      <c r="G229" s="13">
        <v>1</v>
      </c>
      <c r="H229" s="14">
        <f>G229+I229</f>
        <v>1</v>
      </c>
      <c r="J229" s="14">
        <v>1</v>
      </c>
      <c r="K229" s="13" t="s">
        <v>4891</v>
      </c>
      <c r="Q229" s="14"/>
    </row>
    <row r="230" spans="1:17" x14ac:dyDescent="0.25">
      <c r="A230" s="11" t="s">
        <v>5448</v>
      </c>
      <c r="C230" s="61" t="s">
        <v>73</v>
      </c>
      <c r="D230" s="13" t="s">
        <v>1940</v>
      </c>
      <c r="E230" s="14" t="s">
        <v>73</v>
      </c>
      <c r="F230" s="14" t="s">
        <v>11</v>
      </c>
      <c r="G230" s="13">
        <v>7</v>
      </c>
      <c r="H230" s="14">
        <f t="shared" si="33"/>
        <v>7</v>
      </c>
      <c r="J230" s="14">
        <v>5</v>
      </c>
      <c r="K230" s="13" t="s">
        <v>5685</v>
      </c>
      <c r="Q230" s="14"/>
    </row>
    <row r="231" spans="1:17" x14ac:dyDescent="0.25">
      <c r="A231" s="11" t="s">
        <v>5448</v>
      </c>
      <c r="C231" s="61" t="s">
        <v>5635</v>
      </c>
      <c r="E231" s="14" t="s">
        <v>73</v>
      </c>
      <c r="F231" s="14" t="s">
        <v>11</v>
      </c>
      <c r="G231" s="13">
        <v>1</v>
      </c>
      <c r="H231" s="14">
        <f t="shared" ref="H231" si="88">G231+I231</f>
        <v>1</v>
      </c>
      <c r="J231" s="14">
        <v>1</v>
      </c>
      <c r="K231" s="13" t="s">
        <v>243</v>
      </c>
      <c r="Q231" s="14"/>
    </row>
    <row r="232" spans="1:17" x14ac:dyDescent="0.25">
      <c r="A232" s="11" t="s">
        <v>5448</v>
      </c>
      <c r="C232" s="61" t="s">
        <v>72</v>
      </c>
      <c r="E232" s="14" t="s">
        <v>73</v>
      </c>
      <c r="F232" s="14" t="s">
        <v>11</v>
      </c>
      <c r="G232" s="13">
        <v>2</v>
      </c>
      <c r="H232" s="14">
        <f t="shared" si="33"/>
        <v>2</v>
      </c>
      <c r="J232" s="14">
        <v>1</v>
      </c>
      <c r="K232" s="13" t="s">
        <v>243</v>
      </c>
      <c r="Q232" s="14"/>
    </row>
    <row r="233" spans="1:17" x14ac:dyDescent="0.25">
      <c r="A233" s="11" t="s">
        <v>5448</v>
      </c>
      <c r="C233" s="61" t="s">
        <v>3145</v>
      </c>
      <c r="D233" s="13" t="s">
        <v>1940</v>
      </c>
      <c r="E233" s="14" t="s">
        <v>282</v>
      </c>
      <c r="F233" s="14" t="s">
        <v>11</v>
      </c>
      <c r="G233" s="13">
        <v>3</v>
      </c>
      <c r="H233" s="14">
        <f t="shared" si="33"/>
        <v>3</v>
      </c>
      <c r="J233" s="14">
        <v>3</v>
      </c>
      <c r="K233" s="13" t="s">
        <v>5599</v>
      </c>
      <c r="Q233" s="14"/>
    </row>
    <row r="234" spans="1:17" x14ac:dyDescent="0.25">
      <c r="A234" s="11" t="s">
        <v>5448</v>
      </c>
      <c r="C234" s="61" t="s">
        <v>5530</v>
      </c>
      <c r="E234" s="14" t="s">
        <v>282</v>
      </c>
      <c r="F234" s="14" t="s">
        <v>11</v>
      </c>
      <c r="G234" s="13">
        <v>1</v>
      </c>
      <c r="H234" s="14">
        <f t="shared" ref="H234" si="89">G234+I234</f>
        <v>1</v>
      </c>
      <c r="J234" s="14">
        <v>1</v>
      </c>
      <c r="K234" s="13" t="s">
        <v>947</v>
      </c>
      <c r="Q234" s="14"/>
    </row>
    <row r="235" spans="1:17" x14ac:dyDescent="0.25">
      <c r="A235" s="11" t="s">
        <v>5448</v>
      </c>
      <c r="C235" s="61" t="s">
        <v>282</v>
      </c>
      <c r="F235" s="14" t="s">
        <v>11</v>
      </c>
      <c r="G235" s="13">
        <v>3</v>
      </c>
      <c r="H235" s="14">
        <f t="shared" si="33"/>
        <v>3</v>
      </c>
      <c r="J235" s="14">
        <v>2</v>
      </c>
      <c r="K235" s="13" t="s">
        <v>5606</v>
      </c>
      <c r="Q235" s="14"/>
    </row>
    <row r="236" spans="1:17" x14ac:dyDescent="0.25">
      <c r="A236" s="11" t="s">
        <v>5448</v>
      </c>
      <c r="C236" s="61" t="s">
        <v>678</v>
      </c>
      <c r="F236" s="14" t="s">
        <v>11</v>
      </c>
      <c r="G236" s="13">
        <v>4</v>
      </c>
      <c r="H236" s="14">
        <f t="shared" si="33"/>
        <v>4</v>
      </c>
      <c r="J236" s="14">
        <v>4</v>
      </c>
      <c r="K236" s="13" t="s">
        <v>5716</v>
      </c>
      <c r="Q236" s="14"/>
    </row>
    <row r="237" spans="1:17" x14ac:dyDescent="0.25">
      <c r="A237" s="11" t="s">
        <v>5448</v>
      </c>
      <c r="C237" s="61" t="s">
        <v>2365</v>
      </c>
      <c r="F237" s="14" t="s">
        <v>11</v>
      </c>
      <c r="G237" s="13">
        <v>2</v>
      </c>
      <c r="H237" s="14">
        <f t="shared" ref="H237:H299" si="90">G237+I237</f>
        <v>2</v>
      </c>
      <c r="J237" s="14">
        <v>2</v>
      </c>
      <c r="K237" s="13" t="s">
        <v>5696</v>
      </c>
      <c r="Q237" s="14"/>
    </row>
    <row r="238" spans="1:17" x14ac:dyDescent="0.25">
      <c r="A238" s="11" t="s">
        <v>5448</v>
      </c>
      <c r="C238" s="61" t="s">
        <v>321</v>
      </c>
      <c r="F238" s="14" t="s">
        <v>11</v>
      </c>
      <c r="G238" s="13">
        <v>1</v>
      </c>
      <c r="H238" s="14">
        <f t="shared" si="90"/>
        <v>1</v>
      </c>
      <c r="J238" s="14">
        <v>1</v>
      </c>
      <c r="K238" s="13" t="s">
        <v>2343</v>
      </c>
      <c r="Q238" s="14"/>
    </row>
    <row r="239" spans="1:17" x14ac:dyDescent="0.25">
      <c r="A239" s="11" t="s">
        <v>5448</v>
      </c>
      <c r="C239" s="61" t="s">
        <v>3229</v>
      </c>
      <c r="D239" s="13" t="s">
        <v>3230</v>
      </c>
      <c r="E239" s="14" t="s">
        <v>21</v>
      </c>
      <c r="F239" s="14" t="s">
        <v>11</v>
      </c>
      <c r="G239" s="13">
        <v>1</v>
      </c>
      <c r="H239" s="14">
        <f t="shared" si="90"/>
        <v>1</v>
      </c>
      <c r="J239" s="14">
        <v>1</v>
      </c>
      <c r="K239" s="13" t="s">
        <v>87</v>
      </c>
      <c r="Q239" s="14"/>
    </row>
    <row r="240" spans="1:17" x14ac:dyDescent="0.25">
      <c r="A240" s="11" t="s">
        <v>5448</v>
      </c>
      <c r="C240" s="61" t="s">
        <v>21</v>
      </c>
      <c r="E240" s="14" t="s">
        <v>21</v>
      </c>
      <c r="F240" s="14" t="s">
        <v>11</v>
      </c>
      <c r="G240" s="13">
        <v>2</v>
      </c>
      <c r="H240" s="14">
        <f t="shared" si="90"/>
        <v>2</v>
      </c>
      <c r="J240" s="14">
        <v>2</v>
      </c>
      <c r="K240" s="13" t="s">
        <v>5622</v>
      </c>
      <c r="Q240" s="14"/>
    </row>
    <row r="241" spans="1:17" x14ac:dyDescent="0.25">
      <c r="A241" s="11" t="s">
        <v>5448</v>
      </c>
      <c r="B241" s="13" t="s">
        <v>283</v>
      </c>
      <c r="C241" s="61" t="s">
        <v>2074</v>
      </c>
      <c r="E241" s="14" t="s">
        <v>2103</v>
      </c>
      <c r="F241" s="14" t="s">
        <v>11</v>
      </c>
      <c r="G241" s="13">
        <v>4</v>
      </c>
      <c r="H241" s="14">
        <f t="shared" si="90"/>
        <v>4</v>
      </c>
      <c r="J241" s="14">
        <v>4</v>
      </c>
      <c r="K241" s="13" t="s">
        <v>5630</v>
      </c>
      <c r="Q241" s="14"/>
    </row>
    <row r="242" spans="1:17" x14ac:dyDescent="0.25">
      <c r="A242" s="11" t="s">
        <v>5448</v>
      </c>
      <c r="C242" s="61" t="s">
        <v>656</v>
      </c>
      <c r="F242" s="14" t="s">
        <v>11</v>
      </c>
      <c r="G242" s="13">
        <v>1</v>
      </c>
      <c r="H242" s="14">
        <f t="shared" si="90"/>
        <v>1</v>
      </c>
      <c r="J242" s="14">
        <v>1</v>
      </c>
      <c r="K242" s="13" t="s">
        <v>1076</v>
      </c>
      <c r="Q242" s="14"/>
    </row>
    <row r="243" spans="1:17" ht="22.5" x14ac:dyDescent="0.25">
      <c r="A243" s="11" t="s">
        <v>5448</v>
      </c>
      <c r="C243" s="61" t="s">
        <v>2673</v>
      </c>
      <c r="F243" s="13" t="s">
        <v>1104</v>
      </c>
      <c r="G243" s="13">
        <v>5</v>
      </c>
      <c r="H243" s="14">
        <f t="shared" si="90"/>
        <v>5</v>
      </c>
      <c r="J243" s="14">
        <v>3</v>
      </c>
      <c r="K243" s="13" t="s">
        <v>5686</v>
      </c>
    </row>
    <row r="244" spans="1:17" x14ac:dyDescent="0.25">
      <c r="A244" s="11" t="s">
        <v>5448</v>
      </c>
      <c r="C244" s="61" t="s">
        <v>2673</v>
      </c>
      <c r="E244" s="14" t="s">
        <v>5512</v>
      </c>
      <c r="F244" s="13" t="s">
        <v>56</v>
      </c>
      <c r="G244" s="13">
        <v>1</v>
      </c>
      <c r="H244" s="14">
        <f t="shared" ref="H244:H245" si="91">G244+I244</f>
        <v>1</v>
      </c>
      <c r="J244" s="14">
        <v>1</v>
      </c>
      <c r="K244" s="13" t="s">
        <v>2343</v>
      </c>
    </row>
    <row r="245" spans="1:17" x14ac:dyDescent="0.25">
      <c r="A245" s="11" t="s">
        <v>5448</v>
      </c>
      <c r="C245" s="61" t="s">
        <v>2673</v>
      </c>
      <c r="E245" s="14" t="s">
        <v>5513</v>
      </c>
      <c r="F245" s="13" t="s">
        <v>11</v>
      </c>
      <c r="G245" s="13">
        <v>2</v>
      </c>
      <c r="H245" s="14">
        <f t="shared" si="91"/>
        <v>2</v>
      </c>
      <c r="J245" s="14">
        <v>1</v>
      </c>
      <c r="K245" s="13" t="s">
        <v>2343</v>
      </c>
    </row>
    <row r="246" spans="1:17" ht="22.5" x14ac:dyDescent="0.25">
      <c r="A246" s="11" t="s">
        <v>5448</v>
      </c>
      <c r="C246" s="61" t="s">
        <v>1791</v>
      </c>
      <c r="F246" s="13" t="s">
        <v>1104</v>
      </c>
      <c r="G246" s="13">
        <v>2</v>
      </c>
      <c r="H246" s="14">
        <f t="shared" si="90"/>
        <v>2</v>
      </c>
      <c r="J246" s="14">
        <v>2</v>
      </c>
      <c r="K246" s="13" t="s">
        <v>5569</v>
      </c>
    </row>
    <row r="247" spans="1:17" ht="22.5" x14ac:dyDescent="0.25">
      <c r="A247" s="11" t="s">
        <v>5448</v>
      </c>
      <c r="C247" s="61" t="s">
        <v>719</v>
      </c>
      <c r="F247" s="13" t="s">
        <v>1341</v>
      </c>
      <c r="G247" s="13">
        <v>2</v>
      </c>
      <c r="H247" s="14">
        <f t="shared" si="90"/>
        <v>2</v>
      </c>
      <c r="J247" s="14">
        <v>1</v>
      </c>
      <c r="K247" s="13" t="s">
        <v>949</v>
      </c>
    </row>
    <row r="248" spans="1:17" x14ac:dyDescent="0.25">
      <c r="A248" s="11" t="s">
        <v>5448</v>
      </c>
      <c r="C248" s="61" t="s">
        <v>69</v>
      </c>
      <c r="D248" s="13" t="s">
        <v>1940</v>
      </c>
      <c r="E248" s="14" t="s">
        <v>5533</v>
      </c>
      <c r="F248" s="13" t="s">
        <v>11</v>
      </c>
      <c r="G248" s="13">
        <v>5</v>
      </c>
      <c r="H248" s="14">
        <f t="shared" si="90"/>
        <v>5</v>
      </c>
      <c r="J248" s="14">
        <v>5</v>
      </c>
      <c r="K248" s="13" t="s">
        <v>5627</v>
      </c>
    </row>
    <row r="249" spans="1:17" s="25" customFormat="1" ht="37.5" customHeight="1" x14ac:dyDescent="0.25">
      <c r="A249" s="11" t="s">
        <v>5448</v>
      </c>
      <c r="B249" s="26"/>
      <c r="C249" s="80" t="s">
        <v>56</v>
      </c>
      <c r="D249" s="26"/>
      <c r="F249" s="25" t="s">
        <v>56</v>
      </c>
      <c r="G249" s="26">
        <v>29</v>
      </c>
      <c r="H249" s="25">
        <f t="shared" si="90"/>
        <v>29</v>
      </c>
      <c r="J249" s="25">
        <v>19</v>
      </c>
      <c r="K249" s="26" t="s">
        <v>5717</v>
      </c>
      <c r="Q249" s="26"/>
    </row>
    <row r="250" spans="1:17" x14ac:dyDescent="0.25">
      <c r="A250" s="11" t="s">
        <v>5448</v>
      </c>
      <c r="B250" s="13" t="s">
        <v>66</v>
      </c>
      <c r="C250" s="61" t="s">
        <v>5692</v>
      </c>
      <c r="F250" s="14" t="s">
        <v>56</v>
      </c>
      <c r="G250" s="13">
        <v>1</v>
      </c>
      <c r="H250" s="14">
        <f t="shared" si="90"/>
        <v>1</v>
      </c>
      <c r="J250" s="14">
        <v>1</v>
      </c>
      <c r="K250" s="13" t="s">
        <v>279</v>
      </c>
    </row>
    <row r="251" spans="1:17" x14ac:dyDescent="0.25">
      <c r="A251" s="11" t="s">
        <v>5448</v>
      </c>
      <c r="C251" s="61" t="s">
        <v>5501</v>
      </c>
      <c r="E251" s="13" t="s">
        <v>5753</v>
      </c>
      <c r="F251" s="14" t="s">
        <v>56</v>
      </c>
      <c r="G251" s="13">
        <v>1</v>
      </c>
      <c r="H251" s="14">
        <f t="shared" ref="H251" si="92">G251+I251</f>
        <v>1</v>
      </c>
      <c r="J251" s="14">
        <v>1</v>
      </c>
      <c r="K251" s="13" t="s">
        <v>294</v>
      </c>
    </row>
    <row r="252" spans="1:17" x14ac:dyDescent="0.25">
      <c r="A252" s="11" t="s">
        <v>5448</v>
      </c>
      <c r="C252" s="61" t="s">
        <v>4876</v>
      </c>
      <c r="E252" s="14" t="s">
        <v>5705</v>
      </c>
      <c r="F252" s="14" t="s">
        <v>56</v>
      </c>
      <c r="G252" s="13">
        <v>2</v>
      </c>
      <c r="H252" s="14">
        <f t="shared" si="90"/>
        <v>2</v>
      </c>
      <c r="J252" s="14">
        <v>2</v>
      </c>
      <c r="K252" s="13" t="s">
        <v>5706</v>
      </c>
    </row>
    <row r="253" spans="1:17" x14ac:dyDescent="0.25">
      <c r="A253" s="11" t="s">
        <v>5448</v>
      </c>
      <c r="C253" s="61" t="s">
        <v>629</v>
      </c>
      <c r="E253" s="14" t="s">
        <v>1143</v>
      </c>
      <c r="F253" s="14" t="s">
        <v>56</v>
      </c>
      <c r="G253" s="13">
        <v>1</v>
      </c>
      <c r="H253" s="14">
        <f t="shared" si="90"/>
        <v>1</v>
      </c>
      <c r="J253" s="14">
        <v>1</v>
      </c>
      <c r="K253" s="13" t="s">
        <v>309</v>
      </c>
    </row>
    <row r="254" spans="1:17" x14ac:dyDescent="0.25">
      <c r="A254" s="11" t="s">
        <v>5448</v>
      </c>
      <c r="C254" s="61" t="s">
        <v>5520</v>
      </c>
      <c r="D254" s="13" t="s">
        <v>5519</v>
      </c>
      <c r="E254" s="14" t="s">
        <v>1143</v>
      </c>
      <c r="F254" s="14" t="s">
        <v>56</v>
      </c>
      <c r="G254" s="13">
        <v>2</v>
      </c>
      <c r="H254" s="14">
        <f t="shared" ref="H254" si="93">G254+I254</f>
        <v>2</v>
      </c>
      <c r="J254" s="14">
        <v>2</v>
      </c>
      <c r="K254" s="13" t="s">
        <v>5570</v>
      </c>
    </row>
    <row r="255" spans="1:17" x14ac:dyDescent="0.25">
      <c r="A255" s="11" t="s">
        <v>5448</v>
      </c>
      <c r="C255" s="61" t="s">
        <v>371</v>
      </c>
      <c r="E255" s="14" t="s">
        <v>1143</v>
      </c>
      <c r="F255" s="14" t="s">
        <v>56</v>
      </c>
      <c r="G255" s="13">
        <v>1</v>
      </c>
      <c r="H255" s="14">
        <f t="shared" si="90"/>
        <v>1</v>
      </c>
      <c r="J255" s="14">
        <v>1</v>
      </c>
      <c r="K255" s="13" t="s">
        <v>2343</v>
      </c>
    </row>
    <row r="256" spans="1:17" x14ac:dyDescent="0.25">
      <c r="A256" s="11" t="s">
        <v>5448</v>
      </c>
      <c r="C256" s="61" t="s">
        <v>253</v>
      </c>
      <c r="F256" s="14" t="s">
        <v>56</v>
      </c>
      <c r="G256" s="13">
        <v>4</v>
      </c>
      <c r="H256" s="14">
        <f t="shared" si="90"/>
        <v>4</v>
      </c>
      <c r="J256" s="14">
        <v>4</v>
      </c>
      <c r="K256" s="13" t="s">
        <v>5695</v>
      </c>
    </row>
    <row r="257" spans="1:17" x14ac:dyDescent="0.25">
      <c r="A257" s="11" t="s">
        <v>5448</v>
      </c>
      <c r="C257" s="61" t="s">
        <v>254</v>
      </c>
      <c r="F257" s="14" t="s">
        <v>56</v>
      </c>
      <c r="G257" s="13">
        <v>7</v>
      </c>
      <c r="H257" s="14">
        <f t="shared" si="90"/>
        <v>7</v>
      </c>
      <c r="J257" s="14">
        <v>7</v>
      </c>
      <c r="K257" s="13" t="s">
        <v>5703</v>
      </c>
      <c r="Q257" s="14"/>
    </row>
    <row r="258" spans="1:17" x14ac:dyDescent="0.25">
      <c r="A258" s="11" t="s">
        <v>5448</v>
      </c>
      <c r="C258" s="62" t="s">
        <v>5506</v>
      </c>
      <c r="D258" s="13" t="s">
        <v>5519</v>
      </c>
      <c r="E258" s="61" t="s">
        <v>254</v>
      </c>
      <c r="F258" s="14" t="s">
        <v>56</v>
      </c>
      <c r="G258" s="13">
        <v>3</v>
      </c>
      <c r="H258" s="14">
        <f t="shared" ref="H258" si="94">G258+I258</f>
        <v>3</v>
      </c>
      <c r="J258" s="14">
        <v>3</v>
      </c>
      <c r="K258" s="13" t="s">
        <v>5658</v>
      </c>
      <c r="Q258" s="14"/>
    </row>
    <row r="259" spans="1:17" x14ac:dyDescent="0.25">
      <c r="A259" s="11" t="s">
        <v>5448</v>
      </c>
      <c r="C259" s="62" t="s">
        <v>5505</v>
      </c>
      <c r="D259" s="13" t="s">
        <v>5519</v>
      </c>
      <c r="E259" s="61" t="s">
        <v>254</v>
      </c>
      <c r="F259" s="14" t="s">
        <v>56</v>
      </c>
      <c r="G259" s="13">
        <v>1</v>
      </c>
      <c r="H259" s="14">
        <f t="shared" ref="H259" si="95">G259+I259</f>
        <v>1</v>
      </c>
      <c r="J259" s="14">
        <v>1</v>
      </c>
      <c r="K259" s="13" t="s">
        <v>2343</v>
      </c>
      <c r="Q259" s="14"/>
    </row>
    <row r="260" spans="1:17" x14ac:dyDescent="0.25">
      <c r="A260" s="11" t="s">
        <v>5448</v>
      </c>
      <c r="C260" s="62" t="s">
        <v>5657</v>
      </c>
      <c r="D260" s="13" t="s">
        <v>5519</v>
      </c>
      <c r="E260" s="61" t="s">
        <v>254</v>
      </c>
      <c r="F260" s="14" t="s">
        <v>56</v>
      </c>
      <c r="G260" s="13">
        <v>1</v>
      </c>
      <c r="H260" s="14">
        <f t="shared" ref="H260" si="96">G260+I260</f>
        <v>1</v>
      </c>
      <c r="J260" s="14">
        <v>1</v>
      </c>
      <c r="K260" s="13" t="s">
        <v>252</v>
      </c>
      <c r="Q260" s="14"/>
    </row>
    <row r="261" spans="1:17" x14ac:dyDescent="0.25">
      <c r="A261" s="11" t="s">
        <v>5448</v>
      </c>
      <c r="C261" s="61" t="s">
        <v>254</v>
      </c>
      <c r="E261" s="14" t="s">
        <v>1343</v>
      </c>
      <c r="F261" s="14" t="s">
        <v>56</v>
      </c>
      <c r="G261" s="13">
        <v>2</v>
      </c>
      <c r="H261" s="14">
        <f t="shared" si="90"/>
        <v>2</v>
      </c>
      <c r="J261" s="14">
        <v>2</v>
      </c>
      <c r="K261" s="13" t="s">
        <v>5656</v>
      </c>
      <c r="Q261" s="14"/>
    </row>
    <row r="262" spans="1:17" x14ac:dyDescent="0.25">
      <c r="A262" s="11" t="s">
        <v>5448</v>
      </c>
      <c r="C262" s="61" t="s">
        <v>451</v>
      </c>
      <c r="F262" s="14" t="s">
        <v>56</v>
      </c>
      <c r="G262" s="13">
        <v>1</v>
      </c>
      <c r="H262" s="14">
        <f t="shared" si="90"/>
        <v>1</v>
      </c>
      <c r="J262" s="14">
        <v>1</v>
      </c>
      <c r="K262" s="13" t="s">
        <v>264</v>
      </c>
      <c r="Q262" s="14"/>
    </row>
    <row r="263" spans="1:17" x14ac:dyDescent="0.25">
      <c r="A263" s="11" t="s">
        <v>5448</v>
      </c>
      <c r="C263" s="61" t="s">
        <v>305</v>
      </c>
      <c r="E263" s="13"/>
      <c r="F263" s="14" t="s">
        <v>56</v>
      </c>
      <c r="G263" s="13">
        <v>1</v>
      </c>
      <c r="H263" s="14">
        <f t="shared" si="90"/>
        <v>1</v>
      </c>
      <c r="J263" s="14">
        <v>1</v>
      </c>
      <c r="K263" s="13" t="s">
        <v>4891</v>
      </c>
      <c r="Q263" s="14"/>
    </row>
    <row r="264" spans="1:17" x14ac:dyDescent="0.25">
      <c r="A264" s="11" t="s">
        <v>5448</v>
      </c>
      <c r="B264" s="13" t="s">
        <v>57</v>
      </c>
      <c r="C264" s="61" t="s">
        <v>950</v>
      </c>
      <c r="D264" s="13" t="s">
        <v>1940</v>
      </c>
      <c r="E264" s="13" t="s">
        <v>57</v>
      </c>
      <c r="F264" s="14" t="s">
        <v>56</v>
      </c>
      <c r="G264" s="13">
        <v>6</v>
      </c>
      <c r="H264" s="14">
        <f t="shared" si="90"/>
        <v>6</v>
      </c>
      <c r="J264" s="14">
        <v>5</v>
      </c>
      <c r="K264" s="13" t="s">
        <v>5720</v>
      </c>
      <c r="Q264" s="14"/>
    </row>
    <row r="265" spans="1:17" x14ac:dyDescent="0.25">
      <c r="A265" s="11" t="s">
        <v>5448</v>
      </c>
      <c r="B265" s="13" t="s">
        <v>57</v>
      </c>
      <c r="C265" s="61" t="s">
        <v>5488</v>
      </c>
      <c r="E265" s="13" t="s">
        <v>57</v>
      </c>
      <c r="F265" s="14" t="s">
        <v>56</v>
      </c>
      <c r="G265" s="13">
        <v>1</v>
      </c>
      <c r="H265" s="14">
        <f t="shared" ref="H265:H266" si="97">G265+I265</f>
        <v>1</v>
      </c>
      <c r="J265" s="14">
        <v>1</v>
      </c>
      <c r="K265" s="13" t="s">
        <v>949</v>
      </c>
      <c r="Q265" s="14"/>
    </row>
    <row r="266" spans="1:17" x14ac:dyDescent="0.25">
      <c r="A266" s="11" t="s">
        <v>5448</v>
      </c>
      <c r="B266" s="13" t="s">
        <v>57</v>
      </c>
      <c r="C266" s="61" t="s">
        <v>5641</v>
      </c>
      <c r="E266" s="13" t="s">
        <v>57</v>
      </c>
      <c r="F266" s="14" t="s">
        <v>56</v>
      </c>
      <c r="G266" s="13">
        <v>1</v>
      </c>
      <c r="H266" s="14">
        <f t="shared" si="97"/>
        <v>1</v>
      </c>
      <c r="J266" s="14">
        <v>1</v>
      </c>
      <c r="K266" s="13" t="s">
        <v>252</v>
      </c>
      <c r="Q266" s="14"/>
    </row>
    <row r="267" spans="1:17" x14ac:dyDescent="0.25">
      <c r="A267" s="11" t="s">
        <v>5448</v>
      </c>
      <c r="B267" s="13" t="s">
        <v>57</v>
      </c>
      <c r="C267" s="61" t="s">
        <v>3125</v>
      </c>
      <c r="E267" s="13" t="s">
        <v>57</v>
      </c>
      <c r="F267" s="14" t="s">
        <v>56</v>
      </c>
      <c r="G267" s="13">
        <v>1</v>
      </c>
      <c r="H267" s="14">
        <f t="shared" si="90"/>
        <v>1</v>
      </c>
      <c r="J267" s="14">
        <v>1</v>
      </c>
      <c r="K267" s="13" t="s">
        <v>252</v>
      </c>
      <c r="Q267" s="14"/>
    </row>
    <row r="268" spans="1:17" x14ac:dyDescent="0.25">
      <c r="A268" s="11" t="s">
        <v>5448</v>
      </c>
      <c r="B268" s="13" t="s">
        <v>274</v>
      </c>
      <c r="C268" s="61" t="s">
        <v>2342</v>
      </c>
      <c r="E268" s="13" t="s">
        <v>2616</v>
      </c>
      <c r="F268" s="14" t="s">
        <v>56</v>
      </c>
      <c r="G268" s="13">
        <v>1</v>
      </c>
      <c r="H268" s="14">
        <f t="shared" si="90"/>
        <v>1</v>
      </c>
      <c r="J268" s="14">
        <v>1</v>
      </c>
      <c r="K268" s="13" t="s">
        <v>1005</v>
      </c>
      <c r="Q268" s="14"/>
    </row>
    <row r="269" spans="1:17" x14ac:dyDescent="0.25">
      <c r="A269" s="11" t="s">
        <v>5448</v>
      </c>
      <c r="B269" s="13" t="s">
        <v>186</v>
      </c>
      <c r="C269" s="61" t="s">
        <v>554</v>
      </c>
      <c r="F269" s="14" t="s">
        <v>56</v>
      </c>
      <c r="G269" s="13">
        <v>2</v>
      </c>
      <c r="H269" s="14">
        <f t="shared" si="90"/>
        <v>2</v>
      </c>
      <c r="J269" s="14">
        <v>2</v>
      </c>
      <c r="K269" s="13" t="s">
        <v>5655</v>
      </c>
      <c r="Q269" s="14"/>
    </row>
    <row r="270" spans="1:17" ht="12" customHeight="1" x14ac:dyDescent="0.25">
      <c r="A270" s="11" t="s">
        <v>5448</v>
      </c>
      <c r="B270" s="13" t="s">
        <v>163</v>
      </c>
      <c r="C270" s="61" t="s">
        <v>4880</v>
      </c>
      <c r="F270" s="14" t="s">
        <v>56</v>
      </c>
      <c r="G270" s="13">
        <v>2</v>
      </c>
      <c r="H270" s="14">
        <f>G270+I270</f>
        <v>2</v>
      </c>
      <c r="J270" s="14">
        <v>2</v>
      </c>
      <c r="K270" s="13" t="s">
        <v>5691</v>
      </c>
      <c r="Q270" s="14"/>
    </row>
    <row r="271" spans="1:17" ht="12" customHeight="1" x14ac:dyDescent="0.25">
      <c r="A271" s="11" t="s">
        <v>5448</v>
      </c>
      <c r="B271" s="13" t="s">
        <v>55</v>
      </c>
      <c r="C271" s="61" t="s">
        <v>152</v>
      </c>
      <c r="F271" s="14" t="s">
        <v>56</v>
      </c>
      <c r="G271" s="13">
        <v>2</v>
      </c>
      <c r="H271" s="14">
        <f t="shared" ref="H271" si="98">G271+I271</f>
        <v>2</v>
      </c>
      <c r="J271" s="14">
        <v>2</v>
      </c>
      <c r="K271" s="13" t="s">
        <v>5702</v>
      </c>
      <c r="Q271" s="14"/>
    </row>
    <row r="272" spans="1:17" x14ac:dyDescent="0.25">
      <c r="A272" s="11" t="s">
        <v>5448</v>
      </c>
      <c r="B272" s="13" t="s">
        <v>55</v>
      </c>
      <c r="C272" s="61" t="s">
        <v>5662</v>
      </c>
      <c r="F272" s="14" t="s">
        <v>56</v>
      </c>
      <c r="G272" s="13">
        <v>1</v>
      </c>
      <c r="H272" s="14">
        <f t="shared" ref="H272" si="99">G272+I272</f>
        <v>1</v>
      </c>
      <c r="J272" s="14">
        <v>1</v>
      </c>
      <c r="K272" s="13" t="s">
        <v>264</v>
      </c>
      <c r="Q272" s="14"/>
    </row>
    <row r="273" spans="1:17" x14ac:dyDescent="0.25">
      <c r="A273" s="11" t="s">
        <v>5448</v>
      </c>
      <c r="B273" s="13" t="s">
        <v>593</v>
      </c>
      <c r="D273" s="13" t="s">
        <v>1940</v>
      </c>
      <c r="F273" s="14" t="s">
        <v>56</v>
      </c>
      <c r="G273" s="13">
        <v>4</v>
      </c>
      <c r="H273" s="14">
        <f>G273+I273</f>
        <v>4</v>
      </c>
      <c r="J273" s="14">
        <v>4</v>
      </c>
      <c r="K273" s="13" t="s">
        <v>5708</v>
      </c>
    </row>
    <row r="274" spans="1:17" x14ac:dyDescent="0.25">
      <c r="A274" s="11" t="s">
        <v>5448</v>
      </c>
      <c r="B274" s="13" t="s">
        <v>593</v>
      </c>
      <c r="C274" s="61" t="s">
        <v>5707</v>
      </c>
      <c r="E274" s="14" t="s">
        <v>2616</v>
      </c>
      <c r="F274" s="14" t="s">
        <v>56</v>
      </c>
      <c r="G274" s="13">
        <v>1</v>
      </c>
      <c r="H274" s="14">
        <f t="shared" ref="H274" si="100">G274+I274</f>
        <v>1</v>
      </c>
      <c r="J274" s="14">
        <v>1</v>
      </c>
      <c r="K274" s="13" t="s">
        <v>1103</v>
      </c>
    </row>
    <row r="275" spans="1:17" x14ac:dyDescent="0.25">
      <c r="A275" s="11" t="s">
        <v>5448</v>
      </c>
      <c r="B275" s="13" t="s">
        <v>593</v>
      </c>
      <c r="C275" s="61" t="s">
        <v>5637</v>
      </c>
      <c r="E275" s="14" t="s">
        <v>2616</v>
      </c>
      <c r="F275" s="14" t="s">
        <v>56</v>
      </c>
      <c r="G275" s="13">
        <v>1</v>
      </c>
      <c r="H275" s="14">
        <f t="shared" ref="H275" si="101">G275+I275</f>
        <v>1</v>
      </c>
      <c r="J275" s="14">
        <v>1</v>
      </c>
      <c r="K275" s="13" t="s">
        <v>243</v>
      </c>
    </row>
    <row r="276" spans="1:17" x14ac:dyDescent="0.25">
      <c r="A276" s="11" t="s">
        <v>5448</v>
      </c>
      <c r="B276" s="13" t="s">
        <v>161</v>
      </c>
      <c r="C276" s="61" t="s">
        <v>301</v>
      </c>
      <c r="D276" s="13" t="s">
        <v>1940</v>
      </c>
      <c r="F276" s="14" t="s">
        <v>56</v>
      </c>
      <c r="G276" s="13">
        <v>5</v>
      </c>
      <c r="H276" s="14">
        <f t="shared" si="90"/>
        <v>5</v>
      </c>
      <c r="J276" s="14">
        <v>4</v>
      </c>
      <c r="K276" s="13" t="s">
        <v>5653</v>
      </c>
    </row>
    <row r="277" spans="1:17" x14ac:dyDescent="0.25">
      <c r="A277" s="11" t="s">
        <v>5448</v>
      </c>
      <c r="B277" s="13" t="s">
        <v>593</v>
      </c>
      <c r="C277" s="61" t="s">
        <v>2956</v>
      </c>
      <c r="D277" s="13" t="s">
        <v>1940</v>
      </c>
      <c r="E277" s="14" t="s">
        <v>683</v>
      </c>
      <c r="F277" s="14" t="s">
        <v>56</v>
      </c>
      <c r="G277" s="13">
        <v>1</v>
      </c>
      <c r="H277" s="14">
        <f t="shared" ref="H277" si="102">G277+I277</f>
        <v>1</v>
      </c>
      <c r="J277" s="14">
        <v>1</v>
      </c>
      <c r="K277" s="13" t="s">
        <v>193</v>
      </c>
    </row>
    <row r="278" spans="1:17" x14ac:dyDescent="0.25">
      <c r="A278" s="11" t="s">
        <v>5448</v>
      </c>
      <c r="B278" s="13" t="s">
        <v>161</v>
      </c>
      <c r="C278" s="61" t="s">
        <v>5644</v>
      </c>
      <c r="E278" s="14" t="s">
        <v>4101</v>
      </c>
      <c r="F278" s="14" t="s">
        <v>56</v>
      </c>
      <c r="G278" s="13">
        <v>1</v>
      </c>
      <c r="H278" s="14">
        <f t="shared" si="90"/>
        <v>1</v>
      </c>
      <c r="J278" s="14">
        <v>1</v>
      </c>
      <c r="K278" s="13" t="s">
        <v>252</v>
      </c>
    </row>
    <row r="279" spans="1:17" x14ac:dyDescent="0.25">
      <c r="A279" s="11" t="s">
        <v>5448</v>
      </c>
      <c r="B279" s="13" t="s">
        <v>161</v>
      </c>
      <c r="C279" s="61" t="s">
        <v>3595</v>
      </c>
      <c r="E279" s="14" t="s">
        <v>254</v>
      </c>
      <c r="F279" s="14" t="s">
        <v>56</v>
      </c>
      <c r="G279" s="13">
        <v>2</v>
      </c>
      <c r="H279" s="14">
        <f t="shared" si="90"/>
        <v>2</v>
      </c>
      <c r="J279" s="14">
        <v>1</v>
      </c>
      <c r="K279" s="13" t="s">
        <v>252</v>
      </c>
    </row>
    <row r="280" spans="1:17" x14ac:dyDescent="0.25">
      <c r="A280" s="11" t="s">
        <v>5448</v>
      </c>
      <c r="B280" s="13" t="s">
        <v>161</v>
      </c>
      <c r="C280" s="61" t="s">
        <v>225</v>
      </c>
      <c r="E280" s="14" t="s">
        <v>4101</v>
      </c>
      <c r="F280" s="14" t="s">
        <v>56</v>
      </c>
      <c r="G280" s="13">
        <v>1</v>
      </c>
      <c r="H280" s="14">
        <f t="shared" si="90"/>
        <v>1</v>
      </c>
      <c r="J280" s="14">
        <v>1</v>
      </c>
      <c r="K280" s="13" t="s">
        <v>243</v>
      </c>
    </row>
    <row r="281" spans="1:17" x14ac:dyDescent="0.25">
      <c r="A281" s="11" t="s">
        <v>5448</v>
      </c>
      <c r="B281" s="13" t="s">
        <v>161</v>
      </c>
      <c r="C281" s="61" t="s">
        <v>5642</v>
      </c>
      <c r="E281" s="14" t="s">
        <v>4101</v>
      </c>
      <c r="F281" s="14" t="s">
        <v>56</v>
      </c>
      <c r="G281" s="13">
        <v>1</v>
      </c>
      <c r="H281" s="14">
        <f t="shared" ref="H281" si="103">G281+I281</f>
        <v>1</v>
      </c>
      <c r="J281" s="14">
        <v>1</v>
      </c>
      <c r="K281" s="13" t="s">
        <v>252</v>
      </c>
    </row>
    <row r="282" spans="1:17" x14ac:dyDescent="0.25">
      <c r="A282" s="11" t="s">
        <v>5448</v>
      </c>
      <c r="B282" s="13" t="s">
        <v>161</v>
      </c>
      <c r="C282" s="61" t="s">
        <v>5643</v>
      </c>
      <c r="E282" s="14" t="s">
        <v>4101</v>
      </c>
      <c r="F282" s="14" t="s">
        <v>56</v>
      </c>
      <c r="G282" s="13">
        <v>1</v>
      </c>
      <c r="H282" s="14">
        <f t="shared" ref="H282" si="104">G282+I282</f>
        <v>1</v>
      </c>
      <c r="J282" s="14">
        <v>1</v>
      </c>
      <c r="K282" s="13" t="s">
        <v>252</v>
      </c>
    </row>
    <row r="283" spans="1:17" ht="22.5" x14ac:dyDescent="0.25">
      <c r="A283" s="11" t="s">
        <v>5448</v>
      </c>
      <c r="B283" s="13" t="s">
        <v>161</v>
      </c>
      <c r="C283" s="61" t="s">
        <v>5700</v>
      </c>
      <c r="D283" s="13" t="s">
        <v>5701</v>
      </c>
      <c r="E283" s="14" t="s">
        <v>4101</v>
      </c>
      <c r="F283" s="14" t="s">
        <v>56</v>
      </c>
      <c r="G283" s="13">
        <v>1</v>
      </c>
      <c r="H283" s="14">
        <f t="shared" ref="H283" si="105">G283+I283</f>
        <v>1</v>
      </c>
      <c r="J283" s="14">
        <v>1</v>
      </c>
      <c r="K283" s="13" t="s">
        <v>322</v>
      </c>
    </row>
    <row r="284" spans="1:17" x14ac:dyDescent="0.25">
      <c r="A284" s="11" t="s">
        <v>5448</v>
      </c>
      <c r="B284" s="13" t="s">
        <v>66</v>
      </c>
      <c r="C284" s="61" t="s">
        <v>274</v>
      </c>
      <c r="F284" s="14" t="s">
        <v>56</v>
      </c>
      <c r="G284" s="13">
        <v>1</v>
      </c>
      <c r="H284" s="14">
        <f t="shared" si="90"/>
        <v>1</v>
      </c>
      <c r="J284" s="14">
        <v>1</v>
      </c>
      <c r="K284" s="13" t="s">
        <v>1005</v>
      </c>
    </row>
    <row r="285" spans="1:17" ht="22.5" x14ac:dyDescent="0.25">
      <c r="A285" s="11" t="s">
        <v>5448</v>
      </c>
      <c r="B285" s="13" t="s">
        <v>161</v>
      </c>
      <c r="C285" s="61" t="s">
        <v>4981</v>
      </c>
      <c r="E285" s="14" t="s">
        <v>254</v>
      </c>
      <c r="F285" s="14" t="s">
        <v>56</v>
      </c>
      <c r="G285" s="13">
        <v>1</v>
      </c>
      <c r="H285" s="14">
        <f t="shared" si="90"/>
        <v>1</v>
      </c>
      <c r="J285" s="14">
        <v>1</v>
      </c>
      <c r="K285" s="13" t="s">
        <v>243</v>
      </c>
    </row>
    <row r="286" spans="1:17" x14ac:dyDescent="0.25">
      <c r="A286" s="11" t="s">
        <v>5448</v>
      </c>
      <c r="B286" s="13" t="s">
        <v>4034</v>
      </c>
      <c r="C286" s="61" t="s">
        <v>190</v>
      </c>
      <c r="F286" s="14" t="s">
        <v>56</v>
      </c>
      <c r="G286" s="13">
        <v>1</v>
      </c>
      <c r="H286" s="14">
        <f t="shared" si="90"/>
        <v>1</v>
      </c>
      <c r="J286" s="14">
        <v>1</v>
      </c>
      <c r="K286" s="13" t="s">
        <v>2343</v>
      </c>
    </row>
    <row r="287" spans="1:17" s="25" customFormat="1" ht="29.25" customHeight="1" x14ac:dyDescent="0.25">
      <c r="A287" s="11" t="s">
        <v>5448</v>
      </c>
      <c r="B287" s="26"/>
      <c r="C287" s="80" t="s">
        <v>35</v>
      </c>
      <c r="D287" s="26"/>
      <c r="F287" s="25" t="s">
        <v>35</v>
      </c>
      <c r="G287" s="26">
        <v>10</v>
      </c>
      <c r="H287" s="25">
        <f t="shared" si="90"/>
        <v>10</v>
      </c>
      <c r="J287" s="25">
        <v>9</v>
      </c>
      <c r="K287" s="26" t="s">
        <v>5699</v>
      </c>
    </row>
    <row r="288" spans="1:17" ht="22.5" x14ac:dyDescent="0.25">
      <c r="A288" s="11" t="s">
        <v>5448</v>
      </c>
      <c r="C288" s="61" t="s">
        <v>1904</v>
      </c>
      <c r="E288" s="14" t="s">
        <v>2708</v>
      </c>
      <c r="F288" s="13" t="s">
        <v>1905</v>
      </c>
      <c r="G288" s="13">
        <v>2</v>
      </c>
      <c r="H288" s="14">
        <f t="shared" si="90"/>
        <v>2</v>
      </c>
      <c r="J288" s="14">
        <v>2</v>
      </c>
      <c r="K288" s="13" t="s">
        <v>690</v>
      </c>
      <c r="Q288" s="14"/>
    </row>
    <row r="289" spans="1:17" x14ac:dyDescent="0.25">
      <c r="A289" s="11" t="s">
        <v>5448</v>
      </c>
      <c r="C289" s="61" t="s">
        <v>5475</v>
      </c>
      <c r="F289" s="14" t="s">
        <v>35</v>
      </c>
      <c r="G289" s="13">
        <v>1</v>
      </c>
      <c r="H289" s="14">
        <f t="shared" ref="H289" si="106">G289+I289</f>
        <v>1</v>
      </c>
      <c r="J289" s="14">
        <v>1</v>
      </c>
      <c r="K289" s="13" t="s">
        <v>59</v>
      </c>
      <c r="Q289" s="14"/>
    </row>
    <row r="290" spans="1:17" x14ac:dyDescent="0.25">
      <c r="A290" s="11" t="s">
        <v>5448</v>
      </c>
      <c r="C290" s="61" t="s">
        <v>758</v>
      </c>
      <c r="E290" s="14" t="s">
        <v>759</v>
      </c>
      <c r="F290" s="14" t="s">
        <v>35</v>
      </c>
      <c r="G290" s="13">
        <v>1</v>
      </c>
      <c r="H290" s="14">
        <f t="shared" si="90"/>
        <v>1</v>
      </c>
      <c r="J290" s="14">
        <v>1</v>
      </c>
      <c r="K290" s="13" t="s">
        <v>2340</v>
      </c>
      <c r="Q290" s="14"/>
    </row>
    <row r="291" spans="1:17" x14ac:dyDescent="0.25">
      <c r="A291" s="11" t="s">
        <v>5448</v>
      </c>
      <c r="C291" s="61" t="s">
        <v>47</v>
      </c>
      <c r="F291" s="14" t="s">
        <v>35</v>
      </c>
      <c r="G291" s="13">
        <v>1</v>
      </c>
      <c r="H291" s="14">
        <f t="shared" si="90"/>
        <v>1</v>
      </c>
      <c r="J291" s="14">
        <v>1</v>
      </c>
      <c r="K291" s="13" t="s">
        <v>2343</v>
      </c>
      <c r="Q291" s="14"/>
    </row>
    <row r="292" spans="1:17" x14ac:dyDescent="0.25">
      <c r="A292" s="11" t="s">
        <v>5448</v>
      </c>
      <c r="C292" s="61" t="s">
        <v>1906</v>
      </c>
      <c r="F292" s="14" t="s">
        <v>35</v>
      </c>
      <c r="G292" s="13">
        <v>1</v>
      </c>
      <c r="H292" s="14">
        <f t="shared" si="90"/>
        <v>1</v>
      </c>
      <c r="J292" s="14">
        <v>1</v>
      </c>
      <c r="K292" s="13" t="s">
        <v>2343</v>
      </c>
      <c r="Q292" s="14"/>
    </row>
    <row r="293" spans="1:17" x14ac:dyDescent="0.25">
      <c r="A293" s="11" t="s">
        <v>5448</v>
      </c>
      <c r="B293" s="13" t="s">
        <v>231</v>
      </c>
      <c r="D293" s="13" t="s">
        <v>1940</v>
      </c>
      <c r="F293" s="14" t="s">
        <v>35</v>
      </c>
      <c r="G293" s="13">
        <v>1</v>
      </c>
      <c r="H293" s="14">
        <f t="shared" si="90"/>
        <v>1</v>
      </c>
      <c r="J293" s="14">
        <v>1</v>
      </c>
      <c r="K293" s="13" t="s">
        <v>1036</v>
      </c>
      <c r="Q293" s="14"/>
    </row>
    <row r="294" spans="1:17" x14ac:dyDescent="0.25">
      <c r="A294" s="11" t="s">
        <v>5448</v>
      </c>
      <c r="B294" s="13" t="s">
        <v>231</v>
      </c>
      <c r="C294" s="61" t="s">
        <v>4592</v>
      </c>
      <c r="F294" s="14" t="s">
        <v>35</v>
      </c>
      <c r="G294" s="13">
        <v>1</v>
      </c>
      <c r="H294" s="14">
        <f t="shared" si="90"/>
        <v>1</v>
      </c>
      <c r="J294" s="14">
        <v>1</v>
      </c>
      <c r="K294" s="13" t="s">
        <v>4895</v>
      </c>
      <c r="Q294" s="14"/>
    </row>
    <row r="295" spans="1:17" x14ac:dyDescent="0.25">
      <c r="A295" s="11" t="s">
        <v>5448</v>
      </c>
      <c r="C295" s="61" t="s">
        <v>1942</v>
      </c>
      <c r="F295" s="14" t="s">
        <v>35</v>
      </c>
      <c r="G295" s="13">
        <v>1</v>
      </c>
      <c r="H295" s="14">
        <f>G295+I295</f>
        <v>1</v>
      </c>
      <c r="J295" s="14">
        <v>1</v>
      </c>
      <c r="K295" s="13" t="s">
        <v>59</v>
      </c>
      <c r="Q295" s="14"/>
    </row>
    <row r="296" spans="1:17" ht="22.5" x14ac:dyDescent="0.25">
      <c r="A296" s="11" t="s">
        <v>5448</v>
      </c>
      <c r="C296" s="61" t="s">
        <v>256</v>
      </c>
      <c r="D296" s="13" t="s">
        <v>813</v>
      </c>
      <c r="E296" s="13" t="s">
        <v>258</v>
      </c>
      <c r="F296" s="14" t="s">
        <v>35</v>
      </c>
      <c r="G296" s="13">
        <v>1</v>
      </c>
      <c r="H296" s="14">
        <f t="shared" si="90"/>
        <v>1</v>
      </c>
      <c r="J296" s="14">
        <v>1</v>
      </c>
      <c r="K296" s="13" t="s">
        <v>4891</v>
      </c>
      <c r="Q296" s="14"/>
    </row>
    <row r="297" spans="1:17" x14ac:dyDescent="0.25">
      <c r="A297" s="11" t="s">
        <v>5448</v>
      </c>
      <c r="C297" s="61" t="s">
        <v>726</v>
      </c>
      <c r="E297" s="13" t="s">
        <v>5671</v>
      </c>
      <c r="F297" s="14" t="s">
        <v>35</v>
      </c>
      <c r="G297" s="13">
        <v>5</v>
      </c>
      <c r="H297" s="14">
        <f t="shared" si="90"/>
        <v>5</v>
      </c>
      <c r="J297" s="14">
        <v>4</v>
      </c>
      <c r="K297" s="13" t="s">
        <v>5680</v>
      </c>
      <c r="Q297" s="14"/>
    </row>
    <row r="298" spans="1:17" x14ac:dyDescent="0.25">
      <c r="A298" s="11" t="s">
        <v>5448</v>
      </c>
      <c r="C298" s="61" t="s">
        <v>5550</v>
      </c>
      <c r="E298" s="13"/>
      <c r="F298" s="14" t="s">
        <v>35</v>
      </c>
      <c r="G298" s="13">
        <v>6</v>
      </c>
      <c r="H298" s="14">
        <f t="shared" ref="H298" si="107">G298+I298</f>
        <v>6</v>
      </c>
      <c r="J298" s="14">
        <v>4</v>
      </c>
      <c r="K298" s="13" t="s">
        <v>5715</v>
      </c>
      <c r="Q298" s="14"/>
    </row>
    <row r="299" spans="1:17" x14ac:dyDescent="0.25">
      <c r="A299" s="11" t="s">
        <v>5448</v>
      </c>
      <c r="C299" s="61" t="s">
        <v>307</v>
      </c>
      <c r="E299" s="13"/>
      <c r="F299" s="14" t="s">
        <v>35</v>
      </c>
      <c r="G299" s="13">
        <v>4</v>
      </c>
      <c r="H299" s="14">
        <f t="shared" si="90"/>
        <v>4</v>
      </c>
      <c r="J299" s="14">
        <v>4</v>
      </c>
      <c r="K299" s="13" t="s">
        <v>5718</v>
      </c>
      <c r="Q299" s="14"/>
    </row>
    <row r="300" spans="1:17" x14ac:dyDescent="0.25">
      <c r="A300" s="11" t="s">
        <v>5448</v>
      </c>
      <c r="C300" s="61" t="s">
        <v>257</v>
      </c>
      <c r="F300" s="14" t="s">
        <v>35</v>
      </c>
      <c r="G300" s="13">
        <v>6</v>
      </c>
      <c r="H300" s="14">
        <f t="shared" ref="H300:H327" si="108">G300+I300</f>
        <v>6</v>
      </c>
      <c r="J300" s="14">
        <v>5</v>
      </c>
      <c r="K300" s="13" t="s">
        <v>5704</v>
      </c>
      <c r="Q300" s="14"/>
    </row>
    <row r="301" spans="1:17" x14ac:dyDescent="0.25">
      <c r="A301" s="11" t="s">
        <v>5448</v>
      </c>
      <c r="C301" s="61" t="s">
        <v>260</v>
      </c>
      <c r="F301" s="14" t="s">
        <v>35</v>
      </c>
      <c r="G301" s="13">
        <v>2</v>
      </c>
      <c r="H301" s="14">
        <f t="shared" si="108"/>
        <v>2</v>
      </c>
      <c r="J301" s="14">
        <v>2</v>
      </c>
      <c r="K301" s="13" t="s">
        <v>5522</v>
      </c>
      <c r="Q301" s="14"/>
    </row>
    <row r="302" spans="1:17" x14ac:dyDescent="0.25">
      <c r="A302" s="11" t="s">
        <v>5448</v>
      </c>
      <c r="C302" s="61" t="s">
        <v>821</v>
      </c>
      <c r="F302" s="14" t="s">
        <v>35</v>
      </c>
      <c r="G302" s="13">
        <v>1</v>
      </c>
      <c r="H302" s="14">
        <f t="shared" si="108"/>
        <v>1</v>
      </c>
      <c r="J302" s="14">
        <v>1</v>
      </c>
      <c r="K302" s="13" t="s">
        <v>74</v>
      </c>
      <c r="Q302" s="14"/>
    </row>
    <row r="303" spans="1:17" x14ac:dyDescent="0.25">
      <c r="A303" s="11" t="s">
        <v>5448</v>
      </c>
      <c r="B303" s="13" t="s">
        <v>394</v>
      </c>
      <c r="C303" s="61" t="s">
        <v>5674</v>
      </c>
      <c r="F303" s="14" t="s">
        <v>35</v>
      </c>
      <c r="G303" s="13">
        <v>1</v>
      </c>
      <c r="H303" s="14">
        <f t="shared" si="108"/>
        <v>1</v>
      </c>
      <c r="J303" s="14">
        <v>1</v>
      </c>
      <c r="K303" s="13" t="s">
        <v>264</v>
      </c>
      <c r="Q303" s="14"/>
    </row>
    <row r="304" spans="1:17" x14ac:dyDescent="0.25">
      <c r="A304" s="11" t="s">
        <v>5448</v>
      </c>
      <c r="B304" s="13" t="s">
        <v>394</v>
      </c>
      <c r="C304" s="61" t="s">
        <v>5675</v>
      </c>
      <c r="F304" s="14" t="s">
        <v>35</v>
      </c>
      <c r="G304" s="13">
        <v>1</v>
      </c>
      <c r="H304" s="14">
        <f t="shared" ref="H304" si="109">G304+I304</f>
        <v>1</v>
      </c>
      <c r="J304" s="14">
        <v>1</v>
      </c>
      <c r="K304" s="13" t="s">
        <v>264</v>
      </c>
      <c r="Q304" s="14"/>
    </row>
    <row r="305" spans="1:17" x14ac:dyDescent="0.25">
      <c r="A305" s="11" t="s">
        <v>5448</v>
      </c>
      <c r="B305" s="13" t="s">
        <v>394</v>
      </c>
      <c r="C305" s="61" t="s">
        <v>5672</v>
      </c>
      <c r="F305" s="14" t="s">
        <v>35</v>
      </c>
      <c r="G305" s="13">
        <v>1</v>
      </c>
      <c r="H305" s="14">
        <f t="shared" ref="H305" si="110">G305+I305</f>
        <v>1</v>
      </c>
      <c r="J305" s="14">
        <v>1</v>
      </c>
      <c r="K305" s="13" t="s">
        <v>264</v>
      </c>
      <c r="Q305" s="14"/>
    </row>
    <row r="306" spans="1:17" x14ac:dyDescent="0.25">
      <c r="A306" s="11" t="s">
        <v>5448</v>
      </c>
      <c r="B306" s="13" t="s">
        <v>394</v>
      </c>
      <c r="C306" s="61" t="s">
        <v>5673</v>
      </c>
      <c r="D306" s="13" t="s">
        <v>5508</v>
      </c>
      <c r="F306" s="14" t="s">
        <v>35</v>
      </c>
      <c r="G306" s="13">
        <v>1</v>
      </c>
      <c r="H306" s="14">
        <f t="shared" ref="H306" si="111">G306+I306</f>
        <v>1</v>
      </c>
      <c r="J306" s="14">
        <v>1</v>
      </c>
      <c r="K306" s="13" t="s">
        <v>264</v>
      </c>
      <c r="Q306" s="14"/>
    </row>
    <row r="307" spans="1:17" x14ac:dyDescent="0.25">
      <c r="A307" s="11" t="s">
        <v>5448</v>
      </c>
      <c r="B307" s="13" t="s">
        <v>394</v>
      </c>
      <c r="C307" s="61" t="s">
        <v>5632</v>
      </c>
      <c r="F307" s="14" t="s">
        <v>35</v>
      </c>
      <c r="G307" s="13">
        <v>1</v>
      </c>
      <c r="H307" s="14">
        <f t="shared" si="108"/>
        <v>1</v>
      </c>
      <c r="J307" s="14">
        <v>1</v>
      </c>
      <c r="K307" s="13" t="s">
        <v>243</v>
      </c>
      <c r="Q307" s="14"/>
    </row>
    <row r="308" spans="1:17" x14ac:dyDescent="0.25">
      <c r="A308" s="11" t="s">
        <v>5448</v>
      </c>
      <c r="B308" s="13" t="s">
        <v>238</v>
      </c>
      <c r="D308" s="13" t="s">
        <v>1940</v>
      </c>
      <c r="E308" s="14" t="s">
        <v>236</v>
      </c>
      <c r="F308" s="14" t="s">
        <v>35</v>
      </c>
      <c r="G308" s="13">
        <v>6</v>
      </c>
      <c r="H308" s="14">
        <f t="shared" si="108"/>
        <v>6</v>
      </c>
      <c r="J308" s="14">
        <v>6</v>
      </c>
      <c r="K308" s="13" t="s">
        <v>5719</v>
      </c>
      <c r="Q308" s="14"/>
    </row>
    <row r="309" spans="1:17" x14ac:dyDescent="0.25">
      <c r="A309" s="11" t="s">
        <v>5448</v>
      </c>
      <c r="B309" s="13" t="s">
        <v>226</v>
      </c>
      <c r="C309" s="61" t="s">
        <v>730</v>
      </c>
      <c r="E309" s="13" t="s">
        <v>730</v>
      </c>
      <c r="F309" s="14" t="s">
        <v>35</v>
      </c>
      <c r="G309" s="13">
        <v>2</v>
      </c>
      <c r="H309" s="14">
        <f t="shared" si="108"/>
        <v>2</v>
      </c>
      <c r="J309" s="14">
        <v>2</v>
      </c>
      <c r="K309" s="13" t="s">
        <v>5646</v>
      </c>
      <c r="Q309" s="14"/>
    </row>
    <row r="310" spans="1:17" x14ac:dyDescent="0.25">
      <c r="A310" s="11" t="s">
        <v>5448</v>
      </c>
      <c r="B310" s="13" t="s">
        <v>226</v>
      </c>
      <c r="C310" s="61" t="s">
        <v>5652</v>
      </c>
      <c r="E310" s="13" t="s">
        <v>730</v>
      </c>
      <c r="F310" s="14" t="s">
        <v>35</v>
      </c>
      <c r="G310" s="13">
        <v>1</v>
      </c>
      <c r="H310" s="14">
        <f t="shared" ref="H310" si="112">G310+I310</f>
        <v>1</v>
      </c>
      <c r="J310" s="14">
        <v>1</v>
      </c>
      <c r="K310" s="13" t="s">
        <v>252</v>
      </c>
      <c r="Q310" s="14"/>
    </row>
    <row r="311" spans="1:17" x14ac:dyDescent="0.25">
      <c r="A311" s="11" t="s">
        <v>5448</v>
      </c>
      <c r="B311" s="13" t="s">
        <v>226</v>
      </c>
      <c r="C311" s="61" t="s">
        <v>5651</v>
      </c>
      <c r="E311" s="13"/>
      <c r="F311" s="14" t="s">
        <v>35</v>
      </c>
      <c r="G311" s="13">
        <v>1</v>
      </c>
      <c r="H311" s="14">
        <f t="shared" si="108"/>
        <v>1</v>
      </c>
      <c r="J311" s="14">
        <v>1</v>
      </c>
      <c r="K311" s="13" t="s">
        <v>5649</v>
      </c>
      <c r="Q311" s="14"/>
    </row>
    <row r="312" spans="1:17" x14ac:dyDescent="0.25">
      <c r="A312" s="11" t="s">
        <v>5448</v>
      </c>
      <c r="B312" s="13" t="s">
        <v>226</v>
      </c>
      <c r="C312" s="61" t="s">
        <v>5647</v>
      </c>
      <c r="E312" s="13"/>
      <c r="F312" s="14" t="s">
        <v>35</v>
      </c>
      <c r="G312" s="13">
        <v>3</v>
      </c>
      <c r="H312" s="14">
        <f t="shared" ref="H312:H313" si="113">G312+I312</f>
        <v>3</v>
      </c>
      <c r="J312" s="14">
        <v>1</v>
      </c>
      <c r="K312" s="13" t="s">
        <v>252</v>
      </c>
      <c r="Q312" s="14"/>
    </row>
    <row r="313" spans="1:17" x14ac:dyDescent="0.25">
      <c r="A313" s="11" t="s">
        <v>5448</v>
      </c>
      <c r="B313" s="13" t="s">
        <v>226</v>
      </c>
      <c r="C313" s="61" t="s">
        <v>5648</v>
      </c>
      <c r="E313" s="13"/>
      <c r="F313" s="14" t="s">
        <v>35</v>
      </c>
      <c r="G313" s="13">
        <v>1</v>
      </c>
      <c r="H313" s="14">
        <f t="shared" si="113"/>
        <v>1</v>
      </c>
      <c r="J313" s="14">
        <v>1</v>
      </c>
      <c r="K313" s="13" t="s">
        <v>5649</v>
      </c>
      <c r="Q313" s="14"/>
    </row>
    <row r="314" spans="1:17" x14ac:dyDescent="0.25">
      <c r="A314" s="11" t="s">
        <v>5448</v>
      </c>
      <c r="B314" s="13" t="s">
        <v>226</v>
      </c>
      <c r="C314" s="61" t="s">
        <v>4043</v>
      </c>
      <c r="E314" s="13"/>
      <c r="F314" s="14" t="s">
        <v>35</v>
      </c>
      <c r="G314" s="13">
        <v>1</v>
      </c>
      <c r="H314" s="14">
        <f t="shared" si="108"/>
        <v>1</v>
      </c>
      <c r="J314" s="14">
        <v>1</v>
      </c>
      <c r="K314" s="13" t="s">
        <v>2343</v>
      </c>
      <c r="Q314" s="14"/>
    </row>
    <row r="315" spans="1:17" x14ac:dyDescent="0.25">
      <c r="A315" s="11" t="s">
        <v>5448</v>
      </c>
      <c r="B315" s="13" t="s">
        <v>676</v>
      </c>
      <c r="D315" s="13" t="s">
        <v>1940</v>
      </c>
      <c r="F315" s="14" t="s">
        <v>35</v>
      </c>
      <c r="G315" s="13">
        <v>4</v>
      </c>
      <c r="H315" s="14">
        <f t="shared" si="108"/>
        <v>4</v>
      </c>
      <c r="J315" s="14">
        <v>4</v>
      </c>
      <c r="K315" s="13" t="s">
        <v>5578</v>
      </c>
      <c r="Q315" s="14"/>
    </row>
    <row r="316" spans="1:17" x14ac:dyDescent="0.25">
      <c r="A316" s="11" t="s">
        <v>5448</v>
      </c>
      <c r="B316" s="13" t="s">
        <v>34</v>
      </c>
      <c r="D316" s="13" t="s">
        <v>1940</v>
      </c>
      <c r="F316" s="14" t="s">
        <v>35</v>
      </c>
      <c r="G316" s="13">
        <v>2</v>
      </c>
      <c r="H316" s="14">
        <f t="shared" si="108"/>
        <v>2</v>
      </c>
      <c r="J316" s="14">
        <v>1</v>
      </c>
      <c r="K316" s="13" t="s">
        <v>5474</v>
      </c>
    </row>
    <row r="317" spans="1:17" x14ac:dyDescent="0.25">
      <c r="A317" s="11" t="s">
        <v>5448</v>
      </c>
      <c r="B317" s="13" t="s">
        <v>975</v>
      </c>
      <c r="C317" s="61" t="s">
        <v>746</v>
      </c>
      <c r="F317" s="14" t="s">
        <v>35</v>
      </c>
      <c r="G317" s="13">
        <v>2</v>
      </c>
      <c r="H317" s="14">
        <f t="shared" si="108"/>
        <v>2</v>
      </c>
      <c r="J317" s="14">
        <v>2</v>
      </c>
      <c r="K317" s="13" t="s">
        <v>5543</v>
      </c>
      <c r="Q317" s="14"/>
    </row>
    <row r="318" spans="1:17" x14ac:dyDescent="0.25">
      <c r="A318" s="11" t="s">
        <v>5448</v>
      </c>
      <c r="B318" s="13" t="s">
        <v>525</v>
      </c>
      <c r="C318" s="61" t="s">
        <v>4147</v>
      </c>
      <c r="F318" s="14" t="s">
        <v>35</v>
      </c>
      <c r="G318" s="13">
        <v>1</v>
      </c>
      <c r="H318" s="14">
        <f t="shared" si="108"/>
        <v>1</v>
      </c>
      <c r="J318" s="14">
        <v>1</v>
      </c>
      <c r="K318" s="13" t="s">
        <v>1036</v>
      </c>
      <c r="Q318" s="14"/>
    </row>
    <row r="319" spans="1:17" x14ac:dyDescent="0.25">
      <c r="A319" s="11" t="s">
        <v>5448</v>
      </c>
      <c r="B319" s="13" t="s">
        <v>319</v>
      </c>
      <c r="C319" s="61" t="s">
        <v>315</v>
      </c>
      <c r="D319" s="13" t="s">
        <v>1940</v>
      </c>
      <c r="F319" s="14" t="s">
        <v>35</v>
      </c>
      <c r="G319" s="13">
        <v>4</v>
      </c>
      <c r="H319" s="14">
        <f t="shared" si="108"/>
        <v>4</v>
      </c>
      <c r="J319" s="14">
        <v>4</v>
      </c>
      <c r="K319" s="13" t="s">
        <v>5579</v>
      </c>
      <c r="Q319" s="14"/>
    </row>
    <row r="320" spans="1:17" x14ac:dyDescent="0.25">
      <c r="A320" s="11" t="s">
        <v>5448</v>
      </c>
      <c r="B320" s="13" t="s">
        <v>1610</v>
      </c>
      <c r="C320" s="61" t="s">
        <v>5676</v>
      </c>
      <c r="F320" s="13" t="s">
        <v>35</v>
      </c>
      <c r="G320" s="13">
        <v>1</v>
      </c>
      <c r="H320" s="14">
        <f t="shared" ref="H320" si="114">G320+I320</f>
        <v>1</v>
      </c>
      <c r="J320" s="14">
        <v>1</v>
      </c>
      <c r="K320" s="13" t="s">
        <v>264</v>
      </c>
    </row>
    <row r="321" spans="1:17" ht="22.5" x14ac:dyDescent="0.25">
      <c r="A321" s="11" t="s">
        <v>5448</v>
      </c>
      <c r="C321" s="61" t="s">
        <v>1801</v>
      </c>
      <c r="F321" s="13" t="s">
        <v>3057</v>
      </c>
      <c r="G321" s="13">
        <v>2</v>
      </c>
      <c r="H321" s="14">
        <f t="shared" si="108"/>
        <v>2</v>
      </c>
      <c r="J321" s="14">
        <v>2</v>
      </c>
      <c r="K321" s="13" t="s">
        <v>5645</v>
      </c>
    </row>
    <row r="322" spans="1:17" s="25" customFormat="1" ht="38.25" customHeight="1" x14ac:dyDescent="0.25">
      <c r="A322" s="11" t="s">
        <v>5448</v>
      </c>
      <c r="B322" s="26"/>
      <c r="C322" s="80" t="s">
        <v>771</v>
      </c>
      <c r="D322" s="26"/>
      <c r="F322" s="25" t="s">
        <v>771</v>
      </c>
      <c r="G322" s="26">
        <v>45</v>
      </c>
      <c r="H322" s="25">
        <f t="shared" si="108"/>
        <v>45</v>
      </c>
      <c r="J322" s="25">
        <v>17</v>
      </c>
      <c r="K322" s="26" t="s">
        <v>5743</v>
      </c>
      <c r="Q322" s="26"/>
    </row>
    <row r="323" spans="1:17" ht="22.5" x14ac:dyDescent="0.25">
      <c r="A323" s="11" t="s">
        <v>5448</v>
      </c>
      <c r="B323" s="13" t="s">
        <v>775</v>
      </c>
      <c r="F323" s="13" t="s">
        <v>776</v>
      </c>
      <c r="G323" s="13">
        <v>3</v>
      </c>
      <c r="H323" s="14">
        <f t="shared" si="108"/>
        <v>3</v>
      </c>
      <c r="J323" s="14">
        <v>2</v>
      </c>
      <c r="K323" s="13" t="s">
        <v>5645</v>
      </c>
    </row>
    <row r="324" spans="1:17" ht="22.5" x14ac:dyDescent="0.25">
      <c r="A324" s="11" t="s">
        <v>5448</v>
      </c>
      <c r="C324" s="61" t="s">
        <v>5650</v>
      </c>
      <c r="F324" s="13" t="s">
        <v>776</v>
      </c>
      <c r="G324" s="13">
        <v>1</v>
      </c>
      <c r="H324" s="14">
        <f t="shared" ref="H324" si="115">G324+I324</f>
        <v>1</v>
      </c>
      <c r="J324" s="14">
        <v>1</v>
      </c>
      <c r="K324" s="13" t="s">
        <v>252</v>
      </c>
    </row>
    <row r="325" spans="1:17" x14ac:dyDescent="0.25">
      <c r="A325" s="11" t="s">
        <v>5448</v>
      </c>
      <c r="B325" s="13" t="s">
        <v>1248</v>
      </c>
      <c r="D325" s="13" t="s">
        <v>1940</v>
      </c>
      <c r="E325" s="14" t="s">
        <v>1220</v>
      </c>
      <c r="F325" s="13" t="s">
        <v>773</v>
      </c>
      <c r="G325" s="13">
        <v>1</v>
      </c>
      <c r="H325" s="14">
        <f t="shared" si="108"/>
        <v>1</v>
      </c>
      <c r="J325" s="14">
        <v>1</v>
      </c>
      <c r="K325" s="13" t="s">
        <v>1789</v>
      </c>
      <c r="Q325" s="14"/>
    </row>
    <row r="326" spans="1:17" x14ac:dyDescent="0.25">
      <c r="A326" s="11" t="s">
        <v>5448</v>
      </c>
      <c r="B326" s="13" t="s">
        <v>793</v>
      </c>
      <c r="D326" s="13" t="s">
        <v>1940</v>
      </c>
      <c r="E326" s="14" t="s">
        <v>793</v>
      </c>
      <c r="F326" s="13" t="s">
        <v>773</v>
      </c>
      <c r="G326" s="13">
        <v>1</v>
      </c>
      <c r="H326" s="14">
        <f t="shared" si="108"/>
        <v>1</v>
      </c>
      <c r="J326" s="14">
        <v>1</v>
      </c>
      <c r="K326" s="13" t="s">
        <v>243</v>
      </c>
      <c r="Q326" s="14"/>
    </row>
    <row r="327" spans="1:17" x14ac:dyDescent="0.25">
      <c r="A327" s="11" t="s">
        <v>5448</v>
      </c>
      <c r="B327" s="13" t="s">
        <v>878</v>
      </c>
      <c r="D327" s="13" t="s">
        <v>1940</v>
      </c>
      <c r="E327" s="14" t="s">
        <v>1220</v>
      </c>
      <c r="F327" s="13" t="s">
        <v>773</v>
      </c>
      <c r="G327" s="13">
        <v>1</v>
      </c>
      <c r="H327" s="14">
        <f t="shared" si="108"/>
        <v>1</v>
      </c>
      <c r="J327" s="14">
        <v>1</v>
      </c>
      <c r="K327" s="13" t="s">
        <v>1789</v>
      </c>
      <c r="Q327" s="14"/>
    </row>
    <row r="328" spans="1:17" x14ac:dyDescent="0.25">
      <c r="A328" s="11" t="s">
        <v>5448</v>
      </c>
      <c r="C328" s="61" t="s">
        <v>5581</v>
      </c>
      <c r="E328" s="13" t="s">
        <v>982</v>
      </c>
      <c r="F328" s="14" t="s">
        <v>771</v>
      </c>
      <c r="G328" s="13">
        <v>1</v>
      </c>
      <c r="H328" s="14">
        <f t="shared" ref="H328" si="116">G328+I328</f>
        <v>1</v>
      </c>
      <c r="J328" s="14">
        <v>1</v>
      </c>
      <c r="K328" s="13" t="s">
        <v>204</v>
      </c>
      <c r="Q328" s="14"/>
    </row>
    <row r="329" spans="1:17" x14ac:dyDescent="0.25">
      <c r="A329" s="11" t="s">
        <v>5448</v>
      </c>
      <c r="E329" s="13" t="s">
        <v>1221</v>
      </c>
      <c r="F329" s="14" t="s">
        <v>771</v>
      </c>
      <c r="G329" s="13">
        <v>2</v>
      </c>
      <c r="H329" s="14">
        <f t="shared" ref="H329:H334" si="117">G329+I329</f>
        <v>2</v>
      </c>
      <c r="J329" s="14">
        <v>2</v>
      </c>
      <c r="K329" s="13" t="s">
        <v>1981</v>
      </c>
      <c r="Q329" s="14"/>
    </row>
    <row r="330" spans="1:17" x14ac:dyDescent="0.25">
      <c r="A330" s="11" t="s">
        <v>5448</v>
      </c>
      <c r="E330" s="14" t="s">
        <v>1947</v>
      </c>
      <c r="F330" s="14" t="s">
        <v>771</v>
      </c>
      <c r="G330" s="13">
        <v>1</v>
      </c>
      <c r="H330" s="14">
        <f t="shared" si="117"/>
        <v>1</v>
      </c>
      <c r="J330" s="14">
        <v>1</v>
      </c>
      <c r="K330" s="13" t="s">
        <v>1789</v>
      </c>
      <c r="Q330" s="14"/>
    </row>
    <row r="331" spans="1:17" x14ac:dyDescent="0.25">
      <c r="A331" s="11" t="s">
        <v>5448</v>
      </c>
      <c r="E331" s="14" t="s">
        <v>1023</v>
      </c>
      <c r="F331" s="14" t="s">
        <v>771</v>
      </c>
      <c r="G331" s="13">
        <v>2</v>
      </c>
      <c r="H331" s="14">
        <f t="shared" si="117"/>
        <v>2</v>
      </c>
      <c r="J331" s="14">
        <v>2</v>
      </c>
      <c r="K331" s="13" t="s">
        <v>1981</v>
      </c>
      <c r="Q331" s="14"/>
    </row>
    <row r="332" spans="1:17" x14ac:dyDescent="0.25">
      <c r="A332" s="11" t="s">
        <v>5448</v>
      </c>
      <c r="E332" s="14" t="s">
        <v>1910</v>
      </c>
      <c r="F332" s="14" t="s">
        <v>771</v>
      </c>
      <c r="G332" s="13">
        <v>2</v>
      </c>
      <c r="H332" s="14">
        <f t="shared" si="117"/>
        <v>2</v>
      </c>
      <c r="J332" s="14">
        <v>2</v>
      </c>
      <c r="K332" s="13" t="s">
        <v>5741</v>
      </c>
      <c r="Q332" s="14"/>
    </row>
    <row r="333" spans="1:17" x14ac:dyDescent="0.25">
      <c r="A333" s="11" t="s">
        <v>5448</v>
      </c>
      <c r="C333" s="61" t="s">
        <v>774</v>
      </c>
      <c r="D333" s="13" t="s">
        <v>1940</v>
      </c>
      <c r="F333" s="14" t="s">
        <v>771</v>
      </c>
      <c r="G333" s="13">
        <v>17</v>
      </c>
      <c r="H333" s="14">
        <f t="shared" si="117"/>
        <v>17</v>
      </c>
      <c r="J333" s="14">
        <v>9</v>
      </c>
      <c r="K333" s="13" t="s">
        <v>5742</v>
      </c>
      <c r="Q333" s="14"/>
    </row>
    <row r="334" spans="1:17" x14ac:dyDescent="0.25">
      <c r="A334" s="11" t="s">
        <v>5448</v>
      </c>
      <c r="B334" s="13" t="s">
        <v>875</v>
      </c>
      <c r="C334" s="61" t="s">
        <v>875</v>
      </c>
      <c r="D334" s="13" t="s">
        <v>1289</v>
      </c>
      <c r="E334" s="14" t="s">
        <v>1290</v>
      </c>
      <c r="F334" s="14" t="s">
        <v>773</v>
      </c>
      <c r="G334" s="14">
        <v>1</v>
      </c>
      <c r="H334" s="14">
        <f t="shared" si="117"/>
        <v>1</v>
      </c>
      <c r="J334" s="14">
        <v>1</v>
      </c>
      <c r="K334" s="13" t="s">
        <v>1789</v>
      </c>
    </row>
    <row r="335" spans="1:17" x14ac:dyDescent="0.25">
      <c r="Q335" s="14"/>
    </row>
    <row r="336" spans="1:17" ht="22.5" x14ac:dyDescent="0.25">
      <c r="B336" s="13" t="s">
        <v>532</v>
      </c>
      <c r="Q336" s="14"/>
    </row>
    <row r="337" spans="1:17" x14ac:dyDescent="0.25">
      <c r="B337" s="13" t="s">
        <v>411</v>
      </c>
      <c r="Q337" s="14"/>
    </row>
    <row r="338" spans="1:17" x14ac:dyDescent="0.25">
      <c r="B338" s="13" t="s">
        <v>297</v>
      </c>
      <c r="C338" s="61">
        <f>H42+H209</f>
        <v>2</v>
      </c>
      <c r="Q338" s="14"/>
    </row>
    <row r="339" spans="1:17" x14ac:dyDescent="0.25">
      <c r="B339" s="13" t="s">
        <v>2249</v>
      </c>
      <c r="Q339" s="14"/>
    </row>
    <row r="340" spans="1:17" x14ac:dyDescent="0.25">
      <c r="B340" s="13" t="s">
        <v>2365</v>
      </c>
      <c r="C340" s="61">
        <f>H43+H189+H237</f>
        <v>4</v>
      </c>
      <c r="Q340" s="14"/>
    </row>
    <row r="341" spans="1:17" x14ac:dyDescent="0.25">
      <c r="B341" s="13" t="s">
        <v>3211</v>
      </c>
      <c r="Q341" s="14"/>
    </row>
    <row r="342" spans="1:17" x14ac:dyDescent="0.25">
      <c r="B342" s="13" t="s">
        <v>76</v>
      </c>
      <c r="C342" s="61">
        <f>SUM(H2:H3)+SUM(H44:H48)</f>
        <v>16</v>
      </c>
      <c r="Q342" s="14"/>
    </row>
    <row r="343" spans="1:17" x14ac:dyDescent="0.25">
      <c r="B343" s="13" t="s">
        <v>1424</v>
      </c>
      <c r="C343" s="61">
        <f>SUM(H49:H51)</f>
        <v>4</v>
      </c>
      <c r="D343" s="14"/>
      <c r="Q343" s="14"/>
    </row>
    <row r="344" spans="1:17" x14ac:dyDescent="0.25">
      <c r="B344" s="13" t="s">
        <v>213</v>
      </c>
      <c r="C344" s="61">
        <f>H52+H193</f>
        <v>3</v>
      </c>
      <c r="D344" s="14"/>
      <c r="Q344" s="14"/>
    </row>
    <row r="345" spans="1:17" x14ac:dyDescent="0.25">
      <c r="B345" s="13" t="s">
        <v>42</v>
      </c>
      <c r="C345" s="61">
        <f>SUM(H53:H57)</f>
        <v>16</v>
      </c>
      <c r="D345" s="14"/>
      <c r="Q345" s="14"/>
    </row>
    <row r="346" spans="1:17" x14ac:dyDescent="0.25">
      <c r="B346" s="13" t="s">
        <v>10</v>
      </c>
      <c r="C346" s="61">
        <f>SUM(H58:H62)</f>
        <v>7</v>
      </c>
      <c r="D346" s="14"/>
      <c r="Q346" s="14"/>
    </row>
    <row r="347" spans="1:17" x14ac:dyDescent="0.25">
      <c r="B347" s="13" t="s">
        <v>126</v>
      </c>
      <c r="C347" s="61">
        <f>SUM(H63:H67)</f>
        <v>14</v>
      </c>
      <c r="Q347" s="14"/>
    </row>
    <row r="348" spans="1:17" x14ac:dyDescent="0.25">
      <c r="B348" s="13" t="s">
        <v>191</v>
      </c>
      <c r="C348" s="61">
        <f>H4+SUM(H68:H74)+H199</f>
        <v>13</v>
      </c>
      <c r="Q348" s="14"/>
    </row>
    <row r="349" spans="1:17" x14ac:dyDescent="0.25">
      <c r="B349" s="13" t="s">
        <v>68</v>
      </c>
      <c r="C349" s="61">
        <f>SUM(H75:H81)+SUM(H104/2)</f>
        <v>15.5</v>
      </c>
      <c r="Q349" s="14"/>
    </row>
    <row r="350" spans="1:17" x14ac:dyDescent="0.25">
      <c r="B350" s="13" t="s">
        <v>674</v>
      </c>
      <c r="C350" s="61">
        <f>H82</f>
        <v>3</v>
      </c>
      <c r="Q350" s="14"/>
    </row>
    <row r="351" spans="1:17" s="79" customFormat="1" x14ac:dyDescent="0.2">
      <c r="A351" s="78"/>
      <c r="B351" s="13" t="s">
        <v>327</v>
      </c>
      <c r="C351" s="61">
        <f>SUM(H83:H94)+H190+SUM(H194:H195)</f>
        <v>33</v>
      </c>
      <c r="D351" s="13"/>
      <c r="E351" s="14"/>
      <c r="F351" s="14"/>
      <c r="G351" s="14"/>
      <c r="H351" s="14"/>
      <c r="I351" s="14"/>
      <c r="J351" s="14"/>
      <c r="K351" s="13"/>
      <c r="L351" s="14"/>
      <c r="M351" s="14"/>
      <c r="N351" s="14"/>
      <c r="O351" s="14"/>
      <c r="P351" s="14"/>
    </row>
    <row r="352" spans="1:17" x14ac:dyDescent="0.2">
      <c r="B352" s="13" t="s">
        <v>209</v>
      </c>
      <c r="C352" s="61">
        <f>H5+SUM(H96:H99)</f>
        <v>9</v>
      </c>
      <c r="L352" s="79"/>
      <c r="M352" s="79"/>
      <c r="N352" s="79"/>
      <c r="O352" s="79"/>
      <c r="P352" s="79"/>
      <c r="Q352" s="14"/>
    </row>
    <row r="353" spans="1:17" x14ac:dyDescent="0.2">
      <c r="B353" s="13" t="s">
        <v>2006</v>
      </c>
      <c r="C353" s="83"/>
      <c r="D353" s="79"/>
      <c r="E353" s="79"/>
      <c r="F353" s="79"/>
      <c r="G353" s="79"/>
      <c r="I353" s="79"/>
      <c r="J353" s="79"/>
      <c r="K353" s="79"/>
      <c r="Q353" s="14"/>
    </row>
    <row r="354" spans="1:17" x14ac:dyDescent="0.2">
      <c r="B354" s="13" t="s">
        <v>3231</v>
      </c>
      <c r="C354" s="83">
        <f>H95</f>
        <v>1</v>
      </c>
      <c r="D354" s="79"/>
      <c r="E354" s="79"/>
      <c r="F354" s="79"/>
      <c r="G354" s="79"/>
      <c r="I354" s="79"/>
      <c r="J354" s="79"/>
      <c r="K354" s="79"/>
      <c r="Q354" s="14"/>
    </row>
    <row r="355" spans="1:17" x14ac:dyDescent="0.25">
      <c r="B355" s="13" t="s">
        <v>64</v>
      </c>
      <c r="C355" s="61">
        <f>SUM(H100:H103)</f>
        <v>6</v>
      </c>
      <c r="D355" s="14"/>
      <c r="K355" s="14"/>
      <c r="Q355" s="14"/>
    </row>
    <row r="356" spans="1:17" x14ac:dyDescent="0.25">
      <c r="B356" s="13" t="s">
        <v>261</v>
      </c>
      <c r="C356" s="61">
        <f>SUM(H104/2)+SUM(H105:H106)+SUM(H173/2)+H219</f>
        <v>4</v>
      </c>
      <c r="D356" s="14"/>
      <c r="K356" s="14"/>
      <c r="Q356" s="14"/>
    </row>
    <row r="357" spans="1:17" x14ac:dyDescent="0.25">
      <c r="B357" s="13" t="s">
        <v>1346</v>
      </c>
      <c r="C357" s="61">
        <f>H107</f>
        <v>1</v>
      </c>
      <c r="D357" s="14"/>
      <c r="K357" s="14"/>
      <c r="Q357" s="14"/>
    </row>
    <row r="358" spans="1:17" x14ac:dyDescent="0.25">
      <c r="A358" s="14"/>
      <c r="B358" s="13" t="s">
        <v>705</v>
      </c>
      <c r="C358" s="61">
        <f>SUM(H108:H109)</f>
        <v>2</v>
      </c>
      <c r="D358" s="14"/>
      <c r="K358" s="14"/>
      <c r="Q358" s="14"/>
    </row>
    <row r="359" spans="1:17" x14ac:dyDescent="0.25">
      <c r="A359" s="14"/>
      <c r="B359" s="13" t="s">
        <v>134</v>
      </c>
      <c r="D359" s="14"/>
      <c r="K359" s="14"/>
      <c r="Q359" s="14"/>
    </row>
    <row r="360" spans="1:17" x14ac:dyDescent="0.25">
      <c r="A360" s="14"/>
      <c r="B360" s="13" t="s">
        <v>283</v>
      </c>
      <c r="C360" s="61">
        <f>SUM(H110:H118)+SUM(H217:H218)+H241</f>
        <v>30</v>
      </c>
      <c r="D360" s="14"/>
      <c r="K360" s="14"/>
      <c r="Q360" s="14"/>
    </row>
    <row r="361" spans="1:17" x14ac:dyDescent="0.25">
      <c r="A361" s="14"/>
      <c r="B361" s="13" t="s">
        <v>430</v>
      </c>
      <c r="C361" s="61">
        <f>SUM(H119:H122)</f>
        <v>5</v>
      </c>
      <c r="D361" s="14"/>
      <c r="K361" s="14"/>
      <c r="Q361" s="14"/>
    </row>
    <row r="362" spans="1:17" x14ac:dyDescent="0.25">
      <c r="A362" s="14"/>
      <c r="B362" s="13" t="s">
        <v>1933</v>
      </c>
      <c r="D362" s="14"/>
      <c r="K362" s="14"/>
      <c r="Q362" s="14"/>
    </row>
    <row r="363" spans="1:17" x14ac:dyDescent="0.25">
      <c r="A363" s="14"/>
      <c r="B363" s="13" t="s">
        <v>328</v>
      </c>
      <c r="C363" s="61">
        <f>SUM(H123:H135)</f>
        <v>27</v>
      </c>
      <c r="D363" s="14"/>
      <c r="K363" s="14"/>
      <c r="Q363" s="14"/>
    </row>
    <row r="364" spans="1:17" x14ac:dyDescent="0.25">
      <c r="A364" s="14"/>
      <c r="B364" s="13" t="s">
        <v>3201</v>
      </c>
      <c r="D364" s="14"/>
      <c r="K364" s="14"/>
      <c r="Q364" s="14"/>
    </row>
    <row r="365" spans="1:17" x14ac:dyDescent="0.25">
      <c r="A365" s="14"/>
      <c r="B365" s="13" t="s">
        <v>2391</v>
      </c>
      <c r="C365" s="61">
        <f>H136+H242</f>
        <v>2</v>
      </c>
      <c r="D365" s="14"/>
      <c r="K365" s="14"/>
      <c r="Q365" s="14"/>
    </row>
    <row r="366" spans="1:17" x14ac:dyDescent="0.25">
      <c r="A366" s="14"/>
      <c r="B366" s="13" t="s">
        <v>483</v>
      </c>
      <c r="C366" s="61">
        <f>SUM(H137:H138)</f>
        <v>7</v>
      </c>
      <c r="D366" s="14"/>
      <c r="K366" s="14"/>
      <c r="Q366" s="14"/>
    </row>
    <row r="367" spans="1:17" x14ac:dyDescent="0.25">
      <c r="A367" s="14"/>
      <c r="B367" s="13" t="s">
        <v>2674</v>
      </c>
      <c r="D367" s="14"/>
      <c r="K367" s="14"/>
      <c r="Q367" s="14"/>
    </row>
    <row r="368" spans="1:17" x14ac:dyDescent="0.25">
      <c r="A368" s="14"/>
      <c r="B368" s="13" t="s">
        <v>2091</v>
      </c>
      <c r="D368" s="14"/>
      <c r="K368" s="14"/>
      <c r="Q368" s="14"/>
    </row>
    <row r="369" spans="1:17" x14ac:dyDescent="0.25">
      <c r="A369" s="14"/>
      <c r="B369" s="13" t="s">
        <v>78</v>
      </c>
      <c r="C369" s="61">
        <f>H6+SUM(H139:H144)</f>
        <v>10</v>
      </c>
      <c r="D369" s="14"/>
      <c r="K369" s="14"/>
      <c r="Q369" s="14"/>
    </row>
    <row r="370" spans="1:17" x14ac:dyDescent="0.25">
      <c r="A370" s="14"/>
      <c r="B370" s="13" t="s">
        <v>206</v>
      </c>
      <c r="C370" s="61">
        <f>H7+SUM(H145:H148)</f>
        <v>10</v>
      </c>
      <c r="D370" s="14"/>
      <c r="K370" s="14"/>
      <c r="Q370" s="14"/>
    </row>
    <row r="371" spans="1:17" x14ac:dyDescent="0.25">
      <c r="A371" s="14"/>
      <c r="B371" s="13" t="s">
        <v>46</v>
      </c>
      <c r="C371" s="61">
        <f>H8+SUM(H151:H152)</f>
        <v>11</v>
      </c>
      <c r="D371" s="14"/>
      <c r="K371" s="14"/>
      <c r="Q371" s="14"/>
    </row>
    <row r="372" spans="1:17" x14ac:dyDescent="0.25">
      <c r="A372" s="14"/>
      <c r="B372" s="13" t="s">
        <v>2617</v>
      </c>
      <c r="C372" s="61">
        <f>H149+SUM(H150/2)</f>
        <v>3.5</v>
      </c>
      <c r="D372" s="14"/>
      <c r="K372" s="14"/>
      <c r="Q372" s="14"/>
    </row>
    <row r="373" spans="1:17" x14ac:dyDescent="0.25">
      <c r="A373" s="14"/>
      <c r="B373" s="13" t="s">
        <v>62</v>
      </c>
      <c r="C373" s="61">
        <f>H9+SUM(H150/2)+H153</f>
        <v>7.5</v>
      </c>
      <c r="D373" s="14"/>
      <c r="K373" s="14"/>
      <c r="Q373" s="14"/>
    </row>
    <row r="374" spans="1:17" x14ac:dyDescent="0.25">
      <c r="A374" s="14"/>
      <c r="B374" s="13" t="s">
        <v>3137</v>
      </c>
      <c r="D374" s="14"/>
      <c r="K374" s="14"/>
      <c r="Q374" s="14"/>
    </row>
    <row r="375" spans="1:17" x14ac:dyDescent="0.25">
      <c r="A375" s="14"/>
      <c r="B375" s="13" t="s">
        <v>82</v>
      </c>
      <c r="C375" s="61">
        <f>SUM(H154:H159)</f>
        <v>9</v>
      </c>
      <c r="D375" s="14"/>
      <c r="K375" s="14"/>
      <c r="Q375" s="14"/>
    </row>
    <row r="376" spans="1:17" x14ac:dyDescent="0.25">
      <c r="A376" s="14"/>
      <c r="B376" s="13" t="s">
        <v>22</v>
      </c>
      <c r="C376" s="61">
        <f>SUM(H10:H11)+H160+SUM(H207:H208)</f>
        <v>10</v>
      </c>
      <c r="D376" s="14"/>
      <c r="K376" s="14"/>
      <c r="Q376" s="14"/>
    </row>
    <row r="377" spans="1:17" x14ac:dyDescent="0.25">
      <c r="A377" s="14"/>
      <c r="B377" s="13" t="s">
        <v>446</v>
      </c>
      <c r="D377" s="14"/>
      <c r="K377" s="14"/>
      <c r="Q377" s="14"/>
    </row>
    <row r="378" spans="1:17" x14ac:dyDescent="0.25">
      <c r="A378" s="14"/>
      <c r="B378" s="13" t="s">
        <v>609</v>
      </c>
      <c r="C378" s="61">
        <f>H12+SUM(H161:H163)</f>
        <v>5</v>
      </c>
      <c r="D378" s="14"/>
      <c r="K378" s="14"/>
      <c r="Q378" s="14"/>
    </row>
    <row r="379" spans="1:17" x14ac:dyDescent="0.25">
      <c r="A379" s="14"/>
      <c r="B379" s="13" t="s">
        <v>699</v>
      </c>
      <c r="C379" s="61">
        <f>H164</f>
        <v>1</v>
      </c>
      <c r="D379" s="14"/>
      <c r="K379" s="14"/>
      <c r="Q379" s="14"/>
    </row>
    <row r="380" spans="1:17" x14ac:dyDescent="0.25">
      <c r="A380" s="14"/>
      <c r="B380" s="13" t="s">
        <v>93</v>
      </c>
      <c r="C380" s="61">
        <f>SUM(H13:H14)+SUM(H165:H167)+H216</f>
        <v>11</v>
      </c>
      <c r="D380" s="14"/>
      <c r="K380" s="14"/>
      <c r="Q380" s="14"/>
    </row>
    <row r="381" spans="1:17" x14ac:dyDescent="0.25">
      <c r="A381" s="14"/>
      <c r="B381" s="13" t="s">
        <v>1731</v>
      </c>
      <c r="C381" s="61">
        <f>SUM(H168:H169)</f>
        <v>3</v>
      </c>
      <c r="D381" s="14"/>
      <c r="K381" s="14"/>
      <c r="Q381" s="14"/>
    </row>
    <row r="382" spans="1:17" x14ac:dyDescent="0.25">
      <c r="A382" s="14"/>
      <c r="B382" s="13" t="s">
        <v>50</v>
      </c>
      <c r="D382" s="14"/>
      <c r="K382" s="14"/>
      <c r="Q382" s="14"/>
    </row>
    <row r="383" spans="1:17" x14ac:dyDescent="0.25">
      <c r="A383" s="14"/>
      <c r="B383" s="13" t="s">
        <v>24</v>
      </c>
      <c r="C383" s="61">
        <f>SUM(H15:H18)+SUM(H170:H172)+SUM(H173/2)</f>
        <v>25.5</v>
      </c>
      <c r="D383" s="14"/>
      <c r="K383" s="14"/>
      <c r="Q383" s="14"/>
    </row>
    <row r="384" spans="1:17" ht="23.25" customHeight="1" x14ac:dyDescent="0.25">
      <c r="A384" s="14"/>
      <c r="B384" s="13" t="s">
        <v>3208</v>
      </c>
      <c r="D384" s="14"/>
      <c r="K384" s="14"/>
      <c r="Q384" s="14"/>
    </row>
    <row r="385" spans="1:17" ht="14.25" customHeight="1" x14ac:dyDescent="0.25">
      <c r="A385" s="14"/>
      <c r="B385" s="13" t="s">
        <v>5663</v>
      </c>
      <c r="C385" s="61">
        <f>H174</f>
        <v>2</v>
      </c>
      <c r="D385" s="14"/>
      <c r="K385" s="14"/>
      <c r="Q385" s="14"/>
    </row>
    <row r="386" spans="1:17" x14ac:dyDescent="0.25">
      <c r="A386" s="14"/>
      <c r="B386" s="13" t="s">
        <v>139</v>
      </c>
      <c r="C386" s="61">
        <f>SUM(H176:H179)+H191</f>
        <v>17</v>
      </c>
      <c r="D386" s="14"/>
      <c r="K386" s="14"/>
      <c r="Q386" s="14"/>
    </row>
    <row r="387" spans="1:17" x14ac:dyDescent="0.25">
      <c r="A387" s="14"/>
      <c r="B387" s="13" t="s">
        <v>269</v>
      </c>
      <c r="C387" s="61">
        <f>SUM(H180:H186)+H192</f>
        <v>13</v>
      </c>
      <c r="D387" s="14"/>
      <c r="K387" s="14"/>
      <c r="Q387" s="14"/>
    </row>
    <row r="388" spans="1:17" x14ac:dyDescent="0.25">
      <c r="A388" s="14"/>
      <c r="B388" s="13" t="s">
        <v>2384</v>
      </c>
      <c r="D388" s="14"/>
      <c r="K388" s="14"/>
      <c r="Q388" s="14"/>
    </row>
    <row r="389" spans="1:17" x14ac:dyDescent="0.25">
      <c r="A389" s="14"/>
      <c r="B389" s="13" t="s">
        <v>2079</v>
      </c>
      <c r="C389" s="61">
        <f>H187</f>
        <v>1</v>
      </c>
      <c r="D389" s="14"/>
      <c r="K389" s="14"/>
      <c r="Q389" s="14"/>
    </row>
    <row r="390" spans="1:17" x14ac:dyDescent="0.25">
      <c r="A390" s="14"/>
      <c r="B390" s="13" t="s">
        <v>4886</v>
      </c>
      <c r="C390" s="61">
        <f>H175+H188</f>
        <v>15</v>
      </c>
      <c r="D390" s="14"/>
      <c r="K390" s="14"/>
      <c r="Q390" s="14"/>
    </row>
    <row r="391" spans="1:17" x14ac:dyDescent="0.25">
      <c r="A391" s="14"/>
      <c r="B391" s="13" t="s">
        <v>718</v>
      </c>
      <c r="C391" s="61">
        <f>H227</f>
        <v>16</v>
      </c>
      <c r="D391" s="14"/>
      <c r="K391" s="14"/>
      <c r="Q391" s="14"/>
    </row>
    <row r="392" spans="1:17" x14ac:dyDescent="0.25">
      <c r="A392" s="14"/>
      <c r="B392" s="13" t="s">
        <v>1682</v>
      </c>
      <c r="D392" s="14"/>
      <c r="K392" s="14"/>
      <c r="Q392" s="14"/>
    </row>
    <row r="393" spans="1:17" x14ac:dyDescent="0.25">
      <c r="A393" s="14"/>
      <c r="B393" s="13" t="s">
        <v>3596</v>
      </c>
      <c r="D393" s="14"/>
      <c r="K393" s="14"/>
      <c r="Q393" s="14"/>
    </row>
    <row r="394" spans="1:17" x14ac:dyDescent="0.25">
      <c r="A394" s="14"/>
      <c r="B394" s="13" t="s">
        <v>742</v>
      </c>
      <c r="C394" s="61">
        <f>H228</f>
        <v>3</v>
      </c>
      <c r="D394" s="14"/>
      <c r="K394" s="14"/>
      <c r="Q394" s="14"/>
    </row>
    <row r="395" spans="1:17" x14ac:dyDescent="0.25">
      <c r="A395" s="14"/>
      <c r="C395" s="61">
        <f>SUM(C336:C394)</f>
        <v>398</v>
      </c>
      <c r="D395" s="14"/>
      <c r="K395" s="14"/>
      <c r="Q395" s="14"/>
    </row>
    <row r="396" spans="1:17" x14ac:dyDescent="0.25">
      <c r="A396" s="14"/>
      <c r="B396" s="12" t="s">
        <v>11</v>
      </c>
      <c r="C396" s="61">
        <f>SUM(C397:C401)+H21+SUM(H24:H26)+SUM(H29:H30)+SUM(H36:H37)+SUM(H200:H202)+H226+SUM(H288/2)</f>
        <v>544</v>
      </c>
      <c r="D396" s="14"/>
      <c r="K396" s="14"/>
      <c r="Q396" s="14"/>
    </row>
    <row r="397" spans="1:17" x14ac:dyDescent="0.25">
      <c r="A397" s="14"/>
      <c r="B397" s="13" t="s">
        <v>663</v>
      </c>
      <c r="C397" s="61">
        <f>C344+C350+C363+C371+C381+C390+C386+C387+SUM(H203/2)+SUM(H204/2)</f>
        <v>94.5</v>
      </c>
      <c r="D397" s="14"/>
      <c r="K397" s="14"/>
      <c r="Q397" s="14"/>
    </row>
    <row r="398" spans="1:17" x14ac:dyDescent="0.25">
      <c r="A398" s="14"/>
      <c r="B398" s="13" t="s">
        <v>664</v>
      </c>
      <c r="C398" s="61">
        <f>C343+C346+C361+C366+C391+SUM(H203/2)+SUM(H238/2)</f>
        <v>41</v>
      </c>
      <c r="D398" s="14"/>
      <c r="K398" s="14"/>
      <c r="Q398" s="14"/>
    </row>
    <row r="399" spans="1:17" x14ac:dyDescent="0.25">
      <c r="A399" s="14"/>
      <c r="B399" s="13" t="s">
        <v>271</v>
      </c>
      <c r="C399" s="61">
        <f>C351+C352+C356+C358+C360+C365+C369+C378+C379+C380+SUM(H196:H198)+SUM(H204/2)+SUM(H210:H215)/2+SUM(H220:H223)/2+SUM(H233:H235)</f>
        <v>154</v>
      </c>
      <c r="D399" s="14"/>
      <c r="K399" s="14"/>
      <c r="Q399" s="14"/>
    </row>
    <row r="400" spans="1:17" x14ac:dyDescent="0.25">
      <c r="A400" s="14"/>
      <c r="B400" s="13" t="s">
        <v>144</v>
      </c>
      <c r="C400" s="61">
        <f>C340+C345+C348+C349+C355+C357+C376+C383+C394+SUM(H210:H215)/2+SUM(H220:H223)/2+H236+SUM(H238/2)+SUM(H239:H240)+SUM(H243:H247)/2+H248</f>
        <v>128.5</v>
      </c>
      <c r="D400" s="14"/>
      <c r="K400" s="14"/>
      <c r="Q400" s="14"/>
    </row>
    <row r="401" spans="1:17" x14ac:dyDescent="0.25">
      <c r="A401" s="14"/>
      <c r="B401" s="13" t="s">
        <v>666</v>
      </c>
      <c r="C401" s="61">
        <f>C338+C342+C347+C354+C370+C372+C373+C375+C389+C385+SUM(H205:H206)+SUM(H230:H232)</f>
        <v>83</v>
      </c>
      <c r="D401" s="14"/>
      <c r="K401" s="14"/>
      <c r="Q401" s="14"/>
    </row>
    <row r="402" spans="1:17" x14ac:dyDescent="0.25">
      <c r="D402" s="14"/>
      <c r="K402" s="14"/>
      <c r="Q402" s="14"/>
    </row>
    <row r="403" spans="1:17" x14ac:dyDescent="0.25">
      <c r="B403" s="13" t="s">
        <v>231</v>
      </c>
      <c r="C403" s="61">
        <f>SUM(H293:H294)</f>
        <v>2</v>
      </c>
      <c r="D403" s="14"/>
      <c r="K403" s="14"/>
      <c r="Q403" s="14"/>
    </row>
    <row r="404" spans="1:17" x14ac:dyDescent="0.25">
      <c r="B404" s="13" t="s">
        <v>995</v>
      </c>
      <c r="D404" s="14"/>
      <c r="K404" s="14"/>
      <c r="Q404" s="14"/>
    </row>
    <row r="405" spans="1:17" x14ac:dyDescent="0.25">
      <c r="B405" s="13" t="s">
        <v>953</v>
      </c>
      <c r="D405" s="14"/>
      <c r="K405" s="14"/>
      <c r="Q405" s="14"/>
    </row>
    <row r="406" spans="1:17" x14ac:dyDescent="0.25">
      <c r="B406" s="13" t="s">
        <v>1608</v>
      </c>
      <c r="D406" s="14"/>
      <c r="K406" s="14"/>
      <c r="Q406" s="14"/>
    </row>
    <row r="407" spans="1:17" x14ac:dyDescent="0.25">
      <c r="B407" s="13" t="s">
        <v>394</v>
      </c>
      <c r="C407" s="61">
        <f>SUM(H303:H307)</f>
        <v>5</v>
      </c>
      <c r="D407" s="14"/>
      <c r="K407" s="14"/>
      <c r="Q407" s="14"/>
    </row>
    <row r="408" spans="1:17" x14ac:dyDescent="0.25">
      <c r="B408" s="13" t="s">
        <v>238</v>
      </c>
      <c r="C408" s="61">
        <f>H308</f>
        <v>6</v>
      </c>
      <c r="D408" s="14"/>
      <c r="K408" s="14"/>
      <c r="Q408" s="14"/>
    </row>
    <row r="409" spans="1:17" s="79" customFormat="1" x14ac:dyDescent="0.2">
      <c r="A409" s="78"/>
      <c r="B409" s="13" t="s">
        <v>226</v>
      </c>
      <c r="C409" s="61">
        <f>SUM(H309:H314)</f>
        <v>9</v>
      </c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</row>
    <row r="410" spans="1:17" s="79" customFormat="1" x14ac:dyDescent="0.2">
      <c r="A410" s="78"/>
      <c r="B410" s="13" t="s">
        <v>1641</v>
      </c>
      <c r="C410" s="61"/>
      <c r="D410" s="14"/>
      <c r="E410" s="14"/>
      <c r="F410" s="14"/>
      <c r="G410" s="14"/>
      <c r="H410" s="14"/>
      <c r="I410" s="14"/>
      <c r="J410" s="14"/>
      <c r="K410" s="14"/>
    </row>
    <row r="411" spans="1:17" s="79" customFormat="1" x14ac:dyDescent="0.2">
      <c r="A411" s="78"/>
      <c r="B411" s="13" t="s">
        <v>998</v>
      </c>
      <c r="C411" s="83"/>
      <c r="H411" s="14"/>
    </row>
    <row r="412" spans="1:17" x14ac:dyDescent="0.2">
      <c r="B412" s="13" t="s">
        <v>407</v>
      </c>
      <c r="C412" s="83"/>
      <c r="D412" s="79"/>
      <c r="E412" s="79"/>
      <c r="F412" s="79"/>
      <c r="G412" s="79"/>
      <c r="I412" s="79"/>
      <c r="J412" s="79"/>
      <c r="K412" s="79"/>
      <c r="L412" s="79"/>
      <c r="M412" s="79"/>
      <c r="N412" s="79"/>
      <c r="O412" s="79"/>
      <c r="P412" s="79"/>
      <c r="Q412" s="14"/>
    </row>
    <row r="413" spans="1:17" x14ac:dyDescent="0.2">
      <c r="B413" s="13" t="s">
        <v>1612</v>
      </c>
      <c r="C413" s="83"/>
      <c r="D413" s="79"/>
      <c r="E413" s="79"/>
      <c r="F413" s="79"/>
      <c r="G413" s="79"/>
      <c r="H413" s="79"/>
      <c r="I413" s="79"/>
      <c r="J413" s="79"/>
      <c r="K413" s="79"/>
      <c r="Q413" s="14"/>
    </row>
    <row r="414" spans="1:17" x14ac:dyDescent="0.2">
      <c r="B414" s="13" t="s">
        <v>86</v>
      </c>
      <c r="D414" s="14"/>
      <c r="H414" s="79"/>
      <c r="K414" s="14"/>
      <c r="Q414" s="14"/>
    </row>
    <row r="415" spans="1:17" x14ac:dyDescent="0.2">
      <c r="B415" s="13" t="s">
        <v>676</v>
      </c>
      <c r="C415" s="61">
        <f>H315</f>
        <v>4</v>
      </c>
      <c r="D415" s="14"/>
      <c r="H415" s="79"/>
      <c r="K415" s="14"/>
      <c r="Q415" s="14"/>
    </row>
    <row r="416" spans="1:17" x14ac:dyDescent="0.25">
      <c r="B416" s="13" t="s">
        <v>975</v>
      </c>
      <c r="C416" s="61">
        <f>H317</f>
        <v>2</v>
      </c>
      <c r="D416" s="14"/>
      <c r="K416" s="14"/>
      <c r="Q416" s="14"/>
    </row>
    <row r="417" spans="1:17" x14ac:dyDescent="0.25">
      <c r="B417" s="13" t="s">
        <v>249</v>
      </c>
      <c r="D417" s="14"/>
      <c r="K417" s="14"/>
      <c r="Q417" s="14"/>
    </row>
    <row r="418" spans="1:17" x14ac:dyDescent="0.25">
      <c r="B418" s="13" t="s">
        <v>1709</v>
      </c>
      <c r="D418" s="14"/>
      <c r="K418" s="14"/>
      <c r="Q418" s="14"/>
    </row>
    <row r="419" spans="1:17" x14ac:dyDescent="0.25">
      <c r="A419" s="14"/>
      <c r="B419" s="13" t="s">
        <v>426</v>
      </c>
      <c r="D419" s="14"/>
      <c r="K419" s="14"/>
      <c r="Q419" s="14"/>
    </row>
    <row r="420" spans="1:17" x14ac:dyDescent="0.25">
      <c r="A420" s="14"/>
      <c r="B420" s="13" t="s">
        <v>34</v>
      </c>
      <c r="C420" s="61">
        <f>H316</f>
        <v>2</v>
      </c>
      <c r="D420" s="14"/>
      <c r="K420" s="14"/>
      <c r="Q420" s="14"/>
    </row>
    <row r="421" spans="1:17" x14ac:dyDescent="0.25">
      <c r="A421" s="14"/>
      <c r="B421" s="13" t="s">
        <v>99</v>
      </c>
      <c r="D421" s="14"/>
      <c r="K421" s="14"/>
      <c r="Q421" s="14"/>
    </row>
    <row r="422" spans="1:17" x14ac:dyDescent="0.25">
      <c r="A422" s="14"/>
      <c r="B422" s="13" t="s">
        <v>3857</v>
      </c>
      <c r="D422" s="14"/>
      <c r="K422" s="14"/>
      <c r="Q422" s="14"/>
    </row>
    <row r="423" spans="1:17" x14ac:dyDescent="0.25">
      <c r="A423" s="14"/>
      <c r="B423" s="13" t="s">
        <v>170</v>
      </c>
      <c r="D423" s="14"/>
      <c r="K423" s="14"/>
      <c r="Q423" s="14"/>
    </row>
    <row r="424" spans="1:17" x14ac:dyDescent="0.25">
      <c r="A424" s="14"/>
      <c r="B424" s="13" t="s">
        <v>1694</v>
      </c>
      <c r="D424" s="14"/>
      <c r="K424" s="14"/>
      <c r="Q424" s="14"/>
    </row>
    <row r="425" spans="1:17" x14ac:dyDescent="0.25">
      <c r="A425" s="14"/>
      <c r="B425" s="13" t="s">
        <v>1031</v>
      </c>
      <c r="C425" s="61">
        <f>H318</f>
        <v>1</v>
      </c>
      <c r="D425" s="14"/>
      <c r="K425" s="14"/>
      <c r="Q425" s="14"/>
    </row>
    <row r="426" spans="1:17" x14ac:dyDescent="0.25">
      <c r="A426" s="14"/>
      <c r="B426" s="13" t="s">
        <v>319</v>
      </c>
      <c r="C426" s="61">
        <f>H319</f>
        <v>4</v>
      </c>
      <c r="D426" s="14"/>
      <c r="K426" s="14"/>
      <c r="Q426" s="14"/>
    </row>
    <row r="427" spans="1:17" x14ac:dyDescent="0.25">
      <c r="A427" s="14"/>
      <c r="B427" s="13" t="s">
        <v>1606</v>
      </c>
      <c r="D427" s="14"/>
      <c r="K427" s="14"/>
      <c r="Q427" s="14"/>
    </row>
    <row r="428" spans="1:17" x14ac:dyDescent="0.25">
      <c r="A428" s="14"/>
      <c r="B428" s="13" t="s">
        <v>1610</v>
      </c>
      <c r="C428" s="61">
        <f>H320</f>
        <v>1</v>
      </c>
      <c r="D428" s="14"/>
      <c r="K428" s="14"/>
      <c r="Q428" s="14"/>
    </row>
    <row r="429" spans="1:17" x14ac:dyDescent="0.25">
      <c r="A429" s="14"/>
      <c r="B429" s="13" t="s">
        <v>709</v>
      </c>
      <c r="D429" s="14"/>
      <c r="K429" s="14"/>
      <c r="Q429" s="14"/>
    </row>
    <row r="430" spans="1:17" x14ac:dyDescent="0.25">
      <c r="A430" s="14"/>
      <c r="B430" s="13" t="s">
        <v>743</v>
      </c>
      <c r="D430" s="14"/>
      <c r="K430" s="14"/>
      <c r="Q430" s="14"/>
    </row>
    <row r="431" spans="1:17" x14ac:dyDescent="0.25">
      <c r="A431" s="14"/>
      <c r="B431" s="13" t="s">
        <v>167</v>
      </c>
      <c r="D431" s="14"/>
      <c r="K431" s="14"/>
      <c r="Q431" s="14"/>
    </row>
    <row r="432" spans="1:17" x14ac:dyDescent="0.25">
      <c r="A432" s="14"/>
      <c r="B432" s="13" t="s">
        <v>522</v>
      </c>
      <c r="D432" s="14"/>
      <c r="K432" s="14"/>
      <c r="Q432" s="14"/>
    </row>
    <row r="433" spans="1:17" x14ac:dyDescent="0.25">
      <c r="A433" s="14"/>
      <c r="B433" s="13" t="s">
        <v>1594</v>
      </c>
      <c r="D433" s="14"/>
      <c r="K433" s="14"/>
      <c r="Q433" s="14"/>
    </row>
    <row r="434" spans="1:17" x14ac:dyDescent="0.25">
      <c r="A434" s="14"/>
      <c r="B434" s="13" t="s">
        <v>1347</v>
      </c>
      <c r="D434" s="14"/>
      <c r="K434" s="14"/>
      <c r="Q434" s="14"/>
    </row>
    <row r="435" spans="1:17" x14ac:dyDescent="0.25">
      <c r="A435" s="14"/>
      <c r="B435" s="12" t="s">
        <v>35</v>
      </c>
      <c r="C435" s="61">
        <f>SUM(C436:C440)+SUM(H31:H32)+H39+H287+SUM(H288/2)+H291+SUM(H321/2)</f>
        <v>90</v>
      </c>
      <c r="D435" s="14"/>
      <c r="K435" s="14"/>
      <c r="Q435" s="14"/>
    </row>
    <row r="436" spans="1:17" x14ac:dyDescent="0.25">
      <c r="A436" s="14"/>
      <c r="B436" s="13" t="s">
        <v>667</v>
      </c>
      <c r="C436" s="61">
        <f>C403+C408+C415+C420+C425+C426+SUM(H289:H290)+H300</f>
        <v>27</v>
      </c>
      <c r="D436" s="14"/>
      <c r="K436" s="14"/>
      <c r="Q436" s="14"/>
    </row>
    <row r="437" spans="1:17" x14ac:dyDescent="0.25">
      <c r="A437" s="14"/>
      <c r="B437" s="13" t="s">
        <v>668</v>
      </c>
      <c r="C437" s="61">
        <f>C407+C409+H292+SUM(H299/2)+H302</f>
        <v>18</v>
      </c>
      <c r="D437" s="14"/>
      <c r="K437" s="14"/>
      <c r="Q437" s="14"/>
    </row>
    <row r="438" spans="1:17" x14ac:dyDescent="0.25">
      <c r="A438" s="14"/>
      <c r="B438" s="13" t="s">
        <v>669</v>
      </c>
      <c r="C438" s="61">
        <f>H301</f>
        <v>2</v>
      </c>
      <c r="D438" s="14"/>
      <c r="K438" s="14"/>
      <c r="Q438" s="14"/>
    </row>
    <row r="439" spans="1:17" x14ac:dyDescent="0.25">
      <c r="A439" s="14"/>
      <c r="B439" s="13" t="s">
        <v>670</v>
      </c>
      <c r="C439" s="61">
        <f>C416+SUM(H295:H298)+SUM(H299/2)</f>
        <v>17</v>
      </c>
      <c r="D439" s="14"/>
      <c r="K439" s="14"/>
      <c r="Q439" s="14"/>
    </row>
    <row r="440" spans="1:17" x14ac:dyDescent="0.25">
      <c r="A440" s="14"/>
      <c r="B440" s="13" t="s">
        <v>666</v>
      </c>
      <c r="C440" s="61">
        <f>C428</f>
        <v>1</v>
      </c>
      <c r="D440" s="14"/>
      <c r="K440" s="14"/>
      <c r="Q440" s="14"/>
    </row>
    <row r="441" spans="1:17" x14ac:dyDescent="0.25">
      <c r="A441" s="14"/>
      <c r="D441" s="14"/>
      <c r="K441" s="14"/>
      <c r="Q441" s="14"/>
    </row>
    <row r="442" spans="1:17" x14ac:dyDescent="0.25">
      <c r="A442" s="14"/>
      <c r="B442" s="13" t="s">
        <v>163</v>
      </c>
      <c r="C442" s="61">
        <f>H270</f>
        <v>2</v>
      </c>
      <c r="D442" s="14"/>
      <c r="K442" s="14"/>
      <c r="Q442" s="14"/>
    </row>
    <row r="443" spans="1:17" x14ac:dyDescent="0.25">
      <c r="A443" s="14"/>
      <c r="B443" s="13" t="s">
        <v>186</v>
      </c>
      <c r="C443" s="61">
        <f>H269+SUM(H286/2)</f>
        <v>2.5</v>
      </c>
      <c r="D443" s="14"/>
      <c r="K443" s="14"/>
      <c r="Q443" s="14"/>
    </row>
    <row r="444" spans="1:17" x14ac:dyDescent="0.25">
      <c r="A444" s="14"/>
      <c r="B444" s="13" t="s">
        <v>55</v>
      </c>
      <c r="C444" s="61">
        <f>SUM(H271:H272)</f>
        <v>3</v>
      </c>
      <c r="D444" s="14"/>
      <c r="K444" s="14"/>
      <c r="Q444" s="14"/>
    </row>
    <row r="445" spans="1:17" x14ac:dyDescent="0.25">
      <c r="A445" s="14"/>
      <c r="B445" s="13" t="s">
        <v>593</v>
      </c>
      <c r="C445" s="61">
        <f>H19+SUM(H243:H247)/2+SUM(H273:H275)+H277</f>
        <v>14</v>
      </c>
      <c r="D445" s="14"/>
      <c r="K445" s="14"/>
      <c r="Q445" s="14"/>
    </row>
    <row r="446" spans="1:17" x14ac:dyDescent="0.25">
      <c r="A446" s="14"/>
      <c r="B446" s="13" t="s">
        <v>4100</v>
      </c>
      <c r="D446" s="14"/>
      <c r="K446" s="14"/>
      <c r="Q446" s="14"/>
    </row>
    <row r="447" spans="1:17" x14ac:dyDescent="0.25">
      <c r="A447" s="14"/>
      <c r="B447" s="13" t="s">
        <v>161</v>
      </c>
      <c r="C447" s="61">
        <f>H276+SUM(H278:H283)+H285+SUM(H286/2)</f>
        <v>13.5</v>
      </c>
      <c r="D447" s="14"/>
      <c r="K447" s="14"/>
      <c r="Q447" s="14"/>
    </row>
    <row r="448" spans="1:17" x14ac:dyDescent="0.25">
      <c r="A448" s="14"/>
      <c r="B448" s="13" t="s">
        <v>66</v>
      </c>
      <c r="C448" s="61">
        <f>H250+H284</f>
        <v>2</v>
      </c>
      <c r="D448" s="14"/>
      <c r="K448" s="14"/>
      <c r="Q448" s="14"/>
    </row>
    <row r="449" spans="1:17" x14ac:dyDescent="0.25">
      <c r="A449" s="14"/>
      <c r="B449" s="13" t="s">
        <v>1347</v>
      </c>
      <c r="D449" s="14"/>
      <c r="K449" s="14"/>
      <c r="Q449" s="14"/>
    </row>
    <row r="450" spans="1:17" x14ac:dyDescent="0.25">
      <c r="A450" s="14"/>
      <c r="B450" s="12" t="s">
        <v>56</v>
      </c>
      <c r="C450" s="61">
        <f>SUM(C451:C455)+H249+H252</f>
        <v>102</v>
      </c>
      <c r="D450" s="14"/>
      <c r="K450" s="14"/>
      <c r="Q450" s="14"/>
    </row>
    <row r="451" spans="1:17" x14ac:dyDescent="0.25">
      <c r="A451" s="14"/>
      <c r="B451" s="13" t="s">
        <v>663</v>
      </c>
      <c r="C451" s="61">
        <f>C443+SUM(C442/2)+SUM(H257:H261)/2</f>
        <v>10.5</v>
      </c>
      <c r="D451" s="14"/>
      <c r="K451" s="14"/>
      <c r="Q451" s="14"/>
    </row>
    <row r="452" spans="1:17" x14ac:dyDescent="0.25">
      <c r="A452" s="14"/>
      <c r="B452" s="13" t="s">
        <v>664</v>
      </c>
      <c r="C452" s="61">
        <f>C447+SUM(H251/2)+SUM(H257:H261)/2+H262+SUM(H263/2)</f>
        <v>22.5</v>
      </c>
      <c r="D452" s="14"/>
      <c r="K452" s="14"/>
      <c r="Q452" s="14"/>
    </row>
    <row r="453" spans="1:17" x14ac:dyDescent="0.25">
      <c r="A453" s="14"/>
      <c r="B453" s="13" t="s">
        <v>271</v>
      </c>
      <c r="C453" s="61">
        <f>C445+SUM(H256/2)+H268</f>
        <v>17</v>
      </c>
      <c r="D453" s="14"/>
      <c r="K453" s="14"/>
      <c r="Q453" s="14"/>
    </row>
    <row r="454" spans="1:17" x14ac:dyDescent="0.25">
      <c r="A454" s="14"/>
      <c r="B454" s="13" t="s">
        <v>144</v>
      </c>
      <c r="C454" s="61">
        <f>C444+SUM(H251/2)+SUM(H256/2)+SUM(H263/2)+SUM(H264:H267)</f>
        <v>15</v>
      </c>
      <c r="D454" s="14"/>
      <c r="K454" s="14"/>
      <c r="Q454" s="14"/>
    </row>
    <row r="455" spans="1:17" x14ac:dyDescent="0.25">
      <c r="A455" s="14"/>
      <c r="B455" s="13" t="s">
        <v>666</v>
      </c>
      <c r="C455" s="61">
        <f>C448+SUM(H253:H255)</f>
        <v>6</v>
      </c>
      <c r="D455" s="14"/>
      <c r="K455" s="14"/>
      <c r="Q455" s="14"/>
    </row>
    <row r="456" spans="1:17" x14ac:dyDescent="0.25">
      <c r="A456" s="14"/>
      <c r="D456" s="14"/>
      <c r="K456" s="14"/>
      <c r="Q456" s="14"/>
    </row>
    <row r="457" spans="1:17" x14ac:dyDescent="0.25">
      <c r="B457" s="13" t="s">
        <v>778</v>
      </c>
      <c r="D457" s="14"/>
      <c r="K457" s="14"/>
      <c r="Q457" s="14"/>
    </row>
    <row r="458" spans="1:17" x14ac:dyDescent="0.25">
      <c r="B458" s="13" t="s">
        <v>1444</v>
      </c>
      <c r="Q458" s="14"/>
    </row>
    <row r="459" spans="1:17" x14ac:dyDescent="0.25">
      <c r="B459" s="13" t="s">
        <v>1631</v>
      </c>
      <c r="Q459" s="14"/>
    </row>
    <row r="460" spans="1:17" x14ac:dyDescent="0.25">
      <c r="B460" s="13" t="s">
        <v>1968</v>
      </c>
      <c r="Q460" s="14"/>
    </row>
    <row r="461" spans="1:17" x14ac:dyDescent="0.25">
      <c r="B461" s="13" t="s">
        <v>1099</v>
      </c>
      <c r="Q461" s="14"/>
    </row>
    <row r="462" spans="1:17" x14ac:dyDescent="0.25">
      <c r="B462" s="13" t="s">
        <v>2114</v>
      </c>
      <c r="Q462" s="14"/>
    </row>
    <row r="463" spans="1:17" x14ac:dyDescent="0.25">
      <c r="B463" s="13" t="s">
        <v>783</v>
      </c>
      <c r="Q463" s="14"/>
    </row>
    <row r="464" spans="1:17" x14ac:dyDescent="0.25">
      <c r="B464" s="13" t="s">
        <v>1264</v>
      </c>
      <c r="Q464" s="14"/>
    </row>
    <row r="465" spans="1:17" x14ac:dyDescent="0.25">
      <c r="B465" s="13" t="s">
        <v>980</v>
      </c>
      <c r="Q465" s="14"/>
    </row>
    <row r="466" spans="1:17" x14ac:dyDescent="0.25">
      <c r="B466" s="13" t="s">
        <v>1157</v>
      </c>
      <c r="Q466" s="14"/>
    </row>
    <row r="467" spans="1:17" x14ac:dyDescent="0.25">
      <c r="B467" s="13" t="s">
        <v>3757</v>
      </c>
      <c r="Q467" s="14"/>
    </row>
    <row r="468" spans="1:17" x14ac:dyDescent="0.25">
      <c r="B468" s="13" t="s">
        <v>1248</v>
      </c>
      <c r="C468" s="61">
        <f>H325</f>
        <v>1</v>
      </c>
      <c r="Q468" s="14"/>
    </row>
    <row r="469" spans="1:17" x14ac:dyDescent="0.25">
      <c r="B469" s="13" t="s">
        <v>1688</v>
      </c>
      <c r="Q469" s="14"/>
    </row>
    <row r="470" spans="1:17" x14ac:dyDescent="0.25">
      <c r="B470" s="13" t="s">
        <v>793</v>
      </c>
      <c r="C470" s="61">
        <f>H326</f>
        <v>1</v>
      </c>
      <c r="Q470" s="14"/>
    </row>
    <row r="471" spans="1:17" x14ac:dyDescent="0.25">
      <c r="B471" s="13" t="s">
        <v>1666</v>
      </c>
      <c r="Q471" s="14"/>
    </row>
    <row r="472" spans="1:17" x14ac:dyDescent="0.25">
      <c r="B472" s="13" t="s">
        <v>878</v>
      </c>
      <c r="C472" s="61">
        <f>H327</f>
        <v>1</v>
      </c>
      <c r="Q472" s="14"/>
    </row>
    <row r="473" spans="1:17" x14ac:dyDescent="0.25">
      <c r="B473" s="13" t="s">
        <v>1977</v>
      </c>
      <c r="Q473" s="14"/>
    </row>
    <row r="474" spans="1:17" x14ac:dyDescent="0.25">
      <c r="A474" s="14"/>
      <c r="B474" s="13" t="s">
        <v>2120</v>
      </c>
      <c r="Q474" s="14"/>
    </row>
    <row r="475" spans="1:17" x14ac:dyDescent="0.25">
      <c r="A475" s="14"/>
      <c r="B475" s="13" t="s">
        <v>3759</v>
      </c>
      <c r="Q475" s="14"/>
    </row>
    <row r="476" spans="1:17" x14ac:dyDescent="0.25">
      <c r="A476" s="14"/>
      <c r="B476" s="13" t="s">
        <v>1691</v>
      </c>
      <c r="D476" s="14"/>
      <c r="K476" s="14"/>
      <c r="Q476" s="14"/>
    </row>
    <row r="477" spans="1:17" x14ac:dyDescent="0.25">
      <c r="A477" s="14"/>
      <c r="B477" s="13" t="s">
        <v>804</v>
      </c>
      <c r="D477" s="14"/>
      <c r="K477" s="14"/>
      <c r="Q477" s="14"/>
    </row>
    <row r="478" spans="1:17" x14ac:dyDescent="0.25">
      <c r="A478" s="14" t="s">
        <v>2457</v>
      </c>
      <c r="B478" s="13" t="s">
        <v>2456</v>
      </c>
      <c r="D478" s="14"/>
      <c r="K478" s="14"/>
      <c r="Q478" s="14"/>
    </row>
    <row r="479" spans="1:17" x14ac:dyDescent="0.25">
      <c r="A479" s="14"/>
      <c r="B479" s="13" t="s">
        <v>984</v>
      </c>
      <c r="D479" s="14"/>
      <c r="K479" s="14"/>
      <c r="Q479" s="14"/>
    </row>
    <row r="480" spans="1:17" x14ac:dyDescent="0.25">
      <c r="A480" s="14"/>
      <c r="B480" s="13" t="s">
        <v>785</v>
      </c>
      <c r="D480" s="14"/>
      <c r="K480" s="14"/>
      <c r="Q480" s="14"/>
    </row>
    <row r="481" spans="1:17" x14ac:dyDescent="0.25">
      <c r="A481" s="14"/>
      <c r="B481" s="13" t="s">
        <v>795</v>
      </c>
      <c r="D481" s="14"/>
      <c r="K481" s="14"/>
      <c r="Q481" s="14"/>
    </row>
    <row r="482" spans="1:17" x14ac:dyDescent="0.25">
      <c r="A482" s="14"/>
      <c r="B482" s="13" t="s">
        <v>989</v>
      </c>
      <c r="D482" s="14"/>
      <c r="K482" s="14"/>
      <c r="Q482" s="14"/>
    </row>
    <row r="483" spans="1:17" x14ac:dyDescent="0.25">
      <c r="A483" s="14"/>
      <c r="B483" s="13" t="s">
        <v>1671</v>
      </c>
      <c r="D483" s="14"/>
      <c r="K483" s="14"/>
      <c r="Q483" s="14"/>
    </row>
    <row r="484" spans="1:17" x14ac:dyDescent="0.25">
      <c r="A484" s="14"/>
      <c r="B484" s="13" t="s">
        <v>1677</v>
      </c>
      <c r="D484" s="14"/>
      <c r="K484" s="14"/>
      <c r="Q484" s="14"/>
    </row>
    <row r="485" spans="1:17" x14ac:dyDescent="0.25">
      <c r="A485" s="14"/>
      <c r="B485" s="13" t="s">
        <v>772</v>
      </c>
      <c r="D485" s="14"/>
      <c r="K485" s="14"/>
      <c r="Q485" s="14"/>
    </row>
    <row r="486" spans="1:17" x14ac:dyDescent="0.25">
      <c r="A486" s="14"/>
      <c r="B486" s="13" t="s">
        <v>1245</v>
      </c>
      <c r="D486" s="14"/>
      <c r="K486" s="14"/>
      <c r="Q486" s="14"/>
    </row>
    <row r="487" spans="1:17" x14ac:dyDescent="0.25">
      <c r="A487" s="14"/>
      <c r="B487" s="13" t="s">
        <v>789</v>
      </c>
      <c r="D487" s="14"/>
      <c r="K487" s="14"/>
      <c r="Q487" s="14"/>
    </row>
    <row r="488" spans="1:17" x14ac:dyDescent="0.25">
      <c r="A488" s="14"/>
      <c r="B488" s="13" t="s">
        <v>3861</v>
      </c>
      <c r="D488" s="14"/>
      <c r="K488" s="14"/>
      <c r="Q488" s="14"/>
    </row>
    <row r="489" spans="1:17" x14ac:dyDescent="0.25">
      <c r="A489" s="14"/>
      <c r="B489" s="13" t="s">
        <v>875</v>
      </c>
      <c r="C489" s="61">
        <f>H334</f>
        <v>1</v>
      </c>
      <c r="D489" s="14"/>
      <c r="K489" s="14"/>
      <c r="Q489" s="14"/>
    </row>
    <row r="490" spans="1:17" x14ac:dyDescent="0.25">
      <c r="A490" s="14"/>
      <c r="B490" s="13" t="s">
        <v>1347</v>
      </c>
      <c r="D490" s="14"/>
      <c r="K490" s="14"/>
      <c r="Q490" s="14"/>
    </row>
    <row r="491" spans="1:17" x14ac:dyDescent="0.25">
      <c r="A491" s="14"/>
      <c r="B491" s="12" t="s">
        <v>771</v>
      </c>
      <c r="C491" s="61">
        <f>C492+C498+SUM(H321/2)+H322+H333</f>
        <v>79</v>
      </c>
      <c r="D491" s="14"/>
      <c r="K491" s="14"/>
      <c r="Q491" s="14"/>
    </row>
    <row r="492" spans="1:17" x14ac:dyDescent="0.25">
      <c r="A492" s="14"/>
      <c r="B492" s="13" t="s">
        <v>2251</v>
      </c>
      <c r="C492" s="61">
        <f>SUM(H323:H324)+SUM(H330/3)+SUM(H331/2)</f>
        <v>5.333333333333333</v>
      </c>
      <c r="D492" s="14"/>
      <c r="K492" s="14"/>
      <c r="Q492" s="14"/>
    </row>
    <row r="493" spans="1:17" x14ac:dyDescent="0.25">
      <c r="A493" s="14"/>
      <c r="B493" s="13" t="s">
        <v>1351</v>
      </c>
      <c r="C493" s="61">
        <f>C470+SUM(H329/2)+SUM(H330/3)+SUM(H331/2)</f>
        <v>3.3333333333333335</v>
      </c>
      <c r="D493" s="14"/>
      <c r="K493" s="14"/>
      <c r="Q493" s="14"/>
    </row>
    <row r="494" spans="1:17" x14ac:dyDescent="0.25">
      <c r="A494" s="14"/>
      <c r="B494" s="13" t="s">
        <v>1352</v>
      </c>
      <c r="C494" s="61">
        <f>SUM(H328/2)+SUM(H330/3)</f>
        <v>0.83333333333333326</v>
      </c>
      <c r="D494" s="14"/>
      <c r="K494" s="14"/>
      <c r="Q494" s="14"/>
    </row>
    <row r="495" spans="1:17" x14ac:dyDescent="0.25">
      <c r="A495" s="14"/>
      <c r="B495" s="13" t="s">
        <v>1353</v>
      </c>
      <c r="C495" s="61">
        <f>C489+SUM(H329/2)+SUM(H332/2)</f>
        <v>3</v>
      </c>
      <c r="D495" s="14"/>
      <c r="K495" s="14"/>
      <c r="Q495" s="14"/>
    </row>
    <row r="496" spans="1:17" x14ac:dyDescent="0.25">
      <c r="A496" s="14"/>
      <c r="B496" s="13" t="s">
        <v>1354</v>
      </c>
      <c r="C496" s="61">
        <f>C468+C472+SUM(H328/2)+SUM(H332/2)</f>
        <v>3.5</v>
      </c>
      <c r="D496" s="14"/>
      <c r="K496" s="14"/>
      <c r="Q496" s="14"/>
    </row>
    <row r="497" spans="1:17" x14ac:dyDescent="0.25">
      <c r="A497" s="14"/>
      <c r="B497" s="13" t="s">
        <v>1355</v>
      </c>
      <c r="D497" s="14"/>
      <c r="K497" s="14"/>
      <c r="Q497" s="14"/>
    </row>
    <row r="498" spans="1:17" x14ac:dyDescent="0.25">
      <c r="A498" s="14"/>
      <c r="B498" s="13" t="s">
        <v>2250</v>
      </c>
      <c r="C498" s="61">
        <f>SUM(C493:C497)</f>
        <v>10.666666666666668</v>
      </c>
      <c r="D498" s="14"/>
      <c r="K498" s="14"/>
      <c r="Q498" s="14"/>
    </row>
    <row r="499" spans="1:17" x14ac:dyDescent="0.25">
      <c r="A499" s="14"/>
      <c r="D499" s="14"/>
      <c r="K499" s="14"/>
      <c r="Q499" s="14"/>
    </row>
    <row r="500" spans="1:17" x14ac:dyDescent="0.25">
      <c r="A500" s="14"/>
      <c r="B500" s="52" t="s">
        <v>2252</v>
      </c>
      <c r="C500" s="61">
        <f>H20+SUM(H22:H23)+SUM(H27:H28)+SUM(H33:H35)+H38+SUM(H40:H41)+SUM(H224:H225)+H227</f>
        <v>334</v>
      </c>
      <c r="D500" s="14"/>
      <c r="K500" s="14"/>
      <c r="Q500" s="14"/>
    </row>
    <row r="501" spans="1:17" x14ac:dyDescent="0.25">
      <c r="A501" s="14"/>
      <c r="B501" s="52"/>
      <c r="D501" s="14"/>
      <c r="K501" s="14"/>
      <c r="Q501" s="14"/>
    </row>
    <row r="502" spans="1:17" x14ac:dyDescent="0.25">
      <c r="A502" s="14"/>
      <c r="B502" s="12" t="s">
        <v>2253</v>
      </c>
      <c r="C502" s="61">
        <f>C396+C435+C450+C491+C500</f>
        <v>1149</v>
      </c>
      <c r="D502" s="14"/>
      <c r="K502" s="14"/>
      <c r="Q502" s="14"/>
    </row>
    <row r="503" spans="1:17" ht="12" customHeight="1" x14ac:dyDescent="0.25">
      <c r="A503" s="14"/>
      <c r="D503" s="14"/>
      <c r="K503" s="14"/>
      <c r="Q503" s="14"/>
    </row>
    <row r="504" spans="1:17" x14ac:dyDescent="0.25">
      <c r="A504" s="14"/>
      <c r="B504" s="13" t="s">
        <v>5756</v>
      </c>
      <c r="C504" s="61">
        <f>C344+C346+C350+C371+C381+C390+C387</f>
        <v>55</v>
      </c>
      <c r="D504" s="14"/>
      <c r="K504" s="14"/>
      <c r="Q504" s="14"/>
    </row>
    <row r="505" spans="1:17" x14ac:dyDescent="0.25">
      <c r="A505" s="14"/>
      <c r="B505" s="13" t="s">
        <v>1890</v>
      </c>
      <c r="C505" s="61">
        <f>C396-C504</f>
        <v>489</v>
      </c>
      <c r="D505" s="14"/>
      <c r="K505" s="14"/>
      <c r="Q505" s="14"/>
    </row>
    <row r="506" spans="1:17" x14ac:dyDescent="0.25">
      <c r="A506" s="14"/>
      <c r="D506" s="14"/>
      <c r="K506" s="14"/>
      <c r="Q506" s="14"/>
    </row>
    <row r="507" spans="1:17" x14ac:dyDescent="0.25">
      <c r="A507" s="14"/>
      <c r="B507" s="13" t="s">
        <v>1359</v>
      </c>
      <c r="C507" s="61">
        <f>C504</f>
        <v>55</v>
      </c>
      <c r="D507" s="14"/>
      <c r="K507" s="14"/>
      <c r="Q507" s="14"/>
    </row>
    <row r="508" spans="1:17" x14ac:dyDescent="0.25">
      <c r="A508" s="14"/>
      <c r="B508" s="13" t="s">
        <v>1891</v>
      </c>
      <c r="C508" s="61">
        <f>C502-C507</f>
        <v>1094</v>
      </c>
      <c r="D508" s="14"/>
      <c r="K508" s="14"/>
      <c r="Q508" s="14"/>
    </row>
    <row r="509" spans="1:17" x14ac:dyDescent="0.25">
      <c r="A509" s="14"/>
      <c r="D509" s="14"/>
      <c r="K509" s="14"/>
      <c r="Q509" s="14"/>
    </row>
    <row r="510" spans="1:17" x14ac:dyDescent="0.25">
      <c r="A510" s="14"/>
      <c r="B510" s="13" t="s">
        <v>11</v>
      </c>
      <c r="C510" s="61">
        <f>C396</f>
        <v>544</v>
      </c>
      <c r="D510" s="14"/>
      <c r="K510" s="14"/>
      <c r="Q510" s="14"/>
    </row>
    <row r="511" spans="1:17" x14ac:dyDescent="0.25">
      <c r="A511" s="14"/>
      <c r="B511" s="13" t="s">
        <v>35</v>
      </c>
      <c r="C511" s="61">
        <f>C435</f>
        <v>90</v>
      </c>
      <c r="D511" s="14"/>
      <c r="K511" s="14"/>
      <c r="Q511" s="14"/>
    </row>
    <row r="512" spans="1:17" x14ac:dyDescent="0.25">
      <c r="A512" s="14"/>
      <c r="B512" s="13" t="s">
        <v>56</v>
      </c>
      <c r="C512" s="61">
        <f>C450</f>
        <v>102</v>
      </c>
      <c r="D512" s="14"/>
      <c r="K512" s="14"/>
      <c r="Q512" s="14"/>
    </row>
    <row r="513" spans="1:17" x14ac:dyDescent="0.25">
      <c r="A513" s="14"/>
      <c r="B513" s="13" t="s">
        <v>771</v>
      </c>
      <c r="C513" s="61">
        <f>C491</f>
        <v>79</v>
      </c>
      <c r="D513" s="14"/>
      <c r="K513" s="14"/>
      <c r="Q513" s="14"/>
    </row>
    <row r="514" spans="1:17" x14ac:dyDescent="0.25">
      <c r="A514" s="14"/>
      <c r="B514" s="14"/>
      <c r="D514" s="14"/>
      <c r="K514" s="14"/>
      <c r="Q514" s="14"/>
    </row>
    <row r="516" spans="1:17" ht="12" thickBot="1" x14ac:dyDescent="0.3"/>
    <row r="517" spans="1:17" ht="12.75" x14ac:dyDescent="0.25">
      <c r="B517" s="85" t="s">
        <v>5449</v>
      </c>
      <c r="C517" s="88">
        <v>94.5</v>
      </c>
    </row>
    <row r="518" spans="1:17" ht="12.75" x14ac:dyDescent="0.25">
      <c r="B518" s="86" t="s">
        <v>5450</v>
      </c>
      <c r="C518" s="89">
        <v>41</v>
      </c>
    </row>
    <row r="519" spans="1:17" ht="12.75" x14ac:dyDescent="0.25">
      <c r="B519" s="86" t="s">
        <v>5451</v>
      </c>
      <c r="C519" s="89">
        <v>154</v>
      </c>
    </row>
    <row r="520" spans="1:17" ht="12.75" x14ac:dyDescent="0.25">
      <c r="B520" s="86" t="s">
        <v>5452</v>
      </c>
      <c r="C520" s="89">
        <v>128.5</v>
      </c>
    </row>
    <row r="521" spans="1:17" ht="13.5" thickBot="1" x14ac:dyDescent="0.3">
      <c r="B521" s="87" t="s">
        <v>5453</v>
      </c>
      <c r="C521" s="90">
        <v>83</v>
      </c>
    </row>
    <row r="522" spans="1:17" ht="12.75" x14ac:dyDescent="0.25">
      <c r="B522" s="85" t="s">
        <v>5454</v>
      </c>
      <c r="C522" s="88">
        <v>27</v>
      </c>
    </row>
    <row r="523" spans="1:17" ht="12.75" x14ac:dyDescent="0.25">
      <c r="B523" s="86" t="s">
        <v>5455</v>
      </c>
      <c r="C523" s="89">
        <v>18</v>
      </c>
    </row>
    <row r="524" spans="1:17" ht="12.75" x14ac:dyDescent="0.25">
      <c r="B524" s="86" t="s">
        <v>5456</v>
      </c>
      <c r="C524" s="89">
        <v>2</v>
      </c>
    </row>
    <row r="525" spans="1:17" ht="12.75" x14ac:dyDescent="0.25">
      <c r="B525" s="86" t="s">
        <v>5457</v>
      </c>
      <c r="C525" s="89">
        <v>17</v>
      </c>
    </row>
    <row r="526" spans="1:17" ht="13.5" thickBot="1" x14ac:dyDescent="0.3">
      <c r="B526" s="87" t="s">
        <v>5458</v>
      </c>
      <c r="C526" s="90">
        <v>1</v>
      </c>
    </row>
    <row r="527" spans="1:17" ht="12.75" x14ac:dyDescent="0.25">
      <c r="B527" s="85" t="s">
        <v>923</v>
      </c>
      <c r="C527" s="88">
        <v>10.5</v>
      </c>
    </row>
    <row r="528" spans="1:17" ht="12.75" x14ac:dyDescent="0.25">
      <c r="B528" s="86" t="s">
        <v>924</v>
      </c>
      <c r="C528" s="89">
        <v>22.5</v>
      </c>
    </row>
    <row r="529" spans="2:3 16384:16384" ht="12.75" x14ac:dyDescent="0.25">
      <c r="B529" s="86" t="s">
        <v>925</v>
      </c>
      <c r="C529" s="89">
        <v>17</v>
      </c>
    </row>
    <row r="530" spans="2:3 16384:16384" ht="12.75" x14ac:dyDescent="0.25">
      <c r="B530" s="86" t="s">
        <v>926</v>
      </c>
      <c r="C530" s="89">
        <v>15</v>
      </c>
    </row>
    <row r="531" spans="2:3 16384:16384" ht="13.5" thickBot="1" x14ac:dyDescent="0.3">
      <c r="B531" s="87" t="s">
        <v>629</v>
      </c>
      <c r="C531" s="90">
        <v>6</v>
      </c>
    </row>
    <row r="532" spans="2:3 16384:16384" ht="12.75" x14ac:dyDescent="0.25">
      <c r="B532" s="85" t="s">
        <v>776</v>
      </c>
      <c r="C532" s="88">
        <v>5.3330000000000002</v>
      </c>
    </row>
    <row r="533" spans="2:3 16384:16384" ht="12.75" x14ac:dyDescent="0.25">
      <c r="B533" s="86" t="s">
        <v>1351</v>
      </c>
      <c r="C533" s="89">
        <v>3.3330000000000002</v>
      </c>
    </row>
    <row r="534" spans="2:3 16384:16384" ht="12.75" x14ac:dyDescent="0.25">
      <c r="B534" s="86" t="s">
        <v>1352</v>
      </c>
      <c r="C534" s="89">
        <v>0.83299999999999996</v>
      </c>
    </row>
    <row r="535" spans="2:3 16384:16384" ht="12.75" x14ac:dyDescent="0.25">
      <c r="B535" s="86" t="s">
        <v>1353</v>
      </c>
      <c r="C535" s="89">
        <v>3</v>
      </c>
    </row>
    <row r="536" spans="2:3 16384:16384" ht="12.75" x14ac:dyDescent="0.25">
      <c r="B536" s="86" t="s">
        <v>1354</v>
      </c>
      <c r="C536" s="89">
        <v>3.5</v>
      </c>
    </row>
    <row r="537" spans="2:3 16384:16384" ht="13.5" thickBot="1" x14ac:dyDescent="0.3">
      <c r="B537" s="87" t="s">
        <v>1880</v>
      </c>
      <c r="C537" s="90">
        <v>0</v>
      </c>
    </row>
    <row r="538" spans="2:3 16384:16384" x14ac:dyDescent="0.25">
      <c r="XFD538" s="14" t="s">
        <v>5468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47"/>
  <sheetViews>
    <sheetView topLeftCell="B1" zoomScale="133" zoomScaleNormal="100" workbookViewId="0">
      <selection activeCell="F23" sqref="F23"/>
    </sheetView>
  </sheetViews>
  <sheetFormatPr defaultRowHeight="15" x14ac:dyDescent="0.25"/>
  <cols>
    <col min="1" max="1" width="7.28515625" customWidth="1"/>
    <col min="2" max="2" width="17.85546875" customWidth="1"/>
    <col min="3" max="3" width="15.28515625" customWidth="1"/>
  </cols>
  <sheetData>
    <row r="3" spans="2:3" ht="15.75" thickBot="1" x14ac:dyDescent="0.3"/>
    <row r="4" spans="2:3" x14ac:dyDescent="0.25">
      <c r="B4" s="85" t="s">
        <v>11</v>
      </c>
      <c r="C4" s="88">
        <v>4</v>
      </c>
    </row>
    <row r="5" spans="2:3" x14ac:dyDescent="0.25">
      <c r="B5" s="86" t="s">
        <v>5449</v>
      </c>
      <c r="C5" s="89">
        <v>27</v>
      </c>
    </row>
    <row r="6" spans="2:3" x14ac:dyDescent="0.25">
      <c r="B6" s="86" t="s">
        <v>296</v>
      </c>
      <c r="C6" s="89">
        <v>2</v>
      </c>
    </row>
    <row r="7" spans="2:3" x14ac:dyDescent="0.25">
      <c r="B7" s="86" t="s">
        <v>259</v>
      </c>
      <c r="C7" s="89">
        <v>1</v>
      </c>
    </row>
    <row r="8" spans="2:3" x14ac:dyDescent="0.25">
      <c r="B8" s="86" t="s">
        <v>5450</v>
      </c>
      <c r="C8" s="89">
        <v>13</v>
      </c>
    </row>
    <row r="9" spans="2:3" x14ac:dyDescent="0.25">
      <c r="B9" s="86" t="s">
        <v>266</v>
      </c>
      <c r="C9" s="89">
        <v>8</v>
      </c>
    </row>
    <row r="10" spans="2:3" x14ac:dyDescent="0.25">
      <c r="B10" s="86" t="s">
        <v>5451</v>
      </c>
      <c r="C10" s="89">
        <v>41</v>
      </c>
    </row>
    <row r="11" spans="2:3" x14ac:dyDescent="0.25">
      <c r="B11" s="86" t="s">
        <v>5452</v>
      </c>
      <c r="C11" s="89">
        <v>150</v>
      </c>
    </row>
    <row r="12" spans="2:3" ht="15.75" thickBot="1" x14ac:dyDescent="0.3">
      <c r="B12" s="87" t="s">
        <v>5453</v>
      </c>
      <c r="C12" s="90">
        <v>60</v>
      </c>
    </row>
    <row r="13" spans="2:3" x14ac:dyDescent="0.25">
      <c r="B13" s="86" t="s">
        <v>21</v>
      </c>
      <c r="C13" s="89">
        <v>116</v>
      </c>
    </row>
    <row r="14" spans="2:3" ht="15.75" thickBot="1" x14ac:dyDescent="0.3">
      <c r="B14" s="86" t="s">
        <v>5756</v>
      </c>
      <c r="C14" s="89">
        <v>14</v>
      </c>
    </row>
    <row r="15" spans="2:3" x14ac:dyDescent="0.25">
      <c r="B15" s="85" t="s">
        <v>35</v>
      </c>
      <c r="C15" s="88">
        <v>8</v>
      </c>
    </row>
    <row r="16" spans="2:3" x14ac:dyDescent="0.25">
      <c r="B16" s="86" t="s">
        <v>5454</v>
      </c>
      <c r="C16" s="89">
        <v>46</v>
      </c>
    </row>
    <row r="17" spans="2:3" x14ac:dyDescent="0.25">
      <c r="B17" s="86" t="s">
        <v>5455</v>
      </c>
      <c r="C17" s="89">
        <v>2</v>
      </c>
    </row>
    <row r="18" spans="2:3" x14ac:dyDescent="0.25">
      <c r="B18" s="86" t="s">
        <v>5456</v>
      </c>
      <c r="C18" s="89">
        <v>7</v>
      </c>
    </row>
    <row r="19" spans="2:3" x14ac:dyDescent="0.25">
      <c r="B19" s="86" t="s">
        <v>5457</v>
      </c>
      <c r="C19" s="89">
        <v>2</v>
      </c>
    </row>
    <row r="20" spans="2:3" ht="15.75" thickBot="1" x14ac:dyDescent="0.3">
      <c r="B20" s="87" t="s">
        <v>5458</v>
      </c>
      <c r="C20" s="90">
        <v>4</v>
      </c>
    </row>
    <row r="21" spans="2:3" x14ac:dyDescent="0.25">
      <c r="B21" s="85" t="s">
        <v>56</v>
      </c>
      <c r="C21" s="88">
        <v>6</v>
      </c>
    </row>
    <row r="22" spans="2:3" x14ac:dyDescent="0.25">
      <c r="B22" s="86" t="s">
        <v>5755</v>
      </c>
      <c r="C22" s="89">
        <v>1</v>
      </c>
    </row>
    <row r="23" spans="2:3" x14ac:dyDescent="0.25">
      <c r="B23" s="86" t="s">
        <v>254</v>
      </c>
      <c r="C23" s="89">
        <v>9</v>
      </c>
    </row>
    <row r="24" spans="2:3" x14ac:dyDescent="0.25">
      <c r="B24" s="86" t="s">
        <v>923</v>
      </c>
      <c r="C24" s="89">
        <v>0</v>
      </c>
    </row>
    <row r="25" spans="2:3" x14ac:dyDescent="0.25">
      <c r="B25" s="86" t="s">
        <v>924</v>
      </c>
      <c r="C25" s="89">
        <v>6</v>
      </c>
    </row>
    <row r="26" spans="2:3" x14ac:dyDescent="0.25">
      <c r="B26" s="86" t="s">
        <v>925</v>
      </c>
      <c r="C26" s="89">
        <v>0</v>
      </c>
    </row>
    <row r="27" spans="2:3" x14ac:dyDescent="0.25">
      <c r="B27" s="86" t="s">
        <v>926</v>
      </c>
      <c r="C27" s="89">
        <v>0</v>
      </c>
    </row>
    <row r="28" spans="2:3" ht="15.75" thickBot="1" x14ac:dyDescent="0.3">
      <c r="B28" s="87" t="s">
        <v>629</v>
      </c>
      <c r="C28" s="90">
        <v>7</v>
      </c>
    </row>
    <row r="29" spans="2:3" x14ac:dyDescent="0.25">
      <c r="B29" s="85" t="s">
        <v>771</v>
      </c>
      <c r="C29" s="88">
        <v>6</v>
      </c>
    </row>
    <row r="30" spans="2:3" x14ac:dyDescent="0.25">
      <c r="B30" s="86" t="s">
        <v>776</v>
      </c>
      <c r="C30" s="89">
        <v>0</v>
      </c>
    </row>
    <row r="31" spans="2:3" x14ac:dyDescent="0.25">
      <c r="B31" s="86" t="s">
        <v>1351</v>
      </c>
      <c r="C31" s="89">
        <v>4</v>
      </c>
    </row>
    <row r="32" spans="2:3" x14ac:dyDescent="0.25">
      <c r="B32" s="86" t="s">
        <v>1352</v>
      </c>
      <c r="C32" s="89">
        <v>0</v>
      </c>
    </row>
    <row r="33" spans="2:3" x14ac:dyDescent="0.25">
      <c r="B33" s="86" t="s">
        <v>1353</v>
      </c>
      <c r="C33" s="89">
        <v>0</v>
      </c>
    </row>
    <row r="34" spans="2:3" x14ac:dyDescent="0.25">
      <c r="B34" s="86" t="s">
        <v>1354</v>
      </c>
      <c r="C34" s="89">
        <v>0</v>
      </c>
    </row>
    <row r="35" spans="2:3" ht="15.75" thickBot="1" x14ac:dyDescent="0.3">
      <c r="B35" s="87" t="s">
        <v>1880</v>
      </c>
      <c r="C35" s="90">
        <v>0</v>
      </c>
    </row>
    <row r="36" spans="2:3" x14ac:dyDescent="0.25">
      <c r="B36" s="85" t="s">
        <v>1894</v>
      </c>
      <c r="C36" s="88">
        <v>1</v>
      </c>
    </row>
    <row r="37" spans="2:3" x14ac:dyDescent="0.25">
      <c r="B37" s="86" t="s">
        <v>1893</v>
      </c>
      <c r="C37" s="89">
        <v>2</v>
      </c>
    </row>
    <row r="38" spans="2:3" x14ac:dyDescent="0.25">
      <c r="B38" s="86" t="s">
        <v>302</v>
      </c>
      <c r="C38" s="89">
        <v>2</v>
      </c>
    </row>
    <row r="39" spans="2:3" x14ac:dyDescent="0.25">
      <c r="B39" s="86" t="s">
        <v>679</v>
      </c>
      <c r="C39" s="89">
        <v>2</v>
      </c>
    </row>
    <row r="40" spans="2:3" x14ac:dyDescent="0.25">
      <c r="B40" s="86" t="s">
        <v>489</v>
      </c>
      <c r="C40" s="89">
        <v>2</v>
      </c>
    </row>
    <row r="41" spans="2:3" ht="15.75" thickBot="1" x14ac:dyDescent="0.3">
      <c r="B41" s="87" t="s">
        <v>265</v>
      </c>
      <c r="C41" s="90">
        <v>2</v>
      </c>
    </row>
    <row r="42" spans="2:3" x14ac:dyDescent="0.25">
      <c r="B42" s="85" t="s">
        <v>11</v>
      </c>
      <c r="C42" s="88">
        <f>SUM(C4:C12)</f>
        <v>306</v>
      </c>
    </row>
    <row r="43" spans="2:3" x14ac:dyDescent="0.25">
      <c r="B43" s="86" t="s">
        <v>35</v>
      </c>
      <c r="C43" s="89">
        <f>SUM(C15:C20)</f>
        <v>69</v>
      </c>
    </row>
    <row r="44" spans="2:3" x14ac:dyDescent="0.25">
      <c r="B44" s="86" t="s">
        <v>56</v>
      </c>
      <c r="C44" s="89">
        <f>SUM(C21:C28)</f>
        <v>29</v>
      </c>
    </row>
    <row r="45" spans="2:3" x14ac:dyDescent="0.25">
      <c r="B45" s="86" t="s">
        <v>771</v>
      </c>
      <c r="C45" s="89">
        <f>SUM(C29:C35)</f>
        <v>10</v>
      </c>
    </row>
    <row r="46" spans="2:3" x14ac:dyDescent="0.25">
      <c r="B46" s="86"/>
      <c r="C46" s="89"/>
    </row>
    <row r="47" spans="2:3" ht="15.75" thickBot="1" x14ac:dyDescent="0.3">
      <c r="B47" s="87"/>
      <c r="C47" s="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2"/>
  <sheetViews>
    <sheetView zoomScale="102" zoomScaleNormal="70" workbookViewId="0">
      <pane ySplit="1" topLeftCell="A290" activePane="bottomLeft" state="frozen"/>
      <selection pane="bottomLeft" activeCell="B288" sqref="B288"/>
    </sheetView>
  </sheetViews>
  <sheetFormatPr defaultRowHeight="19.5" customHeight="1" x14ac:dyDescent="0.25"/>
  <cols>
    <col min="1" max="1" width="9.140625" style="15"/>
    <col min="2" max="2" width="12.42578125" style="14" customWidth="1"/>
    <col min="3" max="3" width="20.42578125" style="10" customWidth="1"/>
    <col min="4" max="4" width="13.42578125" style="13" customWidth="1"/>
    <col min="5" max="5" width="11.140625" style="13" customWidth="1"/>
    <col min="6" max="6" width="8.42578125" style="14" customWidth="1"/>
    <col min="7" max="10" width="9.140625" style="14" customWidth="1"/>
    <col min="11" max="11" width="28" style="13" customWidth="1"/>
    <col min="12" max="12" width="5.85546875" style="15" customWidth="1"/>
    <col min="13" max="13" width="6.85546875" style="15" customWidth="1"/>
    <col min="14" max="14" width="6.5703125" style="15" customWidth="1"/>
    <col min="15" max="15" width="11.85546875" style="15" customWidth="1"/>
    <col min="16" max="16" width="13.28515625" style="15" customWidth="1"/>
    <col min="17" max="17" width="13.85546875" style="13" customWidth="1"/>
    <col min="18" max="16384" width="9.140625" style="15"/>
  </cols>
  <sheetData>
    <row r="1" spans="1:19" s="11" customFormat="1" ht="39.75" customHeight="1" x14ac:dyDescent="0.25">
      <c r="A1" s="11" t="s">
        <v>1267</v>
      </c>
      <c r="B1" s="11" t="s">
        <v>2</v>
      </c>
      <c r="C1" s="18" t="s">
        <v>0</v>
      </c>
      <c r="D1" s="12" t="s">
        <v>6</v>
      </c>
      <c r="E1" s="12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19.5" customHeight="1" x14ac:dyDescent="0.25">
      <c r="A2" s="11" t="s">
        <v>1269</v>
      </c>
      <c r="B2" s="13" t="s">
        <v>532</v>
      </c>
      <c r="C2" s="10" t="s">
        <v>533</v>
      </c>
      <c r="D2" s="13" t="s">
        <v>8</v>
      </c>
      <c r="E2" s="13" t="s">
        <v>534</v>
      </c>
      <c r="F2" s="14" t="s">
        <v>11</v>
      </c>
      <c r="G2" s="13"/>
      <c r="H2" s="14">
        <f t="shared" ref="H2:H13" si="0">SUM(G2,I2)</f>
        <v>1</v>
      </c>
      <c r="I2" s="13">
        <v>1</v>
      </c>
      <c r="J2" s="13">
        <v>1</v>
      </c>
      <c r="K2" s="13" t="s">
        <v>866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s="11" customFormat="1" ht="19.5" customHeight="1" x14ac:dyDescent="0.25">
      <c r="A3" s="11" t="s">
        <v>1269</v>
      </c>
      <c r="B3" s="13" t="s">
        <v>532</v>
      </c>
      <c r="C3" s="10" t="s">
        <v>724</v>
      </c>
      <c r="D3" s="13" t="s">
        <v>26</v>
      </c>
      <c r="E3" s="13" t="s">
        <v>725</v>
      </c>
      <c r="F3" s="14" t="s">
        <v>11</v>
      </c>
      <c r="G3" s="13"/>
      <c r="H3" s="14">
        <f t="shared" si="0"/>
        <v>1</v>
      </c>
      <c r="I3" s="13">
        <v>1</v>
      </c>
      <c r="J3" s="13">
        <v>1</v>
      </c>
      <c r="K3" s="13" t="s">
        <v>456</v>
      </c>
      <c r="L3" s="14" t="s">
        <v>119</v>
      </c>
      <c r="M3" s="14">
        <v>735</v>
      </c>
      <c r="N3" s="14">
        <v>572</v>
      </c>
      <c r="O3" s="14">
        <v>373500</v>
      </c>
      <c r="P3" s="14">
        <v>157200</v>
      </c>
      <c r="R3" s="14"/>
      <c r="S3" s="14"/>
    </row>
    <row r="4" spans="1:19" s="11" customFormat="1" ht="19.5" customHeight="1" x14ac:dyDescent="0.25">
      <c r="A4" s="11" t="s">
        <v>1269</v>
      </c>
      <c r="B4" s="13" t="s">
        <v>411</v>
      </c>
      <c r="C4" s="10" t="s">
        <v>704</v>
      </c>
      <c r="D4" s="13" t="s">
        <v>92</v>
      </c>
      <c r="E4" s="13" t="s">
        <v>606</v>
      </c>
      <c r="F4" s="14" t="s">
        <v>11</v>
      </c>
      <c r="G4" s="13">
        <v>1</v>
      </c>
      <c r="H4" s="14">
        <f t="shared" si="0"/>
        <v>1</v>
      </c>
      <c r="I4" s="13"/>
      <c r="J4" s="13">
        <v>1</v>
      </c>
      <c r="K4" s="13" t="s">
        <v>349</v>
      </c>
      <c r="L4" s="14" t="s">
        <v>111</v>
      </c>
      <c r="M4" s="14">
        <v>9966</v>
      </c>
      <c r="N4" s="14">
        <v>2247</v>
      </c>
      <c r="O4" s="14">
        <v>499660</v>
      </c>
      <c r="P4" s="14">
        <v>222470</v>
      </c>
      <c r="R4" s="14"/>
      <c r="S4" s="14"/>
    </row>
    <row r="5" spans="1:19" s="11" customFormat="1" ht="19.5" customHeight="1" x14ac:dyDescent="0.25">
      <c r="A5" s="11" t="s">
        <v>1269</v>
      </c>
      <c r="B5" s="13" t="s">
        <v>411</v>
      </c>
      <c r="C5" s="10" t="s">
        <v>829</v>
      </c>
      <c r="D5" s="13" t="s">
        <v>830</v>
      </c>
      <c r="E5" s="13" t="s">
        <v>831</v>
      </c>
      <c r="F5" s="14" t="s">
        <v>11</v>
      </c>
      <c r="G5" s="13"/>
      <c r="H5" s="14">
        <f t="shared" si="0"/>
        <v>1</v>
      </c>
      <c r="I5" s="13">
        <v>1</v>
      </c>
      <c r="J5" s="13">
        <v>1</v>
      </c>
      <c r="K5" s="13" t="s">
        <v>828</v>
      </c>
      <c r="L5" s="14" t="s">
        <v>111</v>
      </c>
      <c r="M5" s="14">
        <v>989</v>
      </c>
      <c r="N5" s="14">
        <v>223</v>
      </c>
      <c r="O5" s="14">
        <v>498900</v>
      </c>
      <c r="P5" s="14">
        <v>222300</v>
      </c>
      <c r="R5" s="14"/>
      <c r="S5" s="14"/>
    </row>
    <row r="6" spans="1:19" s="14" customFormat="1" ht="19.5" customHeight="1" x14ac:dyDescent="0.25">
      <c r="A6" s="11" t="s">
        <v>1269</v>
      </c>
      <c r="B6" s="14" t="s">
        <v>76</v>
      </c>
      <c r="C6" s="10" t="s">
        <v>330</v>
      </c>
      <c r="D6" s="13" t="s">
        <v>39</v>
      </c>
      <c r="E6" s="13" t="s">
        <v>1281</v>
      </c>
      <c r="F6" s="14" t="s">
        <v>11</v>
      </c>
      <c r="G6" s="13">
        <v>31</v>
      </c>
      <c r="H6" s="14">
        <f t="shared" si="0"/>
        <v>31</v>
      </c>
      <c r="I6" s="13"/>
      <c r="J6" s="13">
        <v>15</v>
      </c>
      <c r="K6" s="13" t="s">
        <v>890</v>
      </c>
      <c r="L6" s="14" t="s">
        <v>177</v>
      </c>
      <c r="M6" s="14">
        <v>193</v>
      </c>
      <c r="N6" s="14">
        <v>983</v>
      </c>
      <c r="O6" s="14">
        <v>519300</v>
      </c>
      <c r="P6" s="14">
        <v>298300</v>
      </c>
    </row>
    <row r="7" spans="1:19" ht="19.5" customHeight="1" x14ac:dyDescent="0.25">
      <c r="A7" s="11" t="s">
        <v>1269</v>
      </c>
      <c r="B7" s="14" t="s">
        <v>42</v>
      </c>
      <c r="C7" s="10" t="s">
        <v>43</v>
      </c>
      <c r="D7" s="13" t="s">
        <v>1279</v>
      </c>
      <c r="E7" s="13" t="s">
        <v>43</v>
      </c>
      <c r="F7" s="14" t="s">
        <v>11</v>
      </c>
      <c r="G7" s="14">
        <v>1</v>
      </c>
      <c r="H7" s="14">
        <f t="shared" si="0"/>
        <v>3</v>
      </c>
      <c r="I7" s="14">
        <v>2</v>
      </c>
      <c r="J7" s="14">
        <v>2</v>
      </c>
      <c r="K7" s="13" t="s">
        <v>919</v>
      </c>
      <c r="L7" s="15" t="s">
        <v>520</v>
      </c>
      <c r="M7" s="15">
        <v>64087</v>
      </c>
      <c r="N7" s="15">
        <v>76444</v>
      </c>
      <c r="O7" s="15">
        <v>264087</v>
      </c>
      <c r="P7" s="15">
        <v>76444</v>
      </c>
    </row>
    <row r="8" spans="1:19" ht="19.5" customHeight="1" x14ac:dyDescent="0.25">
      <c r="A8" s="11" t="s">
        <v>1269</v>
      </c>
      <c r="B8" s="14" t="s">
        <v>42</v>
      </c>
      <c r="C8" s="10" t="s">
        <v>375</v>
      </c>
      <c r="D8" s="13" t="s">
        <v>41</v>
      </c>
      <c r="E8" s="13" t="s">
        <v>1280</v>
      </c>
      <c r="F8" s="14" t="s">
        <v>11</v>
      </c>
      <c r="G8" s="14">
        <v>1</v>
      </c>
      <c r="H8" s="14">
        <f>SUM(G8,I8)</f>
        <v>1</v>
      </c>
      <c r="J8" s="14">
        <v>1</v>
      </c>
      <c r="K8" s="13" t="s">
        <v>502</v>
      </c>
      <c r="L8" s="15" t="s">
        <v>144</v>
      </c>
      <c r="M8" s="15">
        <v>34702</v>
      </c>
      <c r="N8" s="15">
        <v>24261</v>
      </c>
      <c r="O8" s="15">
        <v>134702</v>
      </c>
      <c r="P8" s="15">
        <v>24261</v>
      </c>
    </row>
    <row r="9" spans="1:19" ht="19.5" customHeight="1" x14ac:dyDescent="0.25">
      <c r="A9" s="11" t="s">
        <v>1269</v>
      </c>
      <c r="B9" s="14" t="s">
        <v>10</v>
      </c>
      <c r="C9" s="10" t="s">
        <v>441</v>
      </c>
      <c r="D9" s="13" t="s">
        <v>26</v>
      </c>
      <c r="E9" s="13" t="s">
        <v>442</v>
      </c>
      <c r="F9" s="14" t="s">
        <v>11</v>
      </c>
      <c r="H9" s="14">
        <f t="shared" si="0"/>
        <v>1</v>
      </c>
      <c r="I9" s="14">
        <v>1</v>
      </c>
      <c r="J9" s="14">
        <v>1</v>
      </c>
      <c r="K9" s="13" t="s">
        <v>372</v>
      </c>
      <c r="L9" s="15" t="s">
        <v>166</v>
      </c>
      <c r="M9" s="15">
        <v>684</v>
      </c>
      <c r="N9" s="15">
        <v>72</v>
      </c>
      <c r="O9" s="15">
        <v>368400</v>
      </c>
      <c r="P9" s="15">
        <v>507200</v>
      </c>
    </row>
    <row r="10" spans="1:19" ht="19.5" customHeight="1" x14ac:dyDescent="0.25">
      <c r="A10" s="11" t="s">
        <v>1269</v>
      </c>
      <c r="B10" s="14" t="s">
        <v>10</v>
      </c>
      <c r="C10" s="10" t="s">
        <v>715</v>
      </c>
      <c r="D10" s="13" t="s">
        <v>39</v>
      </c>
      <c r="E10" s="13" t="s">
        <v>716</v>
      </c>
      <c r="F10" s="14" t="s">
        <v>11</v>
      </c>
      <c r="H10" s="14">
        <f t="shared" si="0"/>
        <v>1</v>
      </c>
      <c r="I10" s="14">
        <v>1</v>
      </c>
      <c r="J10" s="14">
        <v>1</v>
      </c>
      <c r="K10" s="13" t="s">
        <v>372</v>
      </c>
      <c r="L10" s="15" t="s">
        <v>166</v>
      </c>
      <c r="M10" s="15">
        <v>24</v>
      </c>
      <c r="N10" s="15">
        <v>708</v>
      </c>
      <c r="O10" s="15">
        <v>302400</v>
      </c>
      <c r="P10" s="15">
        <v>570800</v>
      </c>
    </row>
    <row r="11" spans="1:19" ht="19.5" customHeight="1" x14ac:dyDescent="0.25">
      <c r="A11" s="11" t="s">
        <v>1269</v>
      </c>
      <c r="B11" s="14" t="s">
        <v>10</v>
      </c>
      <c r="C11" s="10" t="s">
        <v>165</v>
      </c>
      <c r="D11" s="13" t="s">
        <v>825</v>
      </c>
      <c r="E11" s="13" t="s">
        <v>12</v>
      </c>
      <c r="F11" s="14" t="s">
        <v>11</v>
      </c>
      <c r="G11" s="14">
        <v>2</v>
      </c>
      <c r="H11" s="14">
        <f t="shared" si="0"/>
        <v>2</v>
      </c>
      <c r="J11" s="14">
        <v>1</v>
      </c>
      <c r="K11" s="13" t="s">
        <v>578</v>
      </c>
      <c r="L11" s="15" t="s">
        <v>166</v>
      </c>
      <c r="M11" s="15">
        <v>274</v>
      </c>
      <c r="N11" s="15">
        <v>72</v>
      </c>
      <c r="O11" s="15">
        <v>327400</v>
      </c>
      <c r="P11" s="15">
        <v>507200</v>
      </c>
    </row>
    <row r="12" spans="1:19" ht="19.5" customHeight="1" x14ac:dyDescent="0.25">
      <c r="A12" s="11" t="s">
        <v>1269</v>
      </c>
      <c r="B12" s="14" t="s">
        <v>126</v>
      </c>
      <c r="C12" s="10" t="s">
        <v>527</v>
      </c>
      <c r="D12" s="13" t="s">
        <v>528</v>
      </c>
      <c r="E12" s="13" t="s">
        <v>444</v>
      </c>
      <c r="F12" s="14" t="s">
        <v>11</v>
      </c>
      <c r="G12" s="14">
        <v>1</v>
      </c>
      <c r="H12" s="14">
        <f t="shared" si="0"/>
        <v>2</v>
      </c>
      <c r="I12" s="14">
        <v>1</v>
      </c>
      <c r="J12" s="14">
        <v>2</v>
      </c>
      <c r="K12" s="13" t="s">
        <v>867</v>
      </c>
      <c r="L12" s="15" t="s">
        <v>445</v>
      </c>
      <c r="M12" s="15">
        <v>1603</v>
      </c>
      <c r="N12" s="15">
        <v>6355</v>
      </c>
      <c r="O12" s="15">
        <v>416030</v>
      </c>
      <c r="P12" s="15">
        <v>363550</v>
      </c>
    </row>
    <row r="13" spans="1:19" ht="19.5" customHeight="1" x14ac:dyDescent="0.25">
      <c r="A13" s="11" t="s">
        <v>1269</v>
      </c>
      <c r="B13" s="14" t="s">
        <v>191</v>
      </c>
      <c r="C13" s="10" t="s">
        <v>192</v>
      </c>
      <c r="D13" s="13" t="s">
        <v>92</v>
      </c>
      <c r="E13" s="13" t="s">
        <v>194</v>
      </c>
      <c r="F13" s="14" t="s">
        <v>11</v>
      </c>
      <c r="G13" s="14">
        <v>1</v>
      </c>
      <c r="H13" s="14">
        <f t="shared" si="0"/>
        <v>2</v>
      </c>
      <c r="I13" s="14">
        <v>1</v>
      </c>
      <c r="J13" s="14">
        <v>2</v>
      </c>
      <c r="K13" s="13" t="s">
        <v>690</v>
      </c>
      <c r="L13" s="15" t="s">
        <v>119</v>
      </c>
      <c r="M13" s="15">
        <v>112</v>
      </c>
      <c r="N13" s="15">
        <v>30</v>
      </c>
      <c r="O13" s="15">
        <v>311200</v>
      </c>
      <c r="P13" s="15">
        <v>103000</v>
      </c>
    </row>
    <row r="14" spans="1:19" ht="19.5" customHeight="1" x14ac:dyDescent="0.25">
      <c r="A14" s="11" t="s">
        <v>1269</v>
      </c>
      <c r="B14" s="14" t="s">
        <v>68</v>
      </c>
      <c r="C14" s="10" t="s">
        <v>891</v>
      </c>
      <c r="D14" s="13" t="s">
        <v>892</v>
      </c>
      <c r="E14" s="13" t="s">
        <v>600</v>
      </c>
      <c r="F14" s="14" t="s">
        <v>11</v>
      </c>
      <c r="H14" s="14">
        <f t="shared" ref="H14:H46" si="1">SUM(G14,I14)</f>
        <v>1</v>
      </c>
      <c r="I14" s="14">
        <v>1</v>
      </c>
      <c r="J14" s="14">
        <v>1</v>
      </c>
      <c r="K14" s="13" t="s">
        <v>893</v>
      </c>
      <c r="L14" s="15" t="s">
        <v>145</v>
      </c>
      <c r="M14" s="15">
        <v>6563</v>
      </c>
      <c r="N14" s="15">
        <v>8900</v>
      </c>
      <c r="O14" s="15">
        <v>365630</v>
      </c>
      <c r="P14" s="15">
        <v>89000</v>
      </c>
    </row>
    <row r="15" spans="1:19" ht="19.5" customHeight="1" x14ac:dyDescent="0.25">
      <c r="A15" s="11" t="s">
        <v>1269</v>
      </c>
      <c r="B15" s="14" t="s">
        <v>68</v>
      </c>
      <c r="C15" s="10" t="s">
        <v>382</v>
      </c>
      <c r="D15" s="13" t="s">
        <v>1279</v>
      </c>
      <c r="E15" s="13" t="s">
        <v>314</v>
      </c>
      <c r="F15" s="14" t="s">
        <v>11</v>
      </c>
      <c r="G15" s="14">
        <v>1</v>
      </c>
      <c r="H15" s="14">
        <f t="shared" si="1"/>
        <v>1</v>
      </c>
      <c r="J15" s="14">
        <v>1</v>
      </c>
      <c r="K15" s="13" t="s">
        <v>335</v>
      </c>
      <c r="L15" s="15" t="s">
        <v>119</v>
      </c>
      <c r="M15" s="15">
        <v>96585</v>
      </c>
      <c r="N15" s="15">
        <v>18584</v>
      </c>
      <c r="O15" s="15">
        <v>396585</v>
      </c>
      <c r="P15" s="15">
        <v>118584</v>
      </c>
    </row>
    <row r="16" spans="1:19" ht="19.5" customHeight="1" x14ac:dyDescent="0.25">
      <c r="A16" s="11" t="s">
        <v>1269</v>
      </c>
      <c r="B16" s="14" t="s">
        <v>68</v>
      </c>
      <c r="C16" s="10" t="s">
        <v>856</v>
      </c>
      <c r="D16" s="13" t="s">
        <v>859</v>
      </c>
      <c r="E16" s="13" t="s">
        <v>857</v>
      </c>
      <c r="F16" s="14" t="s">
        <v>11</v>
      </c>
      <c r="G16" s="14">
        <v>0</v>
      </c>
      <c r="H16" s="14">
        <f t="shared" si="1"/>
        <v>1</v>
      </c>
      <c r="I16" s="14">
        <v>1</v>
      </c>
      <c r="J16" s="14">
        <v>1</v>
      </c>
      <c r="K16" s="13" t="s">
        <v>858</v>
      </c>
      <c r="L16" s="15" t="s">
        <v>119</v>
      </c>
      <c r="M16" s="15">
        <v>956</v>
      </c>
      <c r="N16" s="15">
        <v>106</v>
      </c>
      <c r="O16" s="15">
        <v>395600</v>
      </c>
      <c r="P16" s="15">
        <v>110600</v>
      </c>
    </row>
    <row r="17" spans="1:16" ht="19.5" customHeight="1" x14ac:dyDescent="0.25">
      <c r="A17" s="11" t="s">
        <v>1269</v>
      </c>
      <c r="B17" s="14" t="s">
        <v>68</v>
      </c>
      <c r="C17" s="17" t="s">
        <v>735</v>
      </c>
      <c r="D17" s="13" t="s">
        <v>26</v>
      </c>
      <c r="E17" s="13" t="s">
        <v>600</v>
      </c>
      <c r="F17" s="14" t="s">
        <v>11</v>
      </c>
      <c r="G17" s="14">
        <v>1</v>
      </c>
      <c r="H17" s="14">
        <f t="shared" si="1"/>
        <v>1</v>
      </c>
      <c r="J17" s="14">
        <v>1</v>
      </c>
      <c r="K17" s="13" t="s">
        <v>733</v>
      </c>
      <c r="L17" s="15" t="s">
        <v>145</v>
      </c>
      <c r="M17" s="15">
        <v>584</v>
      </c>
      <c r="N17" s="15">
        <v>871</v>
      </c>
      <c r="O17" s="15">
        <v>358400</v>
      </c>
      <c r="P17" s="15">
        <v>87100</v>
      </c>
    </row>
    <row r="18" spans="1:16" ht="19.5" customHeight="1" x14ac:dyDescent="0.25">
      <c r="A18" s="11" t="s">
        <v>1269</v>
      </c>
      <c r="B18" s="14" t="s">
        <v>68</v>
      </c>
      <c r="C18" s="10" t="s">
        <v>695</v>
      </c>
      <c r="D18" s="13" t="s">
        <v>26</v>
      </c>
      <c r="E18" s="13" t="s">
        <v>696</v>
      </c>
      <c r="F18" s="14" t="s">
        <v>11</v>
      </c>
      <c r="H18" s="14">
        <f t="shared" si="1"/>
        <v>1</v>
      </c>
      <c r="I18" s="14">
        <v>1</v>
      </c>
      <c r="J18" s="14">
        <v>1</v>
      </c>
      <c r="K18" s="13" t="s">
        <v>335</v>
      </c>
      <c r="L18" s="15" t="s">
        <v>697</v>
      </c>
      <c r="M18" s="15">
        <v>116</v>
      </c>
      <c r="N18" s="15">
        <v>946</v>
      </c>
      <c r="O18" s="15">
        <v>411600</v>
      </c>
      <c r="P18" s="15">
        <v>94600</v>
      </c>
    </row>
    <row r="19" spans="1:16" ht="19.5" customHeight="1" x14ac:dyDescent="0.25">
      <c r="A19" s="11" t="s">
        <v>1269</v>
      </c>
      <c r="B19" s="14" t="s">
        <v>68</v>
      </c>
      <c r="C19" s="10" t="s">
        <v>197</v>
      </c>
      <c r="D19" s="13" t="s">
        <v>92</v>
      </c>
      <c r="E19" s="13" t="s">
        <v>198</v>
      </c>
      <c r="F19" s="14" t="s">
        <v>11</v>
      </c>
      <c r="G19" s="14">
        <v>1</v>
      </c>
      <c r="H19" s="14">
        <f t="shared" si="1"/>
        <v>1</v>
      </c>
      <c r="J19" s="14">
        <v>1</v>
      </c>
      <c r="K19" s="13" t="s">
        <v>279</v>
      </c>
      <c r="L19" s="15" t="s">
        <v>145</v>
      </c>
      <c r="M19" s="15">
        <v>6693</v>
      </c>
      <c r="N19" s="15">
        <v>8848</v>
      </c>
      <c r="O19" s="15">
        <v>366930</v>
      </c>
      <c r="P19" s="15">
        <v>88480</v>
      </c>
    </row>
    <row r="20" spans="1:16" ht="19.5" customHeight="1" x14ac:dyDescent="0.25">
      <c r="A20" s="11" t="s">
        <v>1269</v>
      </c>
      <c r="B20" s="14" t="s">
        <v>68</v>
      </c>
      <c r="C20" s="17" t="s">
        <v>702</v>
      </c>
      <c r="D20" s="13" t="s">
        <v>26</v>
      </c>
      <c r="E20" s="13" t="s">
        <v>703</v>
      </c>
      <c r="F20" s="14" t="s">
        <v>11</v>
      </c>
      <c r="H20" s="14">
        <f t="shared" si="1"/>
        <v>1</v>
      </c>
      <c r="I20" s="14">
        <v>1</v>
      </c>
      <c r="J20" s="14">
        <v>1</v>
      </c>
      <c r="K20" s="13" t="s">
        <v>338</v>
      </c>
      <c r="L20" s="15" t="s">
        <v>145</v>
      </c>
      <c r="M20" s="15">
        <v>6651</v>
      </c>
      <c r="N20" s="15">
        <v>8879</v>
      </c>
      <c r="O20" s="15">
        <v>366510</v>
      </c>
      <c r="P20" s="15">
        <v>88790</v>
      </c>
    </row>
    <row r="21" spans="1:16" ht="19.5" customHeight="1" x14ac:dyDescent="0.25">
      <c r="A21" s="11" t="s">
        <v>1269</v>
      </c>
      <c r="B21" s="14" t="s">
        <v>68</v>
      </c>
      <c r="C21" s="10" t="s">
        <v>698</v>
      </c>
      <c r="D21" s="13" t="s">
        <v>26</v>
      </c>
      <c r="E21" s="13" t="s">
        <v>381</v>
      </c>
      <c r="F21" s="14" t="s">
        <v>11</v>
      </c>
      <c r="H21" s="14">
        <f t="shared" si="1"/>
        <v>1</v>
      </c>
      <c r="I21" s="14">
        <v>1</v>
      </c>
      <c r="J21" s="14">
        <v>1</v>
      </c>
      <c r="K21" s="13" t="s">
        <v>335</v>
      </c>
      <c r="L21" s="15" t="s">
        <v>119</v>
      </c>
      <c r="M21" s="15">
        <v>971</v>
      </c>
      <c r="N21" s="15">
        <v>122</v>
      </c>
      <c r="O21" s="15">
        <v>397100</v>
      </c>
      <c r="P21" s="15">
        <v>112200</v>
      </c>
    </row>
    <row r="22" spans="1:16" ht="19.5" customHeight="1" x14ac:dyDescent="0.25">
      <c r="A22" s="11" t="s">
        <v>1269</v>
      </c>
      <c r="B22" s="14" t="s">
        <v>68</v>
      </c>
      <c r="C22" s="10" t="s">
        <v>343</v>
      </c>
      <c r="D22" s="13" t="s">
        <v>26</v>
      </c>
      <c r="E22" s="13" t="s">
        <v>314</v>
      </c>
      <c r="F22" s="14" t="s">
        <v>11</v>
      </c>
      <c r="H22" s="14">
        <f t="shared" si="1"/>
        <v>1</v>
      </c>
      <c r="I22" s="14">
        <v>1</v>
      </c>
      <c r="J22" s="14">
        <v>1</v>
      </c>
      <c r="K22" s="13" t="s">
        <v>335</v>
      </c>
      <c r="L22" s="15" t="s">
        <v>110</v>
      </c>
      <c r="M22" s="15">
        <v>1239</v>
      </c>
      <c r="N22" s="15">
        <v>17283</v>
      </c>
      <c r="O22" s="15">
        <v>401239</v>
      </c>
      <c r="P22" s="15">
        <v>117283</v>
      </c>
    </row>
    <row r="23" spans="1:16" ht="19.5" customHeight="1" x14ac:dyDescent="0.25">
      <c r="A23" s="11" t="s">
        <v>1269</v>
      </c>
      <c r="B23" s="14" t="s">
        <v>209</v>
      </c>
      <c r="C23" s="10" t="s">
        <v>823</v>
      </c>
      <c r="D23" s="13" t="s">
        <v>39</v>
      </c>
      <c r="E23" s="13" t="s">
        <v>1339</v>
      </c>
      <c r="F23" s="14" t="s">
        <v>11</v>
      </c>
      <c r="G23" s="14">
        <v>3</v>
      </c>
      <c r="H23" s="14">
        <f t="shared" si="1"/>
        <v>3</v>
      </c>
      <c r="J23" s="14">
        <v>2</v>
      </c>
      <c r="K23" s="13" t="s">
        <v>836</v>
      </c>
      <c r="L23" s="15" t="s">
        <v>140</v>
      </c>
      <c r="M23" s="15">
        <v>17</v>
      </c>
      <c r="N23" s="15">
        <v>15</v>
      </c>
      <c r="O23" s="15">
        <v>617500</v>
      </c>
      <c r="P23" s="15">
        <v>215500</v>
      </c>
    </row>
    <row r="24" spans="1:16" ht="19.5" customHeight="1" x14ac:dyDescent="0.25">
      <c r="A24" s="11" t="s">
        <v>1269</v>
      </c>
      <c r="B24" s="14" t="s">
        <v>64</v>
      </c>
      <c r="C24" s="10" t="s">
        <v>721</v>
      </c>
      <c r="D24" s="13" t="s">
        <v>26</v>
      </c>
      <c r="E24" s="13" t="s">
        <v>548</v>
      </c>
      <c r="F24" s="14" t="s">
        <v>11</v>
      </c>
      <c r="H24" s="14">
        <f t="shared" si="1"/>
        <v>1</v>
      </c>
      <c r="I24" s="14">
        <v>1</v>
      </c>
      <c r="J24" s="14">
        <v>1</v>
      </c>
      <c r="K24" s="13" t="s">
        <v>672</v>
      </c>
      <c r="L24" s="15" t="s">
        <v>111</v>
      </c>
      <c r="M24" s="15">
        <v>2090</v>
      </c>
      <c r="N24" s="15">
        <v>25431</v>
      </c>
      <c r="O24" s="15">
        <v>402090</v>
      </c>
      <c r="P24" s="15">
        <v>225431</v>
      </c>
    </row>
    <row r="25" spans="1:16" ht="19.5" customHeight="1" x14ac:dyDescent="0.25">
      <c r="A25" s="11" t="s">
        <v>1269</v>
      </c>
      <c r="B25" s="14" t="s">
        <v>64</v>
      </c>
      <c r="C25" s="10" t="s">
        <v>222</v>
      </c>
      <c r="D25" s="13" t="s">
        <v>26</v>
      </c>
      <c r="E25" s="13" t="s">
        <v>69</v>
      </c>
      <c r="F25" s="14" t="s">
        <v>11</v>
      </c>
      <c r="H25" s="14">
        <f t="shared" si="1"/>
        <v>1</v>
      </c>
      <c r="I25" s="14">
        <v>1</v>
      </c>
      <c r="J25" s="14">
        <v>1</v>
      </c>
      <c r="K25" s="13" t="s">
        <v>459</v>
      </c>
      <c r="L25" s="15" t="s">
        <v>111</v>
      </c>
      <c r="M25" s="15">
        <v>9576</v>
      </c>
      <c r="N25" s="15">
        <v>21203</v>
      </c>
      <c r="O25" s="15">
        <v>409576</v>
      </c>
      <c r="P25" s="15">
        <v>221203</v>
      </c>
    </row>
    <row r="26" spans="1:16" ht="19.5" customHeight="1" x14ac:dyDescent="0.25">
      <c r="A26" s="11" t="s">
        <v>1269</v>
      </c>
      <c r="B26" s="14" t="s">
        <v>64</v>
      </c>
      <c r="C26" s="10" t="s">
        <v>337</v>
      </c>
      <c r="D26" s="13" t="s">
        <v>26</v>
      </c>
      <c r="E26" s="13" t="s">
        <v>69</v>
      </c>
      <c r="F26" s="14" t="s">
        <v>11</v>
      </c>
      <c r="H26" s="14">
        <f t="shared" si="1"/>
        <v>1</v>
      </c>
      <c r="I26" s="14">
        <v>1</v>
      </c>
      <c r="J26" s="14">
        <v>1</v>
      </c>
      <c r="K26" s="13" t="s">
        <v>459</v>
      </c>
      <c r="L26" s="15" t="s">
        <v>113</v>
      </c>
      <c r="M26" s="15">
        <v>79383</v>
      </c>
      <c r="N26" s="15">
        <v>1321</v>
      </c>
      <c r="O26" s="15">
        <v>379383</v>
      </c>
      <c r="P26" s="15">
        <v>201321</v>
      </c>
    </row>
    <row r="27" spans="1:16" ht="19.5" customHeight="1" x14ac:dyDescent="0.25">
      <c r="A27" s="11" t="s">
        <v>1269</v>
      </c>
      <c r="B27" s="14" t="s">
        <v>64</v>
      </c>
      <c r="C27" s="17" t="s">
        <v>722</v>
      </c>
      <c r="D27" s="13" t="s">
        <v>26</v>
      </c>
      <c r="E27" s="13" t="s">
        <v>723</v>
      </c>
      <c r="F27" s="14" t="s">
        <v>11</v>
      </c>
      <c r="H27" s="14">
        <f t="shared" si="1"/>
        <v>1</v>
      </c>
      <c r="I27" s="14">
        <v>1</v>
      </c>
      <c r="J27" s="14">
        <v>1</v>
      </c>
      <c r="K27" s="13" t="s">
        <v>456</v>
      </c>
      <c r="L27" s="15" t="s">
        <v>113</v>
      </c>
      <c r="M27" s="15">
        <v>7896</v>
      </c>
      <c r="N27" s="15">
        <v>3</v>
      </c>
      <c r="O27" s="15">
        <v>378960</v>
      </c>
      <c r="P27" s="15">
        <v>200030</v>
      </c>
    </row>
    <row r="28" spans="1:16" ht="19.5" customHeight="1" x14ac:dyDescent="0.25">
      <c r="A28" s="11" t="s">
        <v>1269</v>
      </c>
      <c r="B28" s="14" t="s">
        <v>261</v>
      </c>
      <c r="C28" s="10" t="s">
        <v>861</v>
      </c>
      <c r="D28" s="13" t="s">
        <v>540</v>
      </c>
      <c r="E28" s="13" t="s">
        <v>601</v>
      </c>
      <c r="F28" s="14" t="s">
        <v>11</v>
      </c>
      <c r="H28" s="14">
        <v>1</v>
      </c>
      <c r="J28" s="14">
        <v>1</v>
      </c>
      <c r="K28" s="13" t="s">
        <v>860</v>
      </c>
      <c r="L28" s="15" t="s">
        <v>110</v>
      </c>
      <c r="M28" s="15">
        <v>366</v>
      </c>
      <c r="N28" s="15">
        <v>18</v>
      </c>
      <c r="O28" s="15">
        <v>436600</v>
      </c>
      <c r="P28" s="15">
        <v>101800</v>
      </c>
    </row>
    <row r="29" spans="1:16" ht="19.5" customHeight="1" x14ac:dyDescent="0.25">
      <c r="A29" s="11" t="s">
        <v>1269</v>
      </c>
      <c r="B29" s="14" t="s">
        <v>705</v>
      </c>
      <c r="C29" s="10" t="s">
        <v>706</v>
      </c>
      <c r="D29" s="13" t="s">
        <v>540</v>
      </c>
      <c r="E29" s="13" t="s">
        <v>707</v>
      </c>
      <c r="F29" s="14" t="s">
        <v>11</v>
      </c>
      <c r="G29" s="14">
        <v>1</v>
      </c>
      <c r="H29" s="14">
        <f t="shared" si="1"/>
        <v>1</v>
      </c>
      <c r="J29" s="14">
        <v>1</v>
      </c>
      <c r="K29" s="13" t="s">
        <v>358</v>
      </c>
      <c r="L29" s="15" t="s">
        <v>177</v>
      </c>
      <c r="M29" s="15">
        <v>341</v>
      </c>
      <c r="N29" s="15">
        <v>402</v>
      </c>
      <c r="O29" s="15">
        <v>534100</v>
      </c>
      <c r="P29" s="15">
        <v>240200</v>
      </c>
    </row>
    <row r="30" spans="1:16" ht="19.5" customHeight="1" x14ac:dyDescent="0.25">
      <c r="A30" s="11" t="s">
        <v>1269</v>
      </c>
      <c r="B30" s="14" t="s">
        <v>283</v>
      </c>
      <c r="C30" s="10" t="s">
        <v>760</v>
      </c>
      <c r="D30" s="13" t="s">
        <v>26</v>
      </c>
      <c r="E30" s="13" t="s">
        <v>757</v>
      </c>
      <c r="F30" s="14" t="s">
        <v>11</v>
      </c>
      <c r="G30" s="14">
        <v>1</v>
      </c>
      <c r="H30" s="14">
        <f t="shared" si="1"/>
        <v>1</v>
      </c>
      <c r="J30" s="14">
        <v>1</v>
      </c>
      <c r="K30" s="13" t="s">
        <v>764</v>
      </c>
      <c r="L30" s="15" t="s">
        <v>108</v>
      </c>
      <c r="M30" s="15">
        <v>6533</v>
      </c>
      <c r="N30" s="15">
        <v>5910</v>
      </c>
      <c r="O30" s="15">
        <v>565330</v>
      </c>
      <c r="P30" s="15">
        <v>159100</v>
      </c>
    </row>
    <row r="31" spans="1:16" ht="19.5" customHeight="1" x14ac:dyDescent="0.25">
      <c r="A31" s="11" t="s">
        <v>1269</v>
      </c>
      <c r="B31" s="14" t="s">
        <v>283</v>
      </c>
      <c r="C31" s="10" t="s">
        <v>761</v>
      </c>
      <c r="D31" s="13" t="s">
        <v>41</v>
      </c>
      <c r="E31" s="13" t="s">
        <v>757</v>
      </c>
      <c r="F31" s="14" t="s">
        <v>11</v>
      </c>
      <c r="G31" s="14">
        <v>1</v>
      </c>
      <c r="H31" s="14">
        <f t="shared" si="1"/>
        <v>1</v>
      </c>
      <c r="J31" s="14">
        <v>1</v>
      </c>
      <c r="K31" s="13" t="s">
        <v>763</v>
      </c>
      <c r="L31" s="15" t="s">
        <v>108</v>
      </c>
      <c r="M31" s="15">
        <v>6544</v>
      </c>
      <c r="N31" s="15">
        <v>6072</v>
      </c>
      <c r="O31" s="15">
        <v>565440</v>
      </c>
      <c r="P31" s="15">
        <v>160720</v>
      </c>
    </row>
    <row r="32" spans="1:16" ht="19.5" customHeight="1" x14ac:dyDescent="0.25">
      <c r="A32" s="11" t="s">
        <v>1269</v>
      </c>
      <c r="B32" s="14" t="s">
        <v>283</v>
      </c>
      <c r="C32" s="10" t="s">
        <v>762</v>
      </c>
      <c r="D32" s="13" t="s">
        <v>41</v>
      </c>
      <c r="E32" s="13" t="s">
        <v>757</v>
      </c>
      <c r="F32" s="14" t="s">
        <v>11</v>
      </c>
      <c r="G32" s="14">
        <v>1</v>
      </c>
      <c r="H32" s="14">
        <f t="shared" si="1"/>
        <v>1</v>
      </c>
      <c r="J32" s="14">
        <v>1</v>
      </c>
      <c r="K32" s="13" t="s">
        <v>763</v>
      </c>
      <c r="L32" s="15" t="s">
        <v>108</v>
      </c>
      <c r="M32" s="15">
        <v>7452</v>
      </c>
      <c r="N32" s="15">
        <v>6084</v>
      </c>
      <c r="O32" s="15">
        <v>574520</v>
      </c>
      <c r="P32" s="15">
        <v>160840</v>
      </c>
    </row>
    <row r="33" spans="1:16" ht="19.5" customHeight="1" x14ac:dyDescent="0.25">
      <c r="A33" s="11" t="s">
        <v>1269</v>
      </c>
      <c r="B33" s="14" t="s">
        <v>430</v>
      </c>
      <c r="C33" s="10" t="s">
        <v>911</v>
      </c>
      <c r="D33" s="13" t="s">
        <v>913</v>
      </c>
      <c r="E33" s="13" t="s">
        <v>912</v>
      </c>
      <c r="F33" s="14" t="s">
        <v>11</v>
      </c>
      <c r="H33" s="14">
        <f t="shared" si="1"/>
        <v>1</v>
      </c>
      <c r="I33" s="14">
        <v>1</v>
      </c>
      <c r="J33" s="14">
        <v>1</v>
      </c>
      <c r="K33" s="13" t="s">
        <v>914</v>
      </c>
      <c r="L33" s="15" t="s">
        <v>431</v>
      </c>
      <c r="M33" s="15">
        <v>577</v>
      </c>
      <c r="N33" s="15">
        <v>459</v>
      </c>
      <c r="O33" s="15">
        <v>357700</v>
      </c>
      <c r="P33" s="15">
        <v>445900</v>
      </c>
    </row>
    <row r="34" spans="1:16" ht="19.5" customHeight="1" x14ac:dyDescent="0.25">
      <c r="A34" s="11" t="s">
        <v>1269</v>
      </c>
      <c r="B34" s="14" t="s">
        <v>328</v>
      </c>
      <c r="C34" s="10" t="s">
        <v>418</v>
      </c>
      <c r="D34" s="13" t="s">
        <v>26</v>
      </c>
      <c r="E34" s="13" t="s">
        <v>419</v>
      </c>
      <c r="F34" s="14" t="s">
        <v>11</v>
      </c>
      <c r="H34" s="14">
        <f t="shared" si="1"/>
        <v>1</v>
      </c>
      <c r="I34" s="14">
        <v>1</v>
      </c>
      <c r="J34" s="14">
        <v>1</v>
      </c>
      <c r="K34" s="13" t="s">
        <v>358</v>
      </c>
      <c r="L34" s="15" t="s">
        <v>175</v>
      </c>
      <c r="M34" s="15">
        <v>4278</v>
      </c>
      <c r="N34" s="15">
        <v>7126</v>
      </c>
      <c r="O34" s="15">
        <v>542780</v>
      </c>
      <c r="P34" s="15">
        <v>371260</v>
      </c>
    </row>
    <row r="35" spans="1:16" ht="19.5" customHeight="1" x14ac:dyDescent="0.25">
      <c r="A35" s="11" t="s">
        <v>1269</v>
      </c>
      <c r="B35" s="14" t="s">
        <v>78</v>
      </c>
      <c r="C35" s="10" t="s">
        <v>392</v>
      </c>
      <c r="D35" s="13" t="s">
        <v>18</v>
      </c>
      <c r="E35" s="13" t="s">
        <v>141</v>
      </c>
      <c r="F35" s="14" t="s">
        <v>11</v>
      </c>
      <c r="H35" s="14">
        <f t="shared" si="1"/>
        <v>1</v>
      </c>
      <c r="I35" s="14">
        <v>1</v>
      </c>
      <c r="J35" s="14">
        <v>1</v>
      </c>
      <c r="K35" s="13" t="s">
        <v>863</v>
      </c>
      <c r="L35" s="15" t="s">
        <v>393</v>
      </c>
      <c r="M35" s="15">
        <v>2398</v>
      </c>
      <c r="N35" s="15">
        <v>601</v>
      </c>
      <c r="O35" s="15">
        <v>623980</v>
      </c>
      <c r="P35" s="15">
        <v>306010</v>
      </c>
    </row>
    <row r="36" spans="1:16" ht="19.5" customHeight="1" x14ac:dyDescent="0.25">
      <c r="A36" s="11" t="s">
        <v>1269</v>
      </c>
      <c r="B36" s="14" t="s">
        <v>78</v>
      </c>
      <c r="C36" s="10" t="s">
        <v>565</v>
      </c>
      <c r="D36" s="13" t="s">
        <v>158</v>
      </c>
      <c r="E36" s="13" t="s">
        <v>566</v>
      </c>
      <c r="F36" s="14" t="s">
        <v>11</v>
      </c>
      <c r="G36" s="14">
        <v>1</v>
      </c>
      <c r="H36" s="14">
        <f t="shared" si="1"/>
        <v>3</v>
      </c>
      <c r="I36" s="14">
        <v>2</v>
      </c>
      <c r="J36" s="14">
        <v>3</v>
      </c>
      <c r="K36" s="13" t="s">
        <v>820</v>
      </c>
      <c r="L36" s="15" t="s">
        <v>177</v>
      </c>
      <c r="M36" s="15">
        <v>81758</v>
      </c>
      <c r="N36" s="15">
        <v>89781</v>
      </c>
      <c r="O36" s="15">
        <v>581758</v>
      </c>
      <c r="P36" s="15">
        <v>289781</v>
      </c>
    </row>
    <row r="37" spans="1:16" ht="19.5" customHeight="1" x14ac:dyDescent="0.25">
      <c r="A37" s="11" t="s">
        <v>1269</v>
      </c>
      <c r="B37" s="14" t="s">
        <v>206</v>
      </c>
      <c r="C37" s="10" t="s">
        <v>685</v>
      </c>
      <c r="D37" s="13" t="s">
        <v>1279</v>
      </c>
      <c r="E37" s="13" t="s">
        <v>685</v>
      </c>
      <c r="F37" s="14" t="s">
        <v>11</v>
      </c>
      <c r="G37" s="14">
        <v>1</v>
      </c>
      <c r="H37" s="14">
        <f t="shared" si="1"/>
        <v>1</v>
      </c>
      <c r="J37" s="14">
        <v>1</v>
      </c>
      <c r="K37" s="13" t="s">
        <v>686</v>
      </c>
      <c r="L37" s="15" t="s">
        <v>113</v>
      </c>
      <c r="M37" s="15">
        <v>62</v>
      </c>
      <c r="N37" s="15">
        <v>12</v>
      </c>
      <c r="O37" s="15">
        <v>362500</v>
      </c>
      <c r="P37" s="15">
        <v>212500</v>
      </c>
    </row>
    <row r="38" spans="1:16" ht="19.5" customHeight="1" x14ac:dyDescent="0.25">
      <c r="A38" s="11" t="s">
        <v>1269</v>
      </c>
      <c r="B38" s="14" t="s">
        <v>46</v>
      </c>
      <c r="C38" s="10" t="s">
        <v>45</v>
      </c>
      <c r="D38" s="13" t="s">
        <v>1279</v>
      </c>
      <c r="E38" s="13" t="s">
        <v>45</v>
      </c>
      <c r="F38" s="14" t="s">
        <v>11</v>
      </c>
      <c r="G38" s="14">
        <v>4</v>
      </c>
      <c r="H38" s="14">
        <f t="shared" si="1"/>
        <v>4</v>
      </c>
      <c r="J38" s="14">
        <v>4</v>
      </c>
      <c r="K38" s="13" t="s">
        <v>905</v>
      </c>
      <c r="L38" s="15" t="s">
        <v>398</v>
      </c>
      <c r="M38" s="15">
        <v>992</v>
      </c>
      <c r="N38" s="15">
        <v>278</v>
      </c>
      <c r="O38" s="15">
        <v>399200</v>
      </c>
      <c r="P38" s="15">
        <v>627800</v>
      </c>
    </row>
    <row r="39" spans="1:16" ht="19.5" customHeight="1" x14ac:dyDescent="0.25">
      <c r="A39" s="11" t="s">
        <v>1269</v>
      </c>
      <c r="B39" s="14" t="s">
        <v>62</v>
      </c>
      <c r="C39" s="10" t="s">
        <v>102</v>
      </c>
      <c r="D39" s="13" t="s">
        <v>1279</v>
      </c>
      <c r="E39" s="13" t="s">
        <v>102</v>
      </c>
      <c r="F39" s="14" t="s">
        <v>11</v>
      </c>
      <c r="G39" s="14">
        <v>1</v>
      </c>
      <c r="H39" s="14">
        <f t="shared" si="1"/>
        <v>1</v>
      </c>
      <c r="J39" s="14">
        <v>1</v>
      </c>
      <c r="K39" s="13" t="s">
        <v>264</v>
      </c>
      <c r="L39" s="15" t="s">
        <v>110</v>
      </c>
      <c r="M39" s="15">
        <v>355</v>
      </c>
      <c r="N39" s="15">
        <v>845</v>
      </c>
      <c r="O39" s="15">
        <v>435500</v>
      </c>
      <c r="P39" s="15">
        <v>184500</v>
      </c>
    </row>
    <row r="40" spans="1:16" ht="19.5" customHeight="1" x14ac:dyDescent="0.25">
      <c r="A40" s="11" t="s">
        <v>1269</v>
      </c>
      <c r="B40" s="14" t="s">
        <v>62</v>
      </c>
      <c r="C40" s="10" t="s">
        <v>354</v>
      </c>
      <c r="D40" s="13" t="s">
        <v>540</v>
      </c>
      <c r="E40" s="13" t="s">
        <v>102</v>
      </c>
      <c r="F40" s="14" t="s">
        <v>11</v>
      </c>
      <c r="G40" s="14">
        <v>1</v>
      </c>
      <c r="H40" s="14">
        <f t="shared" si="1"/>
        <v>1</v>
      </c>
      <c r="J40" s="14">
        <v>1</v>
      </c>
      <c r="K40" s="13" t="s">
        <v>860</v>
      </c>
      <c r="L40" s="15" t="s">
        <v>110</v>
      </c>
      <c r="M40" s="15">
        <v>5167</v>
      </c>
      <c r="N40" s="15">
        <v>9830</v>
      </c>
      <c r="O40" s="15">
        <v>451670</v>
      </c>
      <c r="P40" s="15">
        <v>198300</v>
      </c>
    </row>
    <row r="41" spans="1:16" ht="19.5" customHeight="1" x14ac:dyDescent="0.25">
      <c r="A41" s="11" t="s">
        <v>1269</v>
      </c>
      <c r="B41" s="14" t="s">
        <v>62</v>
      </c>
      <c r="C41" s="10" t="s">
        <v>365</v>
      </c>
      <c r="D41" s="13" t="s">
        <v>366</v>
      </c>
      <c r="E41" s="13" t="s">
        <v>364</v>
      </c>
      <c r="F41" s="14" t="s">
        <v>11</v>
      </c>
      <c r="G41" s="14">
        <v>1</v>
      </c>
      <c r="H41" s="14">
        <f t="shared" si="1"/>
        <v>1</v>
      </c>
      <c r="J41" s="14">
        <v>1</v>
      </c>
      <c r="K41" s="13" t="s">
        <v>868</v>
      </c>
      <c r="L41" s="15" t="s">
        <v>111</v>
      </c>
      <c r="M41" s="15">
        <v>411</v>
      </c>
      <c r="N41" s="15">
        <v>48</v>
      </c>
      <c r="O41" s="15">
        <v>441100</v>
      </c>
      <c r="P41" s="15">
        <v>204800</v>
      </c>
    </row>
    <row r="42" spans="1:16" ht="19.5" customHeight="1" x14ac:dyDescent="0.25">
      <c r="A42" s="11" t="s">
        <v>1269</v>
      </c>
      <c r="B42" s="14" t="s">
        <v>62</v>
      </c>
      <c r="C42" s="10" t="s">
        <v>864</v>
      </c>
      <c r="D42" s="13" t="s">
        <v>865</v>
      </c>
      <c r="E42" s="13" t="s">
        <v>386</v>
      </c>
      <c r="F42" s="14" t="s">
        <v>11</v>
      </c>
      <c r="G42" s="14">
        <v>2</v>
      </c>
      <c r="H42" s="14">
        <f t="shared" si="1"/>
        <v>2</v>
      </c>
      <c r="J42" s="14">
        <v>1</v>
      </c>
      <c r="K42" s="13" t="s">
        <v>863</v>
      </c>
      <c r="L42" s="15" t="s">
        <v>110</v>
      </c>
      <c r="M42" s="15">
        <v>5738</v>
      </c>
      <c r="N42" s="15">
        <v>9546</v>
      </c>
      <c r="O42" s="15">
        <v>457380</v>
      </c>
      <c r="P42" s="15">
        <v>195460</v>
      </c>
    </row>
    <row r="43" spans="1:16" ht="19.5" customHeight="1" x14ac:dyDescent="0.25">
      <c r="A43" s="11" t="s">
        <v>1269</v>
      </c>
      <c r="B43" s="14" t="s">
        <v>62</v>
      </c>
      <c r="C43" s="10" t="s">
        <v>692</v>
      </c>
      <c r="D43" s="13" t="s">
        <v>158</v>
      </c>
      <c r="E43" s="13" t="s">
        <v>693</v>
      </c>
      <c r="F43" s="14" t="s">
        <v>11</v>
      </c>
      <c r="G43" s="14">
        <v>1</v>
      </c>
      <c r="H43" s="14">
        <f t="shared" si="1"/>
        <v>1</v>
      </c>
      <c r="J43" s="14">
        <v>1</v>
      </c>
      <c r="K43" s="13" t="s">
        <v>324</v>
      </c>
      <c r="L43" s="15" t="s">
        <v>110</v>
      </c>
      <c r="M43" s="15">
        <v>7100</v>
      </c>
      <c r="N43" s="15">
        <v>8143</v>
      </c>
      <c r="O43" s="15">
        <v>471000</v>
      </c>
      <c r="P43" s="15">
        <v>181430</v>
      </c>
    </row>
    <row r="44" spans="1:16" ht="19.5" customHeight="1" x14ac:dyDescent="0.25">
      <c r="A44" s="11" t="s">
        <v>1269</v>
      </c>
      <c r="B44" s="14" t="s">
        <v>62</v>
      </c>
      <c r="C44" s="10" t="s">
        <v>364</v>
      </c>
      <c r="D44" s="13" t="s">
        <v>90</v>
      </c>
      <c r="E44" s="13" t="s">
        <v>101</v>
      </c>
      <c r="F44" s="14" t="s">
        <v>11</v>
      </c>
      <c r="H44" s="14">
        <f t="shared" si="1"/>
        <v>1</v>
      </c>
      <c r="I44" s="14">
        <v>1</v>
      </c>
      <c r="J44" s="14">
        <v>1</v>
      </c>
      <c r="K44" s="13" t="s">
        <v>828</v>
      </c>
      <c r="L44" s="15" t="s">
        <v>111</v>
      </c>
      <c r="M44" s="15">
        <v>4162</v>
      </c>
      <c r="N44" s="15">
        <v>497</v>
      </c>
      <c r="O44" s="15">
        <v>441620</v>
      </c>
      <c r="P44" s="15">
        <v>204970</v>
      </c>
    </row>
    <row r="45" spans="1:16" ht="19.5" customHeight="1" x14ac:dyDescent="0.25">
      <c r="A45" s="11" t="s">
        <v>1269</v>
      </c>
      <c r="B45" s="14" t="s">
        <v>22</v>
      </c>
      <c r="C45" s="10" t="s">
        <v>406</v>
      </c>
      <c r="D45" s="13" t="s">
        <v>18</v>
      </c>
      <c r="E45" s="13" t="s">
        <v>512</v>
      </c>
      <c r="F45" s="14" t="s">
        <v>11</v>
      </c>
      <c r="G45" s="14">
        <v>1</v>
      </c>
      <c r="H45" s="14">
        <f t="shared" si="1"/>
        <v>1</v>
      </c>
      <c r="J45" s="14">
        <v>1</v>
      </c>
      <c r="K45" s="13" t="s">
        <v>863</v>
      </c>
      <c r="L45" s="15" t="s">
        <v>119</v>
      </c>
      <c r="M45" s="15">
        <v>4842</v>
      </c>
      <c r="N45" s="15">
        <v>5582</v>
      </c>
      <c r="O45" s="15">
        <v>348420</v>
      </c>
      <c r="P45" s="15">
        <v>155820</v>
      </c>
    </row>
    <row r="46" spans="1:16" ht="19.5" customHeight="1" x14ac:dyDescent="0.25">
      <c r="A46" s="11" t="s">
        <v>1269</v>
      </c>
      <c r="B46" s="14" t="s">
        <v>699</v>
      </c>
      <c r="C46" s="10" t="s">
        <v>700</v>
      </c>
      <c r="D46" s="13" t="s">
        <v>26</v>
      </c>
      <c r="E46" s="13" t="s">
        <v>701</v>
      </c>
      <c r="F46" s="14" t="s">
        <v>11</v>
      </c>
      <c r="H46" s="14">
        <f t="shared" si="1"/>
        <v>1</v>
      </c>
      <c r="I46" s="14">
        <v>1</v>
      </c>
      <c r="J46" s="14">
        <v>1</v>
      </c>
      <c r="K46" s="13" t="s">
        <v>335</v>
      </c>
      <c r="L46" s="15" t="s">
        <v>110</v>
      </c>
      <c r="M46" s="15">
        <v>8607</v>
      </c>
      <c r="N46" s="15">
        <v>4792</v>
      </c>
      <c r="O46" s="15">
        <v>486070</v>
      </c>
      <c r="P46" s="15">
        <v>147920</v>
      </c>
    </row>
    <row r="47" spans="1:16" ht="19.5" customHeight="1" x14ac:dyDescent="0.25">
      <c r="A47" s="11" t="s">
        <v>1269</v>
      </c>
      <c r="B47" s="14" t="s">
        <v>93</v>
      </c>
      <c r="C47" s="10" t="s">
        <v>157</v>
      </c>
      <c r="D47" s="13" t="s">
        <v>158</v>
      </c>
      <c r="E47" s="13" t="s">
        <v>112</v>
      </c>
      <c r="F47" s="14" t="s">
        <v>11</v>
      </c>
      <c r="G47" s="14">
        <v>1</v>
      </c>
      <c r="H47" s="14">
        <f t="shared" ref="H47:H58" si="2">SUM(G47,I47)</f>
        <v>1</v>
      </c>
      <c r="J47" s="14">
        <v>1</v>
      </c>
      <c r="K47" s="13" t="s">
        <v>324</v>
      </c>
      <c r="L47" s="15" t="s">
        <v>108</v>
      </c>
      <c r="M47" s="15">
        <v>1360</v>
      </c>
      <c r="N47" s="15">
        <v>788</v>
      </c>
      <c r="O47" s="15">
        <v>513600</v>
      </c>
      <c r="P47" s="15">
        <v>107880</v>
      </c>
    </row>
    <row r="48" spans="1:16" ht="19.5" customHeight="1" x14ac:dyDescent="0.25">
      <c r="A48" s="11" t="s">
        <v>1269</v>
      </c>
      <c r="B48" s="14" t="s">
        <v>93</v>
      </c>
      <c r="C48" s="10" t="s">
        <v>202</v>
      </c>
      <c r="D48" s="13" t="s">
        <v>92</v>
      </c>
      <c r="E48" s="13" t="s">
        <v>205</v>
      </c>
      <c r="F48" s="14" t="s">
        <v>11</v>
      </c>
      <c r="G48" s="14">
        <v>1</v>
      </c>
      <c r="H48" s="14">
        <f t="shared" si="2"/>
        <v>2</v>
      </c>
      <c r="I48" s="14">
        <v>1</v>
      </c>
      <c r="J48" s="14">
        <v>2</v>
      </c>
      <c r="K48" s="13" t="s">
        <v>819</v>
      </c>
      <c r="L48" s="15" t="s">
        <v>108</v>
      </c>
      <c r="M48" s="15">
        <v>3303</v>
      </c>
      <c r="N48" s="15">
        <v>477</v>
      </c>
      <c r="O48" s="15">
        <v>533030</v>
      </c>
      <c r="P48" s="15">
        <v>104770</v>
      </c>
    </row>
    <row r="49" spans="1:16" ht="19.5" customHeight="1" x14ac:dyDescent="0.25">
      <c r="A49" s="11" t="s">
        <v>1269</v>
      </c>
      <c r="B49" s="14" t="s">
        <v>24</v>
      </c>
      <c r="C49" s="10" t="s">
        <v>23</v>
      </c>
      <c r="D49" s="13" t="s">
        <v>124</v>
      </c>
      <c r="E49" s="13" t="s">
        <v>21</v>
      </c>
      <c r="F49" s="14" t="s">
        <v>11</v>
      </c>
      <c r="G49" s="14">
        <v>4</v>
      </c>
      <c r="H49" s="14">
        <f t="shared" si="2"/>
        <v>6</v>
      </c>
      <c r="I49" s="14">
        <v>2</v>
      </c>
      <c r="J49" s="14">
        <v>5</v>
      </c>
      <c r="K49" s="13" t="s">
        <v>900</v>
      </c>
      <c r="L49" s="15" t="s">
        <v>110</v>
      </c>
      <c r="M49" s="15">
        <v>1026</v>
      </c>
      <c r="N49" s="15">
        <v>6996</v>
      </c>
      <c r="O49" s="15">
        <v>410260</v>
      </c>
      <c r="P49" s="15">
        <v>169960</v>
      </c>
    </row>
    <row r="50" spans="1:16" ht="19.5" customHeight="1" x14ac:dyDescent="0.25">
      <c r="A50" s="11" t="s">
        <v>1269</v>
      </c>
      <c r="B50" s="14" t="s">
        <v>24</v>
      </c>
      <c r="C50" s="10" t="s">
        <v>23</v>
      </c>
      <c r="D50" s="13" t="s">
        <v>39</v>
      </c>
      <c r="E50" s="13" t="s">
        <v>21</v>
      </c>
      <c r="F50" s="14" t="s">
        <v>11</v>
      </c>
      <c r="H50" s="14">
        <f t="shared" si="2"/>
        <v>1</v>
      </c>
      <c r="I50" s="14">
        <v>1</v>
      </c>
      <c r="J50" s="14">
        <v>1</v>
      </c>
      <c r="K50" s="13" t="s">
        <v>541</v>
      </c>
      <c r="L50" s="15" t="s">
        <v>110</v>
      </c>
      <c r="M50" s="15">
        <v>102</v>
      </c>
      <c r="N50" s="15">
        <v>699</v>
      </c>
      <c r="O50" s="15">
        <v>410200</v>
      </c>
      <c r="P50" s="15">
        <v>169900</v>
      </c>
    </row>
    <row r="51" spans="1:16" ht="19.5" customHeight="1" x14ac:dyDescent="0.25">
      <c r="A51" s="11" t="s">
        <v>1269</v>
      </c>
      <c r="B51" s="14" t="s">
        <v>24</v>
      </c>
      <c r="C51" s="10" t="s">
        <v>545</v>
      </c>
      <c r="D51" s="13" t="s">
        <v>90</v>
      </c>
      <c r="E51" s="13" t="s">
        <v>550</v>
      </c>
      <c r="F51" s="14" t="s">
        <v>11</v>
      </c>
      <c r="H51" s="14">
        <f>SUM(G51,I51)</f>
        <v>1</v>
      </c>
      <c r="I51" s="14">
        <v>1</v>
      </c>
      <c r="J51" s="14">
        <v>1</v>
      </c>
      <c r="K51" s="13" t="s">
        <v>893</v>
      </c>
      <c r="L51" s="15" t="s">
        <v>145</v>
      </c>
      <c r="M51" s="15">
        <v>7995</v>
      </c>
      <c r="N51" s="15">
        <v>8199</v>
      </c>
      <c r="O51" s="15">
        <v>379950</v>
      </c>
      <c r="P51" s="15">
        <v>81990</v>
      </c>
    </row>
    <row r="52" spans="1:16" ht="19.5" customHeight="1" x14ac:dyDescent="0.25">
      <c r="A52" s="11" t="s">
        <v>1269</v>
      </c>
      <c r="B52" s="14" t="s">
        <v>24</v>
      </c>
      <c r="C52" s="10" t="s">
        <v>691</v>
      </c>
      <c r="D52" s="13" t="s">
        <v>854</v>
      </c>
      <c r="E52" s="13" t="s">
        <v>21</v>
      </c>
      <c r="F52" s="14" t="s">
        <v>11</v>
      </c>
      <c r="G52" s="14">
        <v>1</v>
      </c>
      <c r="H52" s="14">
        <f t="shared" si="2"/>
        <v>2</v>
      </c>
      <c r="I52" s="14">
        <v>1</v>
      </c>
      <c r="J52" s="14">
        <v>2</v>
      </c>
      <c r="K52" s="13" t="s">
        <v>855</v>
      </c>
      <c r="L52" s="15" t="s">
        <v>110</v>
      </c>
      <c r="M52" s="15">
        <v>2342</v>
      </c>
      <c r="N52" s="15">
        <v>3579</v>
      </c>
      <c r="O52" s="15">
        <v>423420</v>
      </c>
      <c r="P52" s="15">
        <v>135790</v>
      </c>
    </row>
    <row r="53" spans="1:16" ht="19.5" customHeight="1" x14ac:dyDescent="0.25">
      <c r="A53" s="11" t="s">
        <v>1269</v>
      </c>
      <c r="B53" s="14" t="s">
        <v>24</v>
      </c>
      <c r="C53" s="10" t="s">
        <v>88</v>
      </c>
      <c r="D53" s="13" t="s">
        <v>19</v>
      </c>
      <c r="E53" s="13" t="s">
        <v>21</v>
      </c>
      <c r="F53" s="14" t="s">
        <v>11</v>
      </c>
      <c r="G53" s="14">
        <v>1</v>
      </c>
      <c r="H53" s="14">
        <f t="shared" si="2"/>
        <v>1</v>
      </c>
      <c r="J53" s="14">
        <v>1</v>
      </c>
      <c r="K53" s="13" t="s">
        <v>279</v>
      </c>
      <c r="L53" s="15" t="s">
        <v>110</v>
      </c>
      <c r="M53" s="15">
        <v>1210</v>
      </c>
      <c r="N53" s="15">
        <v>6365</v>
      </c>
      <c r="O53" s="15">
        <v>412100</v>
      </c>
      <c r="P53" s="15">
        <v>163650</v>
      </c>
    </row>
    <row r="54" spans="1:16" ht="19.5" customHeight="1" x14ac:dyDescent="0.25">
      <c r="A54" s="11" t="s">
        <v>1269</v>
      </c>
      <c r="B54" s="14" t="s">
        <v>24</v>
      </c>
      <c r="C54" s="10" t="s">
        <v>341</v>
      </c>
      <c r="D54" s="13" t="s">
        <v>26</v>
      </c>
      <c r="E54" s="13" t="s">
        <v>21</v>
      </c>
      <c r="F54" s="14" t="s">
        <v>11</v>
      </c>
      <c r="H54" s="14">
        <f t="shared" si="2"/>
        <v>1</v>
      </c>
      <c r="I54" s="14">
        <v>1</v>
      </c>
      <c r="J54" s="14">
        <v>1</v>
      </c>
      <c r="K54" s="13" t="s">
        <v>459</v>
      </c>
      <c r="L54" s="15" t="s">
        <v>119</v>
      </c>
      <c r="M54" s="15">
        <v>8773</v>
      </c>
      <c r="N54" s="15">
        <v>7472</v>
      </c>
      <c r="O54" s="15">
        <v>387730</v>
      </c>
      <c r="P54" s="15">
        <v>174720</v>
      </c>
    </row>
    <row r="55" spans="1:16" ht="19.5" customHeight="1" x14ac:dyDescent="0.25">
      <c r="A55" s="11" t="s">
        <v>1269</v>
      </c>
      <c r="B55" s="14" t="s">
        <v>24</v>
      </c>
      <c r="C55" s="10" t="s">
        <v>122</v>
      </c>
      <c r="D55" s="13" t="s">
        <v>123</v>
      </c>
      <c r="E55" s="13" t="s">
        <v>21</v>
      </c>
      <c r="F55" s="14" t="s">
        <v>11</v>
      </c>
      <c r="G55" s="14">
        <v>1</v>
      </c>
      <c r="H55" s="14">
        <f t="shared" si="2"/>
        <v>1</v>
      </c>
      <c r="J55" s="14">
        <v>1</v>
      </c>
      <c r="K55" s="13" t="s">
        <v>868</v>
      </c>
      <c r="L55" s="15" t="s">
        <v>110</v>
      </c>
      <c r="M55" s="15">
        <v>1184</v>
      </c>
      <c r="N55" s="15">
        <v>6802</v>
      </c>
      <c r="O55" s="15">
        <v>411840</v>
      </c>
      <c r="P55" s="15">
        <v>168020</v>
      </c>
    </row>
    <row r="56" spans="1:16" ht="19.5" customHeight="1" x14ac:dyDescent="0.25">
      <c r="A56" s="11" t="s">
        <v>1269</v>
      </c>
      <c r="B56" s="14" t="s">
        <v>24</v>
      </c>
      <c r="C56" s="10" t="s">
        <v>13</v>
      </c>
      <c r="D56" s="13" t="s">
        <v>511</v>
      </c>
      <c r="E56" s="13" t="s">
        <v>21</v>
      </c>
      <c r="F56" s="14" t="s">
        <v>11</v>
      </c>
      <c r="G56" s="14">
        <v>6</v>
      </c>
      <c r="H56" s="14">
        <f>SUM(G56,I56)</f>
        <v>10</v>
      </c>
      <c r="I56" s="14">
        <v>4</v>
      </c>
      <c r="J56" s="14">
        <v>6</v>
      </c>
      <c r="K56" s="13" t="s">
        <v>908</v>
      </c>
      <c r="L56" s="15" t="s">
        <v>110</v>
      </c>
      <c r="M56" s="15">
        <v>1224</v>
      </c>
      <c r="N56" s="15">
        <v>4128</v>
      </c>
      <c r="O56" s="15">
        <v>412240</v>
      </c>
      <c r="P56" s="15">
        <v>141280</v>
      </c>
    </row>
    <row r="57" spans="1:16" ht="19.5" customHeight="1" x14ac:dyDescent="0.25">
      <c r="A57" s="11" t="s">
        <v>1269</v>
      </c>
      <c r="B57" s="14" t="s">
        <v>24</v>
      </c>
      <c r="C57" s="10" t="s">
        <v>25</v>
      </c>
      <c r="D57" s="13" t="s">
        <v>26</v>
      </c>
      <c r="E57" s="13" t="s">
        <v>21</v>
      </c>
      <c r="F57" s="14" t="s">
        <v>11</v>
      </c>
      <c r="H57" s="14">
        <f t="shared" si="2"/>
        <v>1</v>
      </c>
      <c r="I57" s="14">
        <v>1</v>
      </c>
      <c r="J57" s="14">
        <v>1</v>
      </c>
      <c r="K57" s="13" t="s">
        <v>466</v>
      </c>
      <c r="L57" s="15" t="s">
        <v>110</v>
      </c>
      <c r="M57" s="15">
        <v>1046</v>
      </c>
      <c r="N57" s="15">
        <v>6774</v>
      </c>
      <c r="O57" s="15">
        <v>410460</v>
      </c>
      <c r="P57" s="15">
        <v>167740</v>
      </c>
    </row>
    <row r="58" spans="1:16" ht="19.5" customHeight="1" x14ac:dyDescent="0.25">
      <c r="A58" s="11" t="s">
        <v>1269</v>
      </c>
      <c r="B58" s="14" t="s">
        <v>24</v>
      </c>
      <c r="C58" s="10" t="s">
        <v>28</v>
      </c>
      <c r="D58" s="13" t="s">
        <v>19</v>
      </c>
      <c r="E58" s="13" t="s">
        <v>21</v>
      </c>
      <c r="F58" s="14" t="s">
        <v>11</v>
      </c>
      <c r="G58" s="14">
        <v>34</v>
      </c>
      <c r="H58" s="14">
        <f t="shared" si="2"/>
        <v>35</v>
      </c>
      <c r="I58" s="14">
        <v>1</v>
      </c>
      <c r="J58" s="14">
        <v>21</v>
      </c>
      <c r="K58" s="13" t="s">
        <v>834</v>
      </c>
      <c r="L58" s="15" t="s">
        <v>110</v>
      </c>
      <c r="M58" s="15">
        <v>86</v>
      </c>
      <c r="N58" s="15">
        <v>714</v>
      </c>
      <c r="O58" s="15">
        <v>408600</v>
      </c>
      <c r="P58" s="15">
        <v>171400</v>
      </c>
    </row>
    <row r="59" spans="1:16" ht="19.5" customHeight="1" x14ac:dyDescent="0.25">
      <c r="A59" s="11" t="s">
        <v>1269</v>
      </c>
      <c r="B59" s="14" t="s">
        <v>24</v>
      </c>
      <c r="C59" s="10" t="s">
        <v>14</v>
      </c>
      <c r="D59" s="13" t="s">
        <v>17</v>
      </c>
      <c r="E59" s="13" t="s">
        <v>21</v>
      </c>
      <c r="F59" s="14" t="s">
        <v>11</v>
      </c>
      <c r="G59" s="14">
        <v>2</v>
      </c>
      <c r="H59" s="14">
        <f t="shared" ref="H59:H66" si="3">SUM(G59,I59)</f>
        <v>3</v>
      </c>
      <c r="I59" s="14">
        <v>1</v>
      </c>
      <c r="J59" s="14">
        <v>3</v>
      </c>
      <c r="K59" s="13" t="s">
        <v>869</v>
      </c>
      <c r="L59" s="15" t="s">
        <v>110</v>
      </c>
      <c r="M59" s="15">
        <v>1506</v>
      </c>
      <c r="N59" s="15">
        <v>4337</v>
      </c>
      <c r="O59" s="15">
        <v>415060</v>
      </c>
      <c r="P59" s="15">
        <v>143370</v>
      </c>
    </row>
    <row r="60" spans="1:16" ht="19.5" customHeight="1" x14ac:dyDescent="0.25">
      <c r="A60" s="11" t="s">
        <v>1269</v>
      </c>
      <c r="B60" s="14" t="s">
        <v>238</v>
      </c>
      <c r="C60" s="10" t="s">
        <v>239</v>
      </c>
      <c r="D60" s="13" t="s">
        <v>26</v>
      </c>
      <c r="E60" s="13" t="s">
        <v>236</v>
      </c>
      <c r="F60" s="14" t="s">
        <v>35</v>
      </c>
      <c r="H60" s="14">
        <f t="shared" si="3"/>
        <v>1</v>
      </c>
      <c r="I60" s="14">
        <v>1</v>
      </c>
      <c r="J60" s="14">
        <v>1</v>
      </c>
      <c r="K60" s="13" t="s">
        <v>507</v>
      </c>
      <c r="L60" s="15" t="s">
        <v>133</v>
      </c>
      <c r="M60" s="15">
        <v>2601</v>
      </c>
      <c r="N60" s="15">
        <v>4420</v>
      </c>
      <c r="O60" s="15">
        <v>326010</v>
      </c>
      <c r="P60" s="15">
        <v>944200</v>
      </c>
    </row>
    <row r="61" spans="1:16" ht="19.5" customHeight="1" x14ac:dyDescent="0.25">
      <c r="A61" s="11" t="s">
        <v>1269</v>
      </c>
      <c r="B61" s="14" t="s">
        <v>238</v>
      </c>
      <c r="C61" s="10" t="s">
        <v>750</v>
      </c>
      <c r="D61" s="13" t="s">
        <v>26</v>
      </c>
      <c r="E61" s="13" t="s">
        <v>236</v>
      </c>
      <c r="F61" s="14" t="s">
        <v>35</v>
      </c>
      <c r="H61" s="14">
        <f t="shared" si="3"/>
        <v>1</v>
      </c>
      <c r="I61" s="14">
        <v>1</v>
      </c>
      <c r="J61" s="14">
        <v>1</v>
      </c>
      <c r="K61" s="13" t="s">
        <v>507</v>
      </c>
      <c r="L61" s="15" t="s">
        <v>133</v>
      </c>
      <c r="M61" s="15">
        <v>308</v>
      </c>
      <c r="N61" s="15">
        <v>434</v>
      </c>
      <c r="O61" s="15">
        <v>330800</v>
      </c>
      <c r="P61" s="15">
        <v>943400</v>
      </c>
    </row>
    <row r="62" spans="1:16" ht="19.5" customHeight="1" x14ac:dyDescent="0.25">
      <c r="A62" s="11" t="s">
        <v>1269</v>
      </c>
      <c r="B62" s="13" t="s">
        <v>226</v>
      </c>
      <c r="C62" s="10" t="s">
        <v>717</v>
      </c>
      <c r="D62" s="13" t="s">
        <v>39</v>
      </c>
      <c r="E62" s="13" t="s">
        <v>228</v>
      </c>
      <c r="F62" s="14" t="s">
        <v>35</v>
      </c>
      <c r="H62" s="14">
        <f t="shared" si="3"/>
        <v>1</v>
      </c>
      <c r="I62" s="14">
        <v>1</v>
      </c>
      <c r="J62" s="14">
        <v>1</v>
      </c>
      <c r="K62" s="13" t="s">
        <v>372</v>
      </c>
      <c r="L62" s="15" t="s">
        <v>229</v>
      </c>
      <c r="M62" s="15">
        <v>19</v>
      </c>
      <c r="N62" s="15">
        <v>57</v>
      </c>
      <c r="O62" s="15">
        <v>219500</v>
      </c>
      <c r="P62" s="15">
        <v>557500</v>
      </c>
    </row>
    <row r="63" spans="1:16" ht="19.5" customHeight="1" x14ac:dyDescent="0.25">
      <c r="A63" s="11" t="s">
        <v>1269</v>
      </c>
      <c r="B63" s="13" t="s">
        <v>86</v>
      </c>
      <c r="C63" s="10" t="s">
        <v>712</v>
      </c>
      <c r="D63" s="13" t="s">
        <v>713</v>
      </c>
      <c r="E63" s="13" t="s">
        <v>714</v>
      </c>
      <c r="F63" s="14" t="s">
        <v>35</v>
      </c>
      <c r="G63" s="14">
        <v>1</v>
      </c>
      <c r="H63" s="14">
        <f t="shared" si="3"/>
        <v>1</v>
      </c>
      <c r="J63" s="14">
        <v>1</v>
      </c>
      <c r="K63" s="13" t="s">
        <v>372</v>
      </c>
      <c r="L63" s="15" t="s">
        <v>115</v>
      </c>
      <c r="M63" s="15">
        <v>144</v>
      </c>
      <c r="N63" s="15">
        <v>650</v>
      </c>
      <c r="O63" s="15">
        <v>314400</v>
      </c>
      <c r="P63" s="15">
        <v>865000</v>
      </c>
    </row>
    <row r="64" spans="1:16" ht="19.5" customHeight="1" x14ac:dyDescent="0.25">
      <c r="A64" s="11" t="s">
        <v>1269</v>
      </c>
      <c r="B64" s="14" t="s">
        <v>676</v>
      </c>
      <c r="C64" s="10" t="s">
        <v>747</v>
      </c>
      <c r="D64" s="13" t="s">
        <v>41</v>
      </c>
      <c r="E64" s="13" t="s">
        <v>745</v>
      </c>
      <c r="F64" s="14" t="s">
        <v>35</v>
      </c>
      <c r="H64" s="14">
        <f t="shared" si="3"/>
        <v>1</v>
      </c>
      <c r="I64" s="14">
        <v>1</v>
      </c>
      <c r="J64" s="14">
        <v>1</v>
      </c>
      <c r="K64" s="13" t="s">
        <v>507</v>
      </c>
      <c r="L64" s="15" t="s">
        <v>116</v>
      </c>
      <c r="M64" s="15">
        <v>7516</v>
      </c>
      <c r="N64" s="15">
        <v>7101</v>
      </c>
      <c r="O64" s="15">
        <v>17160</v>
      </c>
      <c r="P64" s="15">
        <v>871010</v>
      </c>
    </row>
    <row r="65" spans="1:16" ht="19.5" customHeight="1" x14ac:dyDescent="0.25">
      <c r="A65" s="11" t="s">
        <v>1269</v>
      </c>
      <c r="B65" s="14" t="s">
        <v>676</v>
      </c>
      <c r="C65" s="10" t="s">
        <v>748</v>
      </c>
      <c r="D65" s="13" t="s">
        <v>41</v>
      </c>
      <c r="E65" s="13" t="s">
        <v>745</v>
      </c>
      <c r="F65" s="14" t="s">
        <v>35</v>
      </c>
      <c r="H65" s="14">
        <f t="shared" si="3"/>
        <v>1</v>
      </c>
      <c r="I65" s="14">
        <v>1</v>
      </c>
      <c r="J65" s="14">
        <v>1</v>
      </c>
      <c r="K65" s="13" t="s">
        <v>507</v>
      </c>
      <c r="L65" s="15" t="s">
        <v>116</v>
      </c>
      <c r="M65" s="15">
        <v>80033</v>
      </c>
      <c r="N65" s="15">
        <v>66859</v>
      </c>
      <c r="O65" s="15">
        <v>80033</v>
      </c>
      <c r="P65" s="15">
        <v>866859</v>
      </c>
    </row>
    <row r="66" spans="1:16" ht="19.5" customHeight="1" x14ac:dyDescent="0.25">
      <c r="A66" s="11" t="s">
        <v>1269</v>
      </c>
      <c r="B66" s="14" t="s">
        <v>34</v>
      </c>
      <c r="C66" s="10" t="s">
        <v>33</v>
      </c>
      <c r="D66" s="13" t="s">
        <v>1279</v>
      </c>
      <c r="E66" s="13" t="s">
        <v>34</v>
      </c>
      <c r="F66" s="14" t="s">
        <v>35</v>
      </c>
      <c r="G66" s="14">
        <v>10</v>
      </c>
      <c r="H66" s="14">
        <f t="shared" si="3"/>
        <v>10</v>
      </c>
      <c r="J66" s="14">
        <v>8</v>
      </c>
      <c r="K66" s="13" t="s">
        <v>837</v>
      </c>
      <c r="L66" s="15" t="s">
        <v>114</v>
      </c>
      <c r="M66" s="15">
        <v>57283</v>
      </c>
      <c r="N66" s="15">
        <v>5722</v>
      </c>
      <c r="O66" s="15">
        <v>357283</v>
      </c>
      <c r="P66" s="15">
        <v>1005722</v>
      </c>
    </row>
    <row r="67" spans="1:16" ht="19.5" customHeight="1" x14ac:dyDescent="0.25">
      <c r="A67" s="11" t="s">
        <v>1269</v>
      </c>
      <c r="B67" s="14" t="s">
        <v>34</v>
      </c>
      <c r="C67" s="10" t="s">
        <v>40</v>
      </c>
      <c r="D67" s="13" t="s">
        <v>41</v>
      </c>
      <c r="E67" s="13" t="s">
        <v>33</v>
      </c>
      <c r="F67" s="14" t="s">
        <v>35</v>
      </c>
      <c r="G67" s="14">
        <v>1</v>
      </c>
      <c r="H67" s="14">
        <f t="shared" ref="H67:H90" si="4">SUM(G67,I67)</f>
        <v>1</v>
      </c>
      <c r="J67" s="14">
        <v>1</v>
      </c>
      <c r="K67" s="13" t="s">
        <v>752</v>
      </c>
      <c r="L67" s="15" t="s">
        <v>114</v>
      </c>
      <c r="M67" s="15">
        <v>3182</v>
      </c>
      <c r="N67" s="15">
        <v>1277</v>
      </c>
      <c r="O67" s="15">
        <v>331820</v>
      </c>
      <c r="P67" s="15">
        <v>1012770</v>
      </c>
    </row>
    <row r="68" spans="1:16" ht="19.5" customHeight="1" x14ac:dyDescent="0.25">
      <c r="A68" s="11" t="s">
        <v>1269</v>
      </c>
      <c r="B68" s="14" t="s">
        <v>34</v>
      </c>
      <c r="C68" s="10" t="s">
        <v>468</v>
      </c>
      <c r="D68" s="13" t="s">
        <v>39</v>
      </c>
      <c r="E68" s="13" t="s">
        <v>469</v>
      </c>
      <c r="F68" s="14" t="s">
        <v>35</v>
      </c>
      <c r="H68" s="14">
        <f t="shared" si="4"/>
        <v>2</v>
      </c>
      <c r="I68" s="14">
        <v>2</v>
      </c>
      <c r="J68" s="14">
        <v>1</v>
      </c>
      <c r="K68" s="13" t="s">
        <v>559</v>
      </c>
      <c r="L68" s="15" t="s">
        <v>114</v>
      </c>
      <c r="M68" s="15">
        <v>4398</v>
      </c>
      <c r="N68" s="15">
        <v>3224</v>
      </c>
      <c r="O68" s="15">
        <v>343980</v>
      </c>
      <c r="P68" s="15">
        <v>1032240</v>
      </c>
    </row>
    <row r="69" spans="1:16" ht="19.5" customHeight="1" x14ac:dyDescent="0.25">
      <c r="A69" s="11" t="s">
        <v>1269</v>
      </c>
      <c r="B69" s="14" t="s">
        <v>34</v>
      </c>
      <c r="C69" s="10" t="s">
        <v>38</v>
      </c>
      <c r="D69" s="13" t="s">
        <v>39</v>
      </c>
      <c r="E69" s="13" t="s">
        <v>33</v>
      </c>
      <c r="F69" s="14" t="s">
        <v>35</v>
      </c>
      <c r="G69" s="14">
        <v>9</v>
      </c>
      <c r="H69" s="14">
        <f>SUM(G69,I69)</f>
        <v>10</v>
      </c>
      <c r="I69" s="14">
        <v>1</v>
      </c>
      <c r="J69" s="14">
        <v>7</v>
      </c>
      <c r="K69" s="13" t="s">
        <v>862</v>
      </c>
      <c r="L69" s="15" t="s">
        <v>114</v>
      </c>
      <c r="M69" s="15">
        <v>2312</v>
      </c>
      <c r="N69" s="15">
        <v>1874</v>
      </c>
      <c r="O69" s="15">
        <v>323120</v>
      </c>
      <c r="P69" s="15">
        <v>1018740</v>
      </c>
    </row>
    <row r="70" spans="1:16" ht="19.5" customHeight="1" x14ac:dyDescent="0.25">
      <c r="A70" s="11" t="s">
        <v>1269</v>
      </c>
      <c r="B70" s="14" t="s">
        <v>34</v>
      </c>
      <c r="C70" s="10" t="s">
        <v>751</v>
      </c>
      <c r="D70" s="13" t="s">
        <v>41</v>
      </c>
      <c r="E70" s="13" t="s">
        <v>469</v>
      </c>
      <c r="F70" s="14" t="s">
        <v>35</v>
      </c>
      <c r="G70" s="14">
        <v>0</v>
      </c>
      <c r="H70" s="14">
        <f>SUM(G70,I70)</f>
        <v>1</v>
      </c>
      <c r="I70" s="14">
        <v>1</v>
      </c>
      <c r="J70" s="14">
        <v>1</v>
      </c>
      <c r="K70" s="13" t="s">
        <v>507</v>
      </c>
      <c r="L70" s="15" t="s">
        <v>114</v>
      </c>
      <c r="M70" s="15">
        <v>4257</v>
      </c>
      <c r="N70" s="15">
        <v>2761</v>
      </c>
      <c r="O70" s="15">
        <v>342570</v>
      </c>
      <c r="P70" s="15">
        <v>1027610</v>
      </c>
    </row>
    <row r="71" spans="1:16" ht="19.5" customHeight="1" x14ac:dyDescent="0.25">
      <c r="A71" s="11" t="s">
        <v>1269</v>
      </c>
      <c r="B71" s="14" t="s">
        <v>756</v>
      </c>
      <c r="C71" s="10" t="s">
        <v>315</v>
      </c>
      <c r="D71" s="13" t="s">
        <v>1279</v>
      </c>
      <c r="E71" s="13" t="s">
        <v>319</v>
      </c>
      <c r="F71" s="14" t="s">
        <v>35</v>
      </c>
      <c r="G71" s="14">
        <v>1</v>
      </c>
      <c r="H71" s="14">
        <f t="shared" si="4"/>
        <v>1</v>
      </c>
      <c r="J71" s="14">
        <v>1</v>
      </c>
      <c r="K71" s="13" t="s">
        <v>516</v>
      </c>
      <c r="L71" s="15" t="s">
        <v>318</v>
      </c>
      <c r="M71" s="15">
        <v>42287</v>
      </c>
      <c r="N71" s="15">
        <v>62792</v>
      </c>
      <c r="O71" s="15">
        <v>442287</v>
      </c>
      <c r="P71" s="15">
        <v>1162792</v>
      </c>
    </row>
    <row r="72" spans="1:16" ht="19.5" customHeight="1" x14ac:dyDescent="0.25">
      <c r="A72" s="11" t="s">
        <v>1269</v>
      </c>
      <c r="B72" s="14" t="s">
        <v>315</v>
      </c>
      <c r="C72" s="10" t="s">
        <v>316</v>
      </c>
      <c r="D72" s="13" t="s">
        <v>317</v>
      </c>
      <c r="E72" s="13" t="s">
        <v>319</v>
      </c>
      <c r="F72" s="14" t="s">
        <v>35</v>
      </c>
      <c r="G72" s="14">
        <v>1</v>
      </c>
      <c r="H72" s="14">
        <f t="shared" si="4"/>
        <v>1</v>
      </c>
      <c r="J72" s="14">
        <v>1</v>
      </c>
      <c r="K72" s="13" t="s">
        <v>502</v>
      </c>
      <c r="L72" s="15" t="s">
        <v>318</v>
      </c>
      <c r="M72" s="15">
        <v>3898</v>
      </c>
      <c r="N72" s="15">
        <v>1065</v>
      </c>
      <c r="O72" s="15">
        <v>438980</v>
      </c>
      <c r="P72" s="15">
        <v>1110650</v>
      </c>
    </row>
    <row r="73" spans="1:16" ht="19.5" customHeight="1" x14ac:dyDescent="0.25">
      <c r="A73" s="11" t="s">
        <v>1269</v>
      </c>
      <c r="B73" s="14" t="s">
        <v>709</v>
      </c>
      <c r="C73" s="10" t="s">
        <v>710</v>
      </c>
      <c r="D73" s="13" t="s">
        <v>39</v>
      </c>
      <c r="E73" s="13" t="s">
        <v>711</v>
      </c>
      <c r="F73" s="14" t="s">
        <v>35</v>
      </c>
      <c r="G73" s="14">
        <v>1</v>
      </c>
      <c r="H73" s="14">
        <f t="shared" si="4"/>
        <v>1</v>
      </c>
      <c r="J73" s="14">
        <v>1</v>
      </c>
      <c r="K73" s="13" t="s">
        <v>367</v>
      </c>
      <c r="L73" s="15" t="s">
        <v>429</v>
      </c>
      <c r="M73" s="15">
        <v>871</v>
      </c>
      <c r="N73" s="15">
        <v>789</v>
      </c>
      <c r="O73" s="15">
        <v>287100</v>
      </c>
      <c r="P73" s="15">
        <v>678900</v>
      </c>
    </row>
    <row r="74" spans="1:16" ht="32.25" customHeight="1" x14ac:dyDescent="0.25">
      <c r="A74" s="11" t="s">
        <v>1269</v>
      </c>
      <c r="B74" s="14" t="s">
        <v>718</v>
      </c>
      <c r="C74" s="10" t="s">
        <v>738</v>
      </c>
      <c r="D74" s="13" t="s">
        <v>741</v>
      </c>
      <c r="E74" s="13" t="s">
        <v>718</v>
      </c>
      <c r="F74" s="14" t="s">
        <v>739</v>
      </c>
      <c r="G74" s="14">
        <v>3</v>
      </c>
      <c r="H74" s="14">
        <f t="shared" si="4"/>
        <v>3</v>
      </c>
      <c r="J74" s="14">
        <v>1</v>
      </c>
      <c r="K74" s="13" t="s">
        <v>494</v>
      </c>
      <c r="L74" s="15" t="s">
        <v>740</v>
      </c>
      <c r="M74" s="15">
        <v>277</v>
      </c>
      <c r="N74" s="15">
        <v>688</v>
      </c>
      <c r="O74" s="15">
        <v>227700</v>
      </c>
      <c r="P74" s="15">
        <v>468800</v>
      </c>
    </row>
    <row r="75" spans="1:16" ht="19.5" customHeight="1" x14ac:dyDescent="0.25">
      <c r="A75" s="11" t="s">
        <v>1269</v>
      </c>
      <c r="B75" s="14" t="s">
        <v>55</v>
      </c>
      <c r="C75" s="10" t="s">
        <v>734</v>
      </c>
      <c r="D75" s="13" t="s">
        <v>41</v>
      </c>
      <c r="E75" s="13" t="s">
        <v>57</v>
      </c>
      <c r="F75" s="14" t="s">
        <v>56</v>
      </c>
      <c r="G75" s="14">
        <v>1</v>
      </c>
      <c r="H75" s="14">
        <f>SUM(G75,I75)</f>
        <v>1</v>
      </c>
      <c r="J75" s="14">
        <v>1</v>
      </c>
      <c r="K75" s="13" t="s">
        <v>733</v>
      </c>
      <c r="L75" s="15" t="s">
        <v>153</v>
      </c>
      <c r="M75" s="15">
        <v>998</v>
      </c>
      <c r="N75" s="15">
        <v>3698</v>
      </c>
      <c r="O75" s="15">
        <v>209980</v>
      </c>
      <c r="P75" s="15">
        <v>236980</v>
      </c>
    </row>
    <row r="76" spans="1:16" ht="19.5" customHeight="1" x14ac:dyDescent="0.25">
      <c r="A76" s="11" t="s">
        <v>1269</v>
      </c>
      <c r="B76" s="14" t="s">
        <v>55</v>
      </c>
      <c r="C76" s="10" t="s">
        <v>58</v>
      </c>
      <c r="D76" s="13" t="s">
        <v>151</v>
      </c>
      <c r="E76" s="13" t="s">
        <v>57</v>
      </c>
      <c r="F76" s="14" t="s">
        <v>56</v>
      </c>
      <c r="G76" s="14">
        <v>3</v>
      </c>
      <c r="H76" s="14">
        <f t="shared" si="4"/>
        <v>3</v>
      </c>
      <c r="J76" s="14">
        <v>2</v>
      </c>
      <c r="K76" s="13" t="s">
        <v>899</v>
      </c>
      <c r="L76" s="15" t="s">
        <v>153</v>
      </c>
      <c r="M76" s="15">
        <v>211</v>
      </c>
      <c r="N76" s="15">
        <v>326</v>
      </c>
      <c r="O76" s="15">
        <v>211100</v>
      </c>
      <c r="P76" s="15">
        <v>232600</v>
      </c>
    </row>
    <row r="77" spans="1:16" ht="19.5" customHeight="1" x14ac:dyDescent="0.25">
      <c r="A77" s="11" t="s">
        <v>1269</v>
      </c>
      <c r="B77" s="14" t="s">
        <v>593</v>
      </c>
      <c r="C77" s="10" t="s">
        <v>720</v>
      </c>
      <c r="D77" s="13" t="s">
        <v>41</v>
      </c>
      <c r="E77" s="13" t="s">
        <v>720</v>
      </c>
      <c r="F77" s="14" t="s">
        <v>56</v>
      </c>
      <c r="G77" s="14">
        <v>1</v>
      </c>
      <c r="H77" s="14">
        <f t="shared" si="4"/>
        <v>1</v>
      </c>
      <c r="J77" s="14">
        <v>1</v>
      </c>
      <c r="K77" s="13" t="s">
        <v>456</v>
      </c>
      <c r="L77" s="15" t="s">
        <v>596</v>
      </c>
      <c r="M77" s="15">
        <v>429</v>
      </c>
      <c r="N77" s="15">
        <v>914</v>
      </c>
      <c r="O77" s="15">
        <v>242900</v>
      </c>
      <c r="P77" s="15">
        <v>191400</v>
      </c>
    </row>
    <row r="78" spans="1:16" ht="19.5" customHeight="1" x14ac:dyDescent="0.25">
      <c r="A78" s="11" t="s">
        <v>1269</v>
      </c>
      <c r="B78" s="14" t="s">
        <v>161</v>
      </c>
      <c r="C78" s="10" t="s">
        <v>162</v>
      </c>
      <c r="D78" s="13" t="s">
        <v>825</v>
      </c>
      <c r="E78" s="13" t="s">
        <v>826</v>
      </c>
      <c r="F78" s="14" t="s">
        <v>56</v>
      </c>
      <c r="G78" s="14">
        <v>3</v>
      </c>
      <c r="H78" s="14">
        <f t="shared" si="4"/>
        <v>4</v>
      </c>
      <c r="I78" s="14">
        <v>1</v>
      </c>
      <c r="J78" s="14">
        <v>3</v>
      </c>
      <c r="K78" s="13" t="s">
        <v>835</v>
      </c>
      <c r="L78" s="15" t="s">
        <v>164</v>
      </c>
      <c r="M78" s="15">
        <v>717</v>
      </c>
      <c r="N78" s="15">
        <v>749</v>
      </c>
      <c r="O78" s="15">
        <v>271700</v>
      </c>
      <c r="P78" s="15">
        <v>374900</v>
      </c>
    </row>
    <row r="79" spans="1:16" ht="19.5" customHeight="1" x14ac:dyDescent="0.25">
      <c r="A79" s="11" t="s">
        <v>1269</v>
      </c>
      <c r="B79" s="14" t="s">
        <v>66</v>
      </c>
      <c r="C79" s="10" t="s">
        <v>273</v>
      </c>
      <c r="D79" s="13" t="s">
        <v>41</v>
      </c>
      <c r="E79" s="13" t="s">
        <v>274</v>
      </c>
      <c r="F79" s="14" t="s">
        <v>56</v>
      </c>
      <c r="H79" s="14">
        <f t="shared" si="4"/>
        <v>1</v>
      </c>
      <c r="I79" s="14">
        <v>1</v>
      </c>
      <c r="J79" s="14">
        <v>1</v>
      </c>
      <c r="K79" s="13" t="s">
        <v>456</v>
      </c>
      <c r="L79" s="15" t="s">
        <v>113</v>
      </c>
      <c r="M79" s="15">
        <v>1819</v>
      </c>
      <c r="N79" s="15">
        <v>2905</v>
      </c>
      <c r="O79" s="15">
        <v>318190</v>
      </c>
      <c r="P79" s="15">
        <v>229050</v>
      </c>
    </row>
    <row r="80" spans="1:16" ht="19.5" customHeight="1" x14ac:dyDescent="0.25">
      <c r="A80" s="11" t="s">
        <v>1269</v>
      </c>
      <c r="B80" s="14" t="s">
        <v>778</v>
      </c>
      <c r="C80" s="10" t="s">
        <v>803</v>
      </c>
      <c r="D80" s="13" t="s">
        <v>41</v>
      </c>
      <c r="E80" s="13" t="s">
        <v>775</v>
      </c>
      <c r="F80" s="13" t="s">
        <v>776</v>
      </c>
      <c r="G80" s="14">
        <v>1</v>
      </c>
      <c r="H80" s="14">
        <f t="shared" si="4"/>
        <v>1</v>
      </c>
      <c r="J80" s="14">
        <v>1</v>
      </c>
      <c r="K80" s="13" t="s">
        <v>486</v>
      </c>
      <c r="L80" s="15" t="s">
        <v>781</v>
      </c>
      <c r="M80" s="15">
        <v>171</v>
      </c>
      <c r="N80" s="15">
        <v>431</v>
      </c>
      <c r="O80" s="15">
        <v>317100</v>
      </c>
      <c r="P80" s="15">
        <v>443100</v>
      </c>
    </row>
    <row r="81" spans="1:17" ht="19.5" customHeight="1" x14ac:dyDescent="0.25">
      <c r="A81" s="11" t="s">
        <v>1269</v>
      </c>
      <c r="B81" s="14" t="s">
        <v>778</v>
      </c>
      <c r="C81" s="10" t="s">
        <v>779</v>
      </c>
      <c r="D81" s="13" t="s">
        <v>780</v>
      </c>
      <c r="E81" s="13" t="s">
        <v>775</v>
      </c>
      <c r="F81" s="13" t="s">
        <v>776</v>
      </c>
      <c r="H81" s="14">
        <f t="shared" si="4"/>
        <v>1</v>
      </c>
      <c r="I81" s="14">
        <v>1</v>
      </c>
      <c r="J81" s="14">
        <v>1</v>
      </c>
      <c r="K81" s="13" t="s">
        <v>389</v>
      </c>
      <c r="L81" s="15" t="s">
        <v>781</v>
      </c>
      <c r="M81" s="15">
        <v>215</v>
      </c>
      <c r="N81" s="15">
        <v>1830</v>
      </c>
      <c r="O81" s="15">
        <v>302150</v>
      </c>
      <c r="P81" s="15">
        <v>418300</v>
      </c>
    </row>
    <row r="82" spans="1:17" ht="19.5" customHeight="1" x14ac:dyDescent="0.25">
      <c r="A82" s="11" t="s">
        <v>1269</v>
      </c>
      <c r="B82" s="14" t="s">
        <v>778</v>
      </c>
      <c r="C82" s="10" t="s">
        <v>777</v>
      </c>
      <c r="D82" s="13" t="s">
        <v>1282</v>
      </c>
      <c r="E82" s="13" t="s">
        <v>778</v>
      </c>
      <c r="F82" s="13" t="s">
        <v>776</v>
      </c>
      <c r="G82" s="14">
        <v>2</v>
      </c>
      <c r="H82" s="14">
        <f t="shared" si="4"/>
        <v>3</v>
      </c>
      <c r="I82" s="14">
        <v>1</v>
      </c>
      <c r="J82" s="14">
        <v>2</v>
      </c>
      <c r="K82" s="13" t="s">
        <v>788</v>
      </c>
      <c r="L82" s="15" t="s">
        <v>782</v>
      </c>
      <c r="M82" s="15">
        <v>2478</v>
      </c>
      <c r="N82" s="15">
        <v>8284</v>
      </c>
      <c r="O82" s="15">
        <v>324780</v>
      </c>
      <c r="P82" s="15">
        <v>382840</v>
      </c>
    </row>
    <row r="83" spans="1:17" ht="19.5" customHeight="1" x14ac:dyDescent="0.25">
      <c r="A83" s="11" t="s">
        <v>1269</v>
      </c>
      <c r="B83" s="14" t="s">
        <v>793</v>
      </c>
      <c r="C83" s="10" t="s">
        <v>805</v>
      </c>
      <c r="D83" s="13" t="s">
        <v>41</v>
      </c>
      <c r="E83" s="13" t="s">
        <v>793</v>
      </c>
      <c r="F83" s="13" t="s">
        <v>773</v>
      </c>
      <c r="G83" s="14">
        <v>0</v>
      </c>
      <c r="H83" s="14">
        <f t="shared" si="4"/>
        <v>1</v>
      </c>
      <c r="I83" s="14">
        <v>1</v>
      </c>
      <c r="J83" s="14">
        <v>1</v>
      </c>
      <c r="K83" s="13" t="s">
        <v>794</v>
      </c>
      <c r="L83" s="15" t="s">
        <v>798</v>
      </c>
      <c r="M83" s="15">
        <v>149</v>
      </c>
      <c r="N83" s="15">
        <v>223</v>
      </c>
      <c r="O83" s="15">
        <v>314900</v>
      </c>
      <c r="P83" s="15">
        <v>222300</v>
      </c>
    </row>
    <row r="84" spans="1:17" ht="19.5" customHeight="1" x14ac:dyDescent="0.25">
      <c r="A84" s="11" t="s">
        <v>1269</v>
      </c>
      <c r="B84" s="14" t="s">
        <v>804</v>
      </c>
      <c r="C84" s="10" t="s">
        <v>807</v>
      </c>
      <c r="D84" s="13" t="s">
        <v>39</v>
      </c>
      <c r="E84" s="13" t="s">
        <v>804</v>
      </c>
      <c r="F84" s="13" t="s">
        <v>773</v>
      </c>
      <c r="H84" s="14">
        <f t="shared" si="4"/>
        <v>1</v>
      </c>
      <c r="I84" s="14">
        <v>1</v>
      </c>
      <c r="J84" s="14">
        <v>1</v>
      </c>
      <c r="K84" s="13" t="s">
        <v>494</v>
      </c>
      <c r="L84" s="15" t="s">
        <v>808</v>
      </c>
      <c r="M84" s="15">
        <v>647</v>
      </c>
      <c r="N84" s="15">
        <v>415</v>
      </c>
      <c r="O84" s="15">
        <v>164700</v>
      </c>
      <c r="P84" s="15">
        <v>141500</v>
      </c>
    </row>
    <row r="85" spans="1:17" ht="19.5" customHeight="1" x14ac:dyDescent="0.25">
      <c r="A85" s="11" t="s">
        <v>1269</v>
      </c>
      <c r="B85" s="14" t="s">
        <v>795</v>
      </c>
      <c r="C85" s="10" t="s">
        <v>799</v>
      </c>
      <c r="D85" s="13" t="s">
        <v>800</v>
      </c>
      <c r="E85" s="13" t="s">
        <v>797</v>
      </c>
      <c r="F85" s="13" t="s">
        <v>773</v>
      </c>
      <c r="G85" s="14">
        <v>2</v>
      </c>
      <c r="H85" s="14">
        <f>SUM(G85,I85)</f>
        <v>3</v>
      </c>
      <c r="I85" s="14">
        <v>1</v>
      </c>
      <c r="J85" s="14">
        <v>3</v>
      </c>
      <c r="K85" s="13" t="s">
        <v>815</v>
      </c>
      <c r="L85" s="15" t="s">
        <v>667</v>
      </c>
      <c r="M85" s="15">
        <v>585</v>
      </c>
      <c r="N85" s="15">
        <v>775</v>
      </c>
      <c r="O85" s="15">
        <v>258500</v>
      </c>
      <c r="P85" s="15">
        <v>277500</v>
      </c>
    </row>
    <row r="86" spans="1:17" ht="19.5" customHeight="1" x14ac:dyDescent="0.25">
      <c r="A86" s="11" t="s">
        <v>1269</v>
      </c>
      <c r="B86" s="14" t="s">
        <v>795</v>
      </c>
      <c r="C86" s="10" t="s">
        <v>796</v>
      </c>
      <c r="D86" s="13" t="s">
        <v>41</v>
      </c>
      <c r="E86" s="13" t="s">
        <v>797</v>
      </c>
      <c r="F86" s="13" t="s">
        <v>773</v>
      </c>
      <c r="G86" s="14">
        <v>2</v>
      </c>
      <c r="H86" s="14">
        <f>SUM(G86,I86)</f>
        <v>4</v>
      </c>
      <c r="I86" s="14">
        <v>2</v>
      </c>
      <c r="J86" s="14">
        <v>3</v>
      </c>
      <c r="K86" s="13" t="s">
        <v>814</v>
      </c>
      <c r="L86" s="15" t="s">
        <v>798</v>
      </c>
      <c r="M86" s="15">
        <v>6</v>
      </c>
      <c r="N86" s="15">
        <v>727</v>
      </c>
      <c r="O86" s="15">
        <v>300600</v>
      </c>
      <c r="P86" s="15">
        <v>272700</v>
      </c>
    </row>
    <row r="87" spans="1:17" ht="19.5" customHeight="1" x14ac:dyDescent="0.25">
      <c r="A87" s="11" t="s">
        <v>1269</v>
      </c>
      <c r="B87" s="14" t="s">
        <v>772</v>
      </c>
      <c r="C87" s="10" t="s">
        <v>801</v>
      </c>
      <c r="D87" s="13" t="s">
        <v>800</v>
      </c>
      <c r="E87" s="13" t="s">
        <v>772</v>
      </c>
      <c r="F87" s="14" t="s">
        <v>773</v>
      </c>
      <c r="G87" s="14">
        <v>2</v>
      </c>
      <c r="H87" s="14">
        <f t="shared" si="4"/>
        <v>2</v>
      </c>
      <c r="J87" s="14">
        <v>2</v>
      </c>
      <c r="K87" s="13" t="s">
        <v>816</v>
      </c>
      <c r="L87" s="15" t="s">
        <v>802</v>
      </c>
      <c r="M87" s="15">
        <v>755</v>
      </c>
      <c r="N87" s="15">
        <v>115</v>
      </c>
      <c r="O87" s="15">
        <v>175500</v>
      </c>
      <c r="P87" s="15">
        <v>311500</v>
      </c>
    </row>
    <row r="88" spans="1:17" ht="19.5" customHeight="1" x14ac:dyDescent="0.25">
      <c r="A88" s="11" t="s">
        <v>1269</v>
      </c>
      <c r="B88" s="14" t="s">
        <v>772</v>
      </c>
      <c r="C88" s="10" t="s">
        <v>806</v>
      </c>
      <c r="D88" s="13" t="s">
        <v>800</v>
      </c>
      <c r="E88" s="13" t="s">
        <v>772</v>
      </c>
      <c r="F88" s="14" t="s">
        <v>773</v>
      </c>
      <c r="H88" s="14">
        <f t="shared" si="4"/>
        <v>1</v>
      </c>
      <c r="I88" s="14">
        <v>1</v>
      </c>
      <c r="J88" s="14">
        <v>1</v>
      </c>
      <c r="K88" s="13" t="s">
        <v>486</v>
      </c>
      <c r="L88" s="15" t="s">
        <v>802</v>
      </c>
      <c r="M88" s="15">
        <v>663</v>
      </c>
      <c r="N88" s="15">
        <v>337</v>
      </c>
      <c r="O88" s="15">
        <v>166300</v>
      </c>
      <c r="P88" s="15">
        <v>333700</v>
      </c>
    </row>
    <row r="89" spans="1:17" ht="19.5" customHeight="1" x14ac:dyDescent="0.25">
      <c r="A89" s="11" t="s">
        <v>1269</v>
      </c>
      <c r="B89" s="14" t="s">
        <v>789</v>
      </c>
      <c r="C89" s="10" t="s">
        <v>790</v>
      </c>
      <c r="D89" s="13" t="s">
        <v>780</v>
      </c>
      <c r="E89" s="13" t="s">
        <v>789</v>
      </c>
      <c r="F89" s="14" t="s">
        <v>773</v>
      </c>
      <c r="G89" s="14">
        <v>1</v>
      </c>
      <c r="H89" s="14">
        <f t="shared" si="4"/>
        <v>1</v>
      </c>
      <c r="J89" s="14">
        <v>1</v>
      </c>
      <c r="K89" s="13" t="s">
        <v>733</v>
      </c>
      <c r="L89" s="15" t="s">
        <v>106</v>
      </c>
      <c r="M89" s="15">
        <v>288</v>
      </c>
      <c r="N89" s="15">
        <v>836</v>
      </c>
      <c r="O89" s="15">
        <v>228800</v>
      </c>
      <c r="P89" s="15">
        <v>83600</v>
      </c>
    </row>
    <row r="90" spans="1:17" ht="19.5" customHeight="1" x14ac:dyDescent="0.25">
      <c r="A90" s="11" t="s">
        <v>1269</v>
      </c>
      <c r="B90" s="14" t="s">
        <v>789</v>
      </c>
      <c r="C90" s="10" t="s">
        <v>810</v>
      </c>
      <c r="D90" s="13" t="s">
        <v>811</v>
      </c>
      <c r="E90" s="13" t="s">
        <v>789</v>
      </c>
      <c r="F90" s="14" t="s">
        <v>773</v>
      </c>
      <c r="H90" s="14">
        <f t="shared" si="4"/>
        <v>1</v>
      </c>
      <c r="I90" s="14">
        <v>1</v>
      </c>
      <c r="J90" s="14">
        <v>1</v>
      </c>
      <c r="K90" s="13" t="s">
        <v>502</v>
      </c>
      <c r="L90" s="15" t="s">
        <v>668</v>
      </c>
      <c r="M90" s="15">
        <v>529</v>
      </c>
      <c r="N90" s="15">
        <v>29</v>
      </c>
      <c r="O90" s="15">
        <v>252900</v>
      </c>
      <c r="P90" s="15">
        <v>102900</v>
      </c>
    </row>
    <row r="91" spans="1:17" ht="19.5" customHeight="1" x14ac:dyDescent="0.25">
      <c r="A91" s="11" t="s">
        <v>1269</v>
      </c>
      <c r="B91" s="14" t="s">
        <v>139</v>
      </c>
      <c r="E91" s="13" t="s">
        <v>675</v>
      </c>
      <c r="F91" s="14" t="s">
        <v>11</v>
      </c>
      <c r="G91" s="14">
        <v>1</v>
      </c>
      <c r="H91" s="14">
        <f t="shared" ref="H91:H122" si="5">SUM(G91,I91)</f>
        <v>1</v>
      </c>
      <c r="J91" s="14">
        <v>1</v>
      </c>
      <c r="K91" s="13" t="s">
        <v>673</v>
      </c>
      <c r="Q91" s="12"/>
    </row>
    <row r="92" spans="1:17" ht="19.5" customHeight="1" x14ac:dyDescent="0.25">
      <c r="A92" s="11" t="s">
        <v>1269</v>
      </c>
      <c r="C92" s="10" t="s">
        <v>416</v>
      </c>
      <c r="F92" s="14" t="s">
        <v>11</v>
      </c>
      <c r="G92" s="14">
        <v>29</v>
      </c>
      <c r="H92" s="14">
        <f t="shared" si="5"/>
        <v>29</v>
      </c>
      <c r="J92" s="14">
        <v>18</v>
      </c>
      <c r="K92" s="13" t="s">
        <v>921</v>
      </c>
    </row>
    <row r="93" spans="1:17" ht="19.5" customHeight="1" x14ac:dyDescent="0.25">
      <c r="A93" s="11" t="s">
        <v>1269</v>
      </c>
      <c r="B93" s="14" t="s">
        <v>272</v>
      </c>
      <c r="F93" s="14" t="s">
        <v>11</v>
      </c>
      <c r="G93" s="14">
        <v>3</v>
      </c>
      <c r="H93" s="14">
        <f t="shared" si="5"/>
        <v>3</v>
      </c>
      <c r="J93" s="14">
        <v>3</v>
      </c>
      <c r="K93" s="13" t="s">
        <v>882</v>
      </c>
    </row>
    <row r="94" spans="1:17" ht="19.5" customHeight="1" x14ac:dyDescent="0.25">
      <c r="A94" s="11" t="s">
        <v>1269</v>
      </c>
      <c r="C94" s="10" t="s">
        <v>48</v>
      </c>
      <c r="F94" s="14" t="s">
        <v>11</v>
      </c>
      <c r="G94" s="14">
        <v>13</v>
      </c>
      <c r="H94" s="14">
        <f t="shared" si="5"/>
        <v>13</v>
      </c>
      <c r="J94" s="14">
        <v>11</v>
      </c>
      <c r="K94" s="13" t="s">
        <v>909</v>
      </c>
    </row>
    <row r="95" spans="1:17" ht="19.5" customHeight="1" x14ac:dyDescent="0.25">
      <c r="A95" s="11" t="s">
        <v>1269</v>
      </c>
      <c r="C95" s="10" t="s">
        <v>895</v>
      </c>
      <c r="F95" s="14" t="s">
        <v>11</v>
      </c>
      <c r="G95" s="14">
        <v>3</v>
      </c>
      <c r="H95" s="14">
        <f t="shared" si="5"/>
        <v>3</v>
      </c>
      <c r="J95" s="14">
        <v>2</v>
      </c>
      <c r="K95" s="13" t="s">
        <v>896</v>
      </c>
    </row>
    <row r="96" spans="1:17" ht="19.5" customHeight="1" x14ac:dyDescent="0.25">
      <c r="A96" s="11" t="s">
        <v>1269</v>
      </c>
      <c r="C96" s="10" t="s">
        <v>11</v>
      </c>
      <c r="E96" s="13" t="s">
        <v>851</v>
      </c>
      <c r="F96" s="14" t="s">
        <v>11</v>
      </c>
      <c r="G96" s="14">
        <v>19</v>
      </c>
      <c r="H96" s="14">
        <f t="shared" si="5"/>
        <v>19</v>
      </c>
      <c r="J96" s="14">
        <v>16</v>
      </c>
      <c r="K96" s="13" t="s">
        <v>894</v>
      </c>
      <c r="Q96" s="12"/>
    </row>
    <row r="97" spans="1:17" ht="19.5" customHeight="1" x14ac:dyDescent="0.25">
      <c r="A97" s="11" t="s">
        <v>1269</v>
      </c>
      <c r="E97" s="13" t="s">
        <v>852</v>
      </c>
      <c r="F97" s="14" t="s">
        <v>11</v>
      </c>
      <c r="G97" s="14">
        <v>7</v>
      </c>
      <c r="H97" s="14">
        <f t="shared" si="5"/>
        <v>8</v>
      </c>
      <c r="I97" s="14">
        <v>1</v>
      </c>
      <c r="J97" s="14">
        <v>6</v>
      </c>
      <c r="K97" s="13" t="s">
        <v>920</v>
      </c>
      <c r="Q97" s="12"/>
    </row>
    <row r="98" spans="1:17" ht="19.5" customHeight="1" x14ac:dyDescent="0.25">
      <c r="A98" s="11" t="s">
        <v>1269</v>
      </c>
      <c r="C98" s="10" t="s">
        <v>56</v>
      </c>
      <c r="F98" s="14" t="s">
        <v>56</v>
      </c>
      <c r="G98" s="14">
        <v>9</v>
      </c>
      <c r="H98" s="14">
        <f t="shared" si="5"/>
        <v>9</v>
      </c>
      <c r="J98" s="14">
        <v>8</v>
      </c>
      <c r="K98" s="13" t="s">
        <v>883</v>
      </c>
      <c r="Q98" s="12"/>
    </row>
    <row r="99" spans="1:17" ht="19.5" customHeight="1" x14ac:dyDescent="0.25">
      <c r="A99" s="11" t="s">
        <v>1269</v>
      </c>
      <c r="C99" s="10" t="s">
        <v>253</v>
      </c>
      <c r="F99" s="14" t="s">
        <v>56</v>
      </c>
      <c r="G99" s="14">
        <v>3</v>
      </c>
      <c r="H99" s="14">
        <f t="shared" si="5"/>
        <v>4</v>
      </c>
      <c r="I99" s="14">
        <v>1</v>
      </c>
      <c r="J99" s="14">
        <v>3</v>
      </c>
      <c r="K99" s="13" t="s">
        <v>916</v>
      </c>
    </row>
    <row r="100" spans="1:17" ht="19.5" customHeight="1" x14ac:dyDescent="0.25">
      <c r="A100" s="11" t="s">
        <v>1269</v>
      </c>
      <c r="C100" s="10" t="s">
        <v>254</v>
      </c>
      <c r="F100" s="14" t="s">
        <v>56</v>
      </c>
      <c r="G100" s="14">
        <v>6</v>
      </c>
      <c r="H100" s="14">
        <f t="shared" si="5"/>
        <v>6</v>
      </c>
      <c r="J100" s="14">
        <v>6</v>
      </c>
      <c r="K100" s="13" t="s">
        <v>850</v>
      </c>
    </row>
    <row r="101" spans="1:17" ht="19.5" customHeight="1" x14ac:dyDescent="0.25">
      <c r="A101" s="11" t="s">
        <v>1269</v>
      </c>
      <c r="B101" s="14" t="s">
        <v>57</v>
      </c>
      <c r="C101" s="10" t="s">
        <v>305</v>
      </c>
      <c r="E101" s="13" t="s">
        <v>306</v>
      </c>
      <c r="F101" s="14" t="s">
        <v>56</v>
      </c>
      <c r="G101" s="14">
        <v>1</v>
      </c>
      <c r="H101" s="14">
        <f t="shared" si="5"/>
        <v>1</v>
      </c>
      <c r="J101" s="14">
        <v>1</v>
      </c>
      <c r="K101" s="13" t="s">
        <v>733</v>
      </c>
    </row>
    <row r="102" spans="1:17" ht="19.5" customHeight="1" x14ac:dyDescent="0.25">
      <c r="A102" s="11" t="s">
        <v>1269</v>
      </c>
      <c r="C102" s="10" t="s">
        <v>35</v>
      </c>
      <c r="F102" s="14" t="s">
        <v>35</v>
      </c>
      <c r="G102" s="14">
        <v>22</v>
      </c>
      <c r="H102" s="14">
        <f t="shared" si="5"/>
        <v>22</v>
      </c>
      <c r="J102" s="14">
        <v>18</v>
      </c>
      <c r="K102" s="13" t="s">
        <v>910</v>
      </c>
    </row>
    <row r="103" spans="1:17" ht="19.5" customHeight="1" x14ac:dyDescent="0.25">
      <c r="A103" s="11" t="s">
        <v>1269</v>
      </c>
      <c r="E103" s="13" t="s">
        <v>744</v>
      </c>
      <c r="F103" s="14" t="s">
        <v>35</v>
      </c>
      <c r="G103" s="14">
        <v>1</v>
      </c>
      <c r="H103" s="14">
        <f t="shared" si="5"/>
        <v>1</v>
      </c>
      <c r="J103" s="14">
        <v>1</v>
      </c>
      <c r="K103" s="13" t="s">
        <v>502</v>
      </c>
    </row>
    <row r="104" spans="1:17" ht="19.5" customHeight="1" x14ac:dyDescent="0.25">
      <c r="A104" s="11" t="s">
        <v>1269</v>
      </c>
      <c r="C104" s="10" t="s">
        <v>758</v>
      </c>
      <c r="E104" s="13" t="s">
        <v>759</v>
      </c>
      <c r="F104" s="14" t="s">
        <v>35</v>
      </c>
      <c r="G104" s="14">
        <v>1</v>
      </c>
      <c r="H104" s="14">
        <f t="shared" si="5"/>
        <v>1</v>
      </c>
      <c r="J104" s="14">
        <v>1</v>
      </c>
      <c r="K104" s="13" t="s">
        <v>513</v>
      </c>
    </row>
    <row r="105" spans="1:17" ht="19.5" customHeight="1" x14ac:dyDescent="0.25">
      <c r="A105" s="11" t="s">
        <v>1269</v>
      </c>
      <c r="C105" s="10" t="s">
        <v>844</v>
      </c>
      <c r="F105" s="14" t="s">
        <v>11</v>
      </c>
      <c r="G105" s="14">
        <v>1</v>
      </c>
      <c r="H105" s="14">
        <f t="shared" si="5"/>
        <v>1</v>
      </c>
      <c r="J105" s="14">
        <v>1</v>
      </c>
      <c r="K105" s="13" t="s">
        <v>842</v>
      </c>
    </row>
    <row r="106" spans="1:17" ht="19.5" customHeight="1" x14ac:dyDescent="0.25">
      <c r="A106" s="11" t="s">
        <v>1269</v>
      </c>
      <c r="C106" s="10" t="s">
        <v>256</v>
      </c>
      <c r="D106" s="13" t="s">
        <v>813</v>
      </c>
      <c r="E106" s="13" t="s">
        <v>258</v>
      </c>
      <c r="F106" s="14" t="s">
        <v>35</v>
      </c>
      <c r="G106" s="14">
        <v>4</v>
      </c>
      <c r="H106" s="14">
        <f t="shared" si="5"/>
        <v>4</v>
      </c>
      <c r="J106" s="14">
        <v>3</v>
      </c>
      <c r="K106" s="13" t="s">
        <v>872</v>
      </c>
    </row>
    <row r="107" spans="1:17" ht="19.5" customHeight="1" x14ac:dyDescent="0.25">
      <c r="A107" s="11" t="s">
        <v>1269</v>
      </c>
      <c r="C107" s="10" t="s">
        <v>257</v>
      </c>
      <c r="F107" s="14" t="s">
        <v>35</v>
      </c>
      <c r="G107" s="14">
        <v>1</v>
      </c>
      <c r="H107" s="14">
        <f t="shared" si="5"/>
        <v>1</v>
      </c>
      <c r="J107" s="14">
        <v>1</v>
      </c>
      <c r="K107" s="13" t="s">
        <v>396</v>
      </c>
    </row>
    <row r="108" spans="1:17" ht="19.5" customHeight="1" x14ac:dyDescent="0.25">
      <c r="A108" s="11" t="s">
        <v>1269</v>
      </c>
      <c r="C108" s="10" t="s">
        <v>296</v>
      </c>
      <c r="F108" s="14" t="s">
        <v>11</v>
      </c>
      <c r="G108" s="14">
        <v>2</v>
      </c>
      <c r="H108" s="14">
        <f t="shared" si="5"/>
        <v>2</v>
      </c>
      <c r="J108" s="14">
        <v>2</v>
      </c>
      <c r="K108" s="13" t="s">
        <v>870</v>
      </c>
    </row>
    <row r="109" spans="1:17" ht="19.5" customHeight="1" x14ac:dyDescent="0.25">
      <c r="A109" s="11" t="s">
        <v>1269</v>
      </c>
      <c r="B109" s="14" t="s">
        <v>327</v>
      </c>
      <c r="C109" s="10" t="s">
        <v>259</v>
      </c>
      <c r="E109" s="13" t="s">
        <v>677</v>
      </c>
      <c r="F109" s="14" t="s">
        <v>11</v>
      </c>
      <c r="G109" s="14">
        <v>17</v>
      </c>
      <c r="H109" s="14">
        <f t="shared" si="5"/>
        <v>17</v>
      </c>
      <c r="J109" s="14">
        <v>14</v>
      </c>
      <c r="K109" s="13" t="s">
        <v>901</v>
      </c>
    </row>
    <row r="110" spans="1:17" ht="19.5" customHeight="1" x14ac:dyDescent="0.25">
      <c r="A110" s="11" t="s">
        <v>1269</v>
      </c>
      <c r="C110" s="10" t="s">
        <v>765</v>
      </c>
      <c r="F110" s="14" t="s">
        <v>11</v>
      </c>
      <c r="G110" s="14">
        <v>2</v>
      </c>
      <c r="H110" s="14">
        <f t="shared" si="5"/>
        <v>2</v>
      </c>
      <c r="J110" s="14">
        <v>2</v>
      </c>
      <c r="K110" s="13" t="s">
        <v>769</v>
      </c>
    </row>
    <row r="111" spans="1:17" ht="19.5" customHeight="1" x14ac:dyDescent="0.25">
      <c r="A111" s="11" t="s">
        <v>1269</v>
      </c>
      <c r="C111" s="10" t="s">
        <v>489</v>
      </c>
      <c r="F111" s="14" t="s">
        <v>874</v>
      </c>
      <c r="G111" s="14">
        <v>3</v>
      </c>
      <c r="H111" s="14">
        <f t="shared" si="5"/>
        <v>3</v>
      </c>
      <c r="J111" s="14">
        <v>3</v>
      </c>
      <c r="K111" s="13" t="s">
        <v>880</v>
      </c>
    </row>
    <row r="112" spans="1:17" ht="19.5" customHeight="1" x14ac:dyDescent="0.25">
      <c r="A112" s="11" t="s">
        <v>1269</v>
      </c>
      <c r="C112" s="10" t="s">
        <v>259</v>
      </c>
      <c r="F112" s="14" t="s">
        <v>11</v>
      </c>
      <c r="G112" s="14">
        <v>5</v>
      </c>
      <c r="H112" s="14">
        <f t="shared" si="5"/>
        <v>5</v>
      </c>
      <c r="J112" s="14">
        <v>5</v>
      </c>
      <c r="K112" s="13" t="s">
        <v>885</v>
      </c>
    </row>
    <row r="113" spans="1:11" ht="19.5" customHeight="1" x14ac:dyDescent="0.25">
      <c r="A113" s="11" t="s">
        <v>1269</v>
      </c>
      <c r="C113" s="10" t="s">
        <v>260</v>
      </c>
      <c r="F113" s="14" t="s">
        <v>35</v>
      </c>
      <c r="G113" s="14">
        <v>2</v>
      </c>
      <c r="H113" s="14">
        <f t="shared" si="5"/>
        <v>2</v>
      </c>
      <c r="J113" s="14">
        <v>2</v>
      </c>
      <c r="K113" s="13" t="s">
        <v>889</v>
      </c>
    </row>
    <row r="114" spans="1:11" ht="19.5" customHeight="1" x14ac:dyDescent="0.25">
      <c r="A114" s="11" t="s">
        <v>1269</v>
      </c>
      <c r="C114" s="10" t="s">
        <v>886</v>
      </c>
      <c r="F114" s="14" t="s">
        <v>35</v>
      </c>
      <c r="G114" s="14">
        <v>1</v>
      </c>
      <c r="H114" s="14">
        <f t="shared" si="5"/>
        <v>1</v>
      </c>
      <c r="J114" s="14">
        <v>1</v>
      </c>
      <c r="K114" s="13" t="s">
        <v>887</v>
      </c>
    </row>
    <row r="115" spans="1:11" ht="19.5" customHeight="1" x14ac:dyDescent="0.25">
      <c r="A115" s="11" t="s">
        <v>1269</v>
      </c>
      <c r="C115" s="10" t="s">
        <v>821</v>
      </c>
      <c r="F115" s="14" t="s">
        <v>35</v>
      </c>
      <c r="G115" s="14">
        <v>1</v>
      </c>
      <c r="H115" s="14">
        <f t="shared" si="5"/>
        <v>1</v>
      </c>
      <c r="J115" s="14">
        <v>1</v>
      </c>
      <c r="K115" s="13" t="s">
        <v>546</v>
      </c>
    </row>
    <row r="116" spans="1:11" ht="19.5" customHeight="1" x14ac:dyDescent="0.25">
      <c r="A116" s="11" t="s">
        <v>1269</v>
      </c>
      <c r="C116" s="10" t="s">
        <v>295</v>
      </c>
      <c r="F116" s="14" t="s">
        <v>11</v>
      </c>
      <c r="G116" s="14">
        <v>2</v>
      </c>
      <c r="H116" s="14">
        <f t="shared" si="5"/>
        <v>2</v>
      </c>
      <c r="J116" s="14">
        <v>2</v>
      </c>
      <c r="K116" s="13" t="s">
        <v>687</v>
      </c>
    </row>
    <row r="117" spans="1:11" ht="19.5" customHeight="1" x14ac:dyDescent="0.25">
      <c r="A117" s="11" t="s">
        <v>1269</v>
      </c>
      <c r="C117" s="10" t="s">
        <v>351</v>
      </c>
      <c r="F117" s="14" t="s">
        <v>11</v>
      </c>
      <c r="G117" s="14">
        <v>12</v>
      </c>
      <c r="H117" s="14">
        <f t="shared" si="5"/>
        <v>12</v>
      </c>
      <c r="J117" s="14">
        <v>7</v>
      </c>
      <c r="K117" s="13" t="s">
        <v>827</v>
      </c>
    </row>
    <row r="118" spans="1:11" ht="19.5" customHeight="1" x14ac:dyDescent="0.25">
      <c r="A118" s="11" t="s">
        <v>1269</v>
      </c>
      <c r="C118" s="10" t="s">
        <v>512</v>
      </c>
      <c r="F118" s="14" t="s">
        <v>11</v>
      </c>
      <c r="G118" s="14">
        <v>4</v>
      </c>
      <c r="H118" s="14">
        <f t="shared" si="5"/>
        <v>4</v>
      </c>
      <c r="J118" s="14">
        <v>3</v>
      </c>
      <c r="K118" s="13" t="s">
        <v>897</v>
      </c>
    </row>
    <row r="119" spans="1:11" ht="19.5" customHeight="1" x14ac:dyDescent="0.25">
      <c r="A119" s="11" t="s">
        <v>1269</v>
      </c>
      <c r="C119" s="10" t="s">
        <v>822</v>
      </c>
      <c r="F119" s="14" t="s">
        <v>11</v>
      </c>
      <c r="G119" s="14">
        <v>1</v>
      </c>
      <c r="H119" s="14">
        <f t="shared" si="5"/>
        <v>1</v>
      </c>
      <c r="J119" s="14">
        <v>1</v>
      </c>
      <c r="K119" s="13" t="s">
        <v>546</v>
      </c>
    </row>
    <row r="120" spans="1:11" ht="19.5" customHeight="1" x14ac:dyDescent="0.25">
      <c r="A120" s="11" t="s">
        <v>1269</v>
      </c>
      <c r="C120" s="10" t="s">
        <v>266</v>
      </c>
      <c r="F120" s="14" t="s">
        <v>11</v>
      </c>
      <c r="G120" s="14">
        <v>19</v>
      </c>
      <c r="H120" s="14">
        <f t="shared" si="5"/>
        <v>19</v>
      </c>
      <c r="J120" s="14">
        <v>17</v>
      </c>
      <c r="K120" s="13" t="s">
        <v>898</v>
      </c>
    </row>
    <row r="121" spans="1:11" ht="19.5" customHeight="1" x14ac:dyDescent="0.25">
      <c r="A121" s="11" t="s">
        <v>1269</v>
      </c>
      <c r="C121" s="10" t="s">
        <v>682</v>
      </c>
      <c r="E121" s="13" t="s">
        <v>683</v>
      </c>
      <c r="F121" s="14" t="s">
        <v>11</v>
      </c>
      <c r="G121" s="14">
        <v>6</v>
      </c>
      <c r="H121" s="14">
        <f t="shared" si="5"/>
        <v>6</v>
      </c>
      <c r="J121" s="14">
        <v>6</v>
      </c>
      <c r="K121" s="13" t="s">
        <v>871</v>
      </c>
    </row>
    <row r="122" spans="1:11" ht="19.5" customHeight="1" x14ac:dyDescent="0.25">
      <c r="A122" s="11" t="s">
        <v>1269</v>
      </c>
      <c r="C122" s="10" t="s">
        <v>770</v>
      </c>
      <c r="F122" s="14" t="s">
        <v>11</v>
      </c>
      <c r="G122" s="14">
        <v>3</v>
      </c>
      <c r="H122" s="14">
        <f t="shared" si="5"/>
        <v>3</v>
      </c>
      <c r="J122" s="14">
        <v>3</v>
      </c>
      <c r="K122" s="13" t="s">
        <v>838</v>
      </c>
    </row>
    <row r="123" spans="1:11" ht="19.5" customHeight="1" x14ac:dyDescent="0.25">
      <c r="A123" s="11" t="s">
        <v>1269</v>
      </c>
      <c r="C123" s="10" t="s">
        <v>718</v>
      </c>
      <c r="D123" s="13" t="s">
        <v>833</v>
      </c>
      <c r="F123" s="14" t="s">
        <v>11</v>
      </c>
      <c r="G123" s="14">
        <v>5</v>
      </c>
      <c r="H123" s="14">
        <f t="shared" ref="H123:H154" si="6">SUM(G123,I123)</f>
        <v>5</v>
      </c>
      <c r="J123" s="14">
        <v>5</v>
      </c>
      <c r="K123" s="13" t="s">
        <v>832</v>
      </c>
    </row>
    <row r="124" spans="1:11" ht="19.5" customHeight="1" x14ac:dyDescent="0.25">
      <c r="A124" s="11" t="s">
        <v>1269</v>
      </c>
      <c r="C124" s="10" t="s">
        <v>719</v>
      </c>
      <c r="F124" s="14" t="s">
        <v>874</v>
      </c>
      <c r="G124" s="14">
        <v>1</v>
      </c>
      <c r="H124" s="14">
        <f t="shared" si="6"/>
        <v>1</v>
      </c>
      <c r="J124" s="14">
        <v>1</v>
      </c>
      <c r="K124" s="13" t="s">
        <v>672</v>
      </c>
    </row>
    <row r="125" spans="1:11" ht="19.5" customHeight="1" x14ac:dyDescent="0.25">
      <c r="A125" s="11" t="s">
        <v>1269</v>
      </c>
      <c r="C125" s="10" t="s">
        <v>742</v>
      </c>
      <c r="F125" s="14" t="s">
        <v>11</v>
      </c>
      <c r="G125" s="14">
        <v>2</v>
      </c>
      <c r="H125" s="14">
        <f t="shared" si="6"/>
        <v>2</v>
      </c>
      <c r="J125" s="14">
        <v>1</v>
      </c>
      <c r="K125" s="13" t="s">
        <v>502</v>
      </c>
    </row>
    <row r="126" spans="1:11" ht="19.5" customHeight="1" x14ac:dyDescent="0.25">
      <c r="A126" s="11" t="s">
        <v>1269</v>
      </c>
      <c r="C126" s="10" t="s">
        <v>679</v>
      </c>
      <c r="F126" s="14" t="s">
        <v>11</v>
      </c>
      <c r="G126" s="14">
        <v>3</v>
      </c>
      <c r="H126" s="14">
        <f t="shared" si="6"/>
        <v>3</v>
      </c>
      <c r="J126" s="14">
        <v>3</v>
      </c>
      <c r="K126" s="13" t="s">
        <v>906</v>
      </c>
    </row>
    <row r="127" spans="1:11" ht="19.5" customHeight="1" x14ac:dyDescent="0.25">
      <c r="A127" s="11" t="s">
        <v>1269</v>
      </c>
      <c r="C127" s="10" t="s">
        <v>265</v>
      </c>
      <c r="F127" s="14" t="s">
        <v>874</v>
      </c>
      <c r="G127" s="14">
        <v>13</v>
      </c>
      <c r="H127" s="14">
        <f t="shared" si="6"/>
        <v>13</v>
      </c>
      <c r="J127" s="14">
        <v>12</v>
      </c>
      <c r="K127" s="13" t="s">
        <v>884</v>
      </c>
    </row>
    <row r="128" spans="1:11" ht="19.5" customHeight="1" x14ac:dyDescent="0.25">
      <c r="A128" s="11" t="s">
        <v>1269</v>
      </c>
      <c r="C128" s="10" t="s">
        <v>841</v>
      </c>
      <c r="F128" s="14" t="s">
        <v>11</v>
      </c>
      <c r="G128" s="14">
        <v>2</v>
      </c>
      <c r="H128" s="14">
        <f t="shared" si="6"/>
        <v>2</v>
      </c>
      <c r="J128" s="14">
        <v>1</v>
      </c>
      <c r="K128" s="13" t="s">
        <v>842</v>
      </c>
    </row>
    <row r="129" spans="1:11" ht="19.5" customHeight="1" x14ac:dyDescent="0.25">
      <c r="A129" s="11" t="s">
        <v>1269</v>
      </c>
      <c r="C129" s="10" t="s">
        <v>302</v>
      </c>
      <c r="F129" s="14" t="s">
        <v>35</v>
      </c>
      <c r="G129" s="14">
        <v>9</v>
      </c>
      <c r="H129" s="14">
        <f t="shared" si="6"/>
        <v>9</v>
      </c>
      <c r="J129" s="14">
        <v>9</v>
      </c>
      <c r="K129" s="13" t="s">
        <v>904</v>
      </c>
    </row>
    <row r="130" spans="1:11" ht="19.5" customHeight="1" x14ac:dyDescent="0.25">
      <c r="A130" s="11" t="s">
        <v>1269</v>
      </c>
      <c r="C130" s="10" t="s">
        <v>680</v>
      </c>
      <c r="F130" s="14" t="s">
        <v>35</v>
      </c>
      <c r="G130" s="14">
        <v>1</v>
      </c>
      <c r="H130" s="14">
        <f t="shared" si="6"/>
        <v>1</v>
      </c>
      <c r="J130" s="14">
        <v>1</v>
      </c>
      <c r="K130" s="13" t="s">
        <v>681</v>
      </c>
    </row>
    <row r="131" spans="1:11" ht="19.5" customHeight="1" x14ac:dyDescent="0.25">
      <c r="A131" s="11" t="s">
        <v>1269</v>
      </c>
      <c r="C131" s="10" t="s">
        <v>737</v>
      </c>
      <c r="F131" s="14" t="s">
        <v>35</v>
      </c>
      <c r="G131" s="14">
        <v>1</v>
      </c>
      <c r="H131" s="14">
        <f t="shared" si="6"/>
        <v>1</v>
      </c>
      <c r="J131" s="14">
        <v>1</v>
      </c>
      <c r="K131" s="13" t="s">
        <v>494</v>
      </c>
    </row>
    <row r="132" spans="1:11" ht="19.5" customHeight="1" x14ac:dyDescent="0.25">
      <c r="A132" s="11" t="s">
        <v>1269</v>
      </c>
      <c r="C132" s="10" t="s">
        <v>321</v>
      </c>
      <c r="F132" s="14" t="s">
        <v>11</v>
      </c>
      <c r="G132" s="14">
        <v>1</v>
      </c>
      <c r="H132" s="14">
        <f t="shared" si="6"/>
        <v>1</v>
      </c>
      <c r="J132" s="14">
        <v>1</v>
      </c>
      <c r="K132" s="13" t="s">
        <v>763</v>
      </c>
    </row>
    <row r="133" spans="1:11" ht="19.5" customHeight="1" x14ac:dyDescent="0.25">
      <c r="A133" s="11" t="s">
        <v>1269</v>
      </c>
      <c r="C133" s="10" t="s">
        <v>843</v>
      </c>
      <c r="F133" s="14" t="s">
        <v>11</v>
      </c>
      <c r="G133" s="14">
        <v>1</v>
      </c>
      <c r="H133" s="14">
        <f t="shared" si="6"/>
        <v>1</v>
      </c>
      <c r="J133" s="14">
        <v>1</v>
      </c>
      <c r="K133" s="13" t="s">
        <v>842</v>
      </c>
    </row>
    <row r="134" spans="1:11" ht="19.5" customHeight="1" x14ac:dyDescent="0.25">
      <c r="A134" s="11" t="s">
        <v>1269</v>
      </c>
      <c r="C134" s="10" t="s">
        <v>73</v>
      </c>
      <c r="E134" s="13" t="s">
        <v>73</v>
      </c>
      <c r="F134" s="14" t="s">
        <v>11</v>
      </c>
      <c r="G134" s="14">
        <v>1</v>
      </c>
      <c r="H134" s="14">
        <f t="shared" si="6"/>
        <v>1</v>
      </c>
      <c r="J134" s="14">
        <v>1</v>
      </c>
      <c r="K134" s="13" t="s">
        <v>684</v>
      </c>
    </row>
    <row r="135" spans="1:11" ht="19.5" customHeight="1" x14ac:dyDescent="0.25">
      <c r="A135" s="11" t="s">
        <v>1269</v>
      </c>
      <c r="C135" s="10" t="s">
        <v>601</v>
      </c>
      <c r="F135" s="14" t="s">
        <v>11</v>
      </c>
      <c r="G135" s="14">
        <v>0</v>
      </c>
      <c r="H135" s="14">
        <f t="shared" si="6"/>
        <v>1</v>
      </c>
      <c r="I135" s="14">
        <v>1</v>
      </c>
      <c r="J135" s="14">
        <v>1</v>
      </c>
      <c r="K135" s="13" t="s">
        <v>902</v>
      </c>
    </row>
    <row r="136" spans="1:11" ht="19.5" customHeight="1" x14ac:dyDescent="0.25">
      <c r="A136" s="11" t="s">
        <v>1269</v>
      </c>
      <c r="B136" s="14" t="s">
        <v>76</v>
      </c>
      <c r="E136" s="13" t="s">
        <v>281</v>
      </c>
      <c r="F136" s="14" t="s">
        <v>11</v>
      </c>
      <c r="G136" s="14">
        <v>2</v>
      </c>
      <c r="H136" s="14">
        <f t="shared" si="6"/>
        <v>2</v>
      </c>
      <c r="J136" s="14">
        <v>2</v>
      </c>
      <c r="K136" s="13" t="s">
        <v>688</v>
      </c>
    </row>
    <row r="137" spans="1:11" ht="19.5" customHeight="1" x14ac:dyDescent="0.25">
      <c r="A137" s="11" t="s">
        <v>1269</v>
      </c>
      <c r="C137" s="10" t="s">
        <v>282</v>
      </c>
      <c r="E137" s="13" t="s">
        <v>283</v>
      </c>
      <c r="F137" s="14" t="s">
        <v>11</v>
      </c>
      <c r="G137" s="14">
        <v>2</v>
      </c>
      <c r="H137" s="14">
        <f t="shared" si="6"/>
        <v>2</v>
      </c>
      <c r="J137" s="14">
        <v>2</v>
      </c>
      <c r="K137" s="13" t="s">
        <v>845</v>
      </c>
    </row>
    <row r="138" spans="1:11" ht="19.5" customHeight="1" x14ac:dyDescent="0.25">
      <c r="A138" s="11" t="s">
        <v>1269</v>
      </c>
      <c r="C138" s="10" t="s">
        <v>678</v>
      </c>
      <c r="F138" s="14" t="s">
        <v>11</v>
      </c>
      <c r="G138" s="14">
        <v>2</v>
      </c>
      <c r="H138" s="14">
        <f t="shared" si="6"/>
        <v>2</v>
      </c>
      <c r="J138" s="14">
        <v>2</v>
      </c>
      <c r="K138" s="13" t="s">
        <v>694</v>
      </c>
    </row>
    <row r="139" spans="1:11" ht="33.75" customHeight="1" x14ac:dyDescent="0.25">
      <c r="A139" s="11" t="s">
        <v>1269</v>
      </c>
      <c r="C139" s="10" t="s">
        <v>21</v>
      </c>
      <c r="E139" s="13" t="s">
        <v>21</v>
      </c>
      <c r="F139" s="14" t="s">
        <v>11</v>
      </c>
      <c r="G139" s="14">
        <v>58</v>
      </c>
      <c r="H139" s="14">
        <f t="shared" si="6"/>
        <v>58</v>
      </c>
      <c r="J139" s="14">
        <v>32</v>
      </c>
      <c r="K139" s="13" t="s">
        <v>903</v>
      </c>
    </row>
    <row r="140" spans="1:11" ht="19.5" customHeight="1" x14ac:dyDescent="0.25">
      <c r="A140" s="11" t="s">
        <v>1269</v>
      </c>
      <c r="C140" s="10" t="s">
        <v>771</v>
      </c>
      <c r="F140" s="14" t="s">
        <v>771</v>
      </c>
      <c r="G140" s="14">
        <v>40</v>
      </c>
      <c r="H140" s="14">
        <f t="shared" si="6"/>
        <v>44</v>
      </c>
      <c r="I140" s="14">
        <v>4</v>
      </c>
      <c r="J140" s="14">
        <v>18</v>
      </c>
      <c r="K140" s="13" t="s">
        <v>907</v>
      </c>
    </row>
    <row r="141" spans="1:11" ht="19.5" customHeight="1" x14ac:dyDescent="0.25">
      <c r="A141" s="11" t="s">
        <v>1269</v>
      </c>
      <c r="D141" s="13" t="s">
        <v>791</v>
      </c>
      <c r="F141" s="14" t="s">
        <v>771</v>
      </c>
      <c r="G141" s="14">
        <v>2</v>
      </c>
      <c r="H141" s="14">
        <f t="shared" si="6"/>
        <v>2</v>
      </c>
      <c r="J141" s="14">
        <v>2</v>
      </c>
      <c r="K141" s="13" t="s">
        <v>792</v>
      </c>
    </row>
    <row r="142" spans="1:11" ht="19.5" customHeight="1" x14ac:dyDescent="0.25">
      <c r="A142" s="11" t="s">
        <v>1269</v>
      </c>
      <c r="E142" s="13" t="s">
        <v>776</v>
      </c>
      <c r="F142" s="14" t="s">
        <v>771</v>
      </c>
      <c r="G142" s="14">
        <v>2</v>
      </c>
      <c r="H142" s="14">
        <f t="shared" si="6"/>
        <v>2</v>
      </c>
      <c r="J142" s="14">
        <v>2</v>
      </c>
      <c r="K142" s="13" t="s">
        <v>817</v>
      </c>
    </row>
    <row r="143" spans="1:11" ht="19.5" customHeight="1" x14ac:dyDescent="0.25">
      <c r="A143" s="11" t="s">
        <v>1269</v>
      </c>
      <c r="E143" s="13" t="s">
        <v>773</v>
      </c>
      <c r="F143" s="14" t="s">
        <v>771</v>
      </c>
      <c r="G143" s="14">
        <v>1</v>
      </c>
      <c r="H143" s="14">
        <f t="shared" si="6"/>
        <v>1</v>
      </c>
      <c r="J143" s="14">
        <v>1</v>
      </c>
      <c r="K143" s="13" t="s">
        <v>217</v>
      </c>
    </row>
    <row r="144" spans="1:11" ht="19.5" customHeight="1" x14ac:dyDescent="0.25">
      <c r="A144" s="11" t="s">
        <v>1269</v>
      </c>
      <c r="C144" s="10" t="s">
        <v>774</v>
      </c>
      <c r="F144" s="14" t="s">
        <v>771</v>
      </c>
      <c r="G144" s="14">
        <v>6</v>
      </c>
      <c r="H144" s="14">
        <f t="shared" si="6"/>
        <v>6</v>
      </c>
      <c r="J144" s="14">
        <v>5</v>
      </c>
      <c r="K144" s="13" t="s">
        <v>809</v>
      </c>
    </row>
    <row r="145" spans="1:11" ht="19.5" customHeight="1" x14ac:dyDescent="0.25">
      <c r="A145" s="11" t="s">
        <v>1269</v>
      </c>
      <c r="B145" s="14" t="s">
        <v>775</v>
      </c>
      <c r="F145" s="13" t="s">
        <v>776</v>
      </c>
      <c r="G145" s="14">
        <v>6</v>
      </c>
      <c r="H145" s="14">
        <f t="shared" si="6"/>
        <v>6</v>
      </c>
      <c r="J145" s="14">
        <v>3</v>
      </c>
      <c r="K145" s="13" t="s">
        <v>787</v>
      </c>
    </row>
    <row r="146" spans="1:11" ht="19.5" customHeight="1" x14ac:dyDescent="0.25">
      <c r="A146" s="11" t="s">
        <v>1269</v>
      </c>
      <c r="B146" s="14" t="s">
        <v>778</v>
      </c>
      <c r="F146" s="13" t="s">
        <v>776</v>
      </c>
      <c r="G146" s="14">
        <v>2</v>
      </c>
      <c r="H146" s="14">
        <f t="shared" si="6"/>
        <v>2</v>
      </c>
      <c r="J146" s="14">
        <v>2</v>
      </c>
      <c r="K146" s="13" t="s">
        <v>749</v>
      </c>
    </row>
    <row r="147" spans="1:11" ht="19.5" customHeight="1" x14ac:dyDescent="0.25">
      <c r="A147" s="11" t="s">
        <v>1269</v>
      </c>
      <c r="B147" s="14" t="s">
        <v>783</v>
      </c>
      <c r="E147" s="13" t="s">
        <v>784</v>
      </c>
      <c r="F147" s="13" t="s">
        <v>776</v>
      </c>
      <c r="G147" s="14">
        <v>1</v>
      </c>
      <c r="H147" s="14">
        <f t="shared" si="6"/>
        <v>1</v>
      </c>
      <c r="J147" s="14">
        <v>1</v>
      </c>
      <c r="K147" s="13" t="s">
        <v>466</v>
      </c>
    </row>
    <row r="148" spans="1:11" ht="19.5" customHeight="1" x14ac:dyDescent="0.25">
      <c r="A148" s="11" t="s">
        <v>1269</v>
      </c>
      <c r="B148" s="14" t="s">
        <v>793</v>
      </c>
      <c r="E148" s="13" t="s">
        <v>793</v>
      </c>
      <c r="F148" s="13" t="s">
        <v>773</v>
      </c>
      <c r="G148" s="14">
        <v>1</v>
      </c>
      <c r="H148" s="14">
        <f t="shared" si="6"/>
        <v>1</v>
      </c>
      <c r="J148" s="14">
        <v>1</v>
      </c>
      <c r="K148" s="13" t="s">
        <v>794</v>
      </c>
    </row>
    <row r="149" spans="1:11" ht="19.5" customHeight="1" x14ac:dyDescent="0.25">
      <c r="A149" s="11" t="s">
        <v>1269</v>
      </c>
      <c r="B149" s="14" t="s">
        <v>878</v>
      </c>
      <c r="E149" s="13" t="s">
        <v>879</v>
      </c>
      <c r="F149" s="13" t="s">
        <v>773</v>
      </c>
      <c r="G149" s="14">
        <v>1</v>
      </c>
      <c r="H149" s="14">
        <f t="shared" si="6"/>
        <v>1</v>
      </c>
      <c r="J149" s="14">
        <v>1</v>
      </c>
      <c r="K149" s="13" t="s">
        <v>877</v>
      </c>
    </row>
    <row r="150" spans="1:11" ht="19.5" customHeight="1" x14ac:dyDescent="0.25">
      <c r="A150" s="11" t="s">
        <v>1269</v>
      </c>
      <c r="B150" s="14" t="s">
        <v>804</v>
      </c>
      <c r="F150" s="13" t="s">
        <v>773</v>
      </c>
      <c r="G150" s="14">
        <v>1</v>
      </c>
      <c r="H150" s="14">
        <f t="shared" si="6"/>
        <v>1</v>
      </c>
      <c r="J150" s="14">
        <v>1</v>
      </c>
      <c r="K150" s="13" t="s">
        <v>794</v>
      </c>
    </row>
    <row r="151" spans="1:11" ht="19.5" customHeight="1" x14ac:dyDescent="0.25">
      <c r="A151" s="11" t="s">
        <v>1269</v>
      </c>
      <c r="B151" s="14" t="s">
        <v>785</v>
      </c>
      <c r="E151" s="13" t="s">
        <v>786</v>
      </c>
      <c r="F151" s="13" t="s">
        <v>773</v>
      </c>
      <c r="G151" s="14">
        <v>1</v>
      </c>
      <c r="H151" s="14">
        <f t="shared" si="6"/>
        <v>1</v>
      </c>
      <c r="J151" s="14">
        <v>1</v>
      </c>
      <c r="K151" s="13" t="s">
        <v>466</v>
      </c>
    </row>
    <row r="152" spans="1:11" ht="19.5" customHeight="1" x14ac:dyDescent="0.25">
      <c r="A152" s="11" t="s">
        <v>1269</v>
      </c>
      <c r="B152" s="14" t="s">
        <v>795</v>
      </c>
      <c r="E152" s="13" t="s">
        <v>797</v>
      </c>
      <c r="F152" s="13" t="s">
        <v>773</v>
      </c>
      <c r="G152" s="14">
        <v>11</v>
      </c>
      <c r="H152" s="14">
        <f t="shared" si="6"/>
        <v>11</v>
      </c>
      <c r="J152" s="14">
        <v>6</v>
      </c>
      <c r="K152" s="13" t="s">
        <v>881</v>
      </c>
    </row>
    <row r="153" spans="1:11" ht="19.5" customHeight="1" x14ac:dyDescent="0.25">
      <c r="A153" s="11" t="s">
        <v>1269</v>
      </c>
      <c r="B153" s="14" t="s">
        <v>772</v>
      </c>
      <c r="E153" s="13" t="s">
        <v>786</v>
      </c>
      <c r="F153" s="14" t="s">
        <v>773</v>
      </c>
      <c r="G153" s="14">
        <v>4</v>
      </c>
      <c r="H153" s="14">
        <f t="shared" si="6"/>
        <v>4</v>
      </c>
      <c r="J153" s="14">
        <v>4</v>
      </c>
      <c r="K153" s="13" t="s">
        <v>812</v>
      </c>
    </row>
    <row r="154" spans="1:11" ht="19.5" customHeight="1" x14ac:dyDescent="0.25">
      <c r="A154" s="11" t="s">
        <v>1269</v>
      </c>
      <c r="B154" s="14" t="s">
        <v>875</v>
      </c>
      <c r="E154" s="13" t="s">
        <v>876</v>
      </c>
      <c r="F154" s="14" t="s">
        <v>773</v>
      </c>
      <c r="G154" s="14">
        <v>1</v>
      </c>
      <c r="H154" s="14">
        <f t="shared" si="6"/>
        <v>1</v>
      </c>
      <c r="J154" s="14">
        <v>1</v>
      </c>
      <c r="K154" s="13" t="s">
        <v>877</v>
      </c>
    </row>
    <row r="155" spans="1:11" ht="19.5" customHeight="1" x14ac:dyDescent="0.25">
      <c r="A155" s="11" t="s">
        <v>1269</v>
      </c>
      <c r="C155" s="10" t="s">
        <v>726</v>
      </c>
      <c r="D155" s="13" t="s">
        <v>736</v>
      </c>
      <c r="F155" s="13" t="s">
        <v>874</v>
      </c>
      <c r="G155" s="14">
        <v>16</v>
      </c>
      <c r="H155" s="14">
        <f>SUM(G155,I155)</f>
        <v>16</v>
      </c>
      <c r="J155" s="14">
        <v>8</v>
      </c>
      <c r="K155" s="13" t="s">
        <v>888</v>
      </c>
    </row>
    <row r="156" spans="1:11" ht="19.5" customHeight="1" x14ac:dyDescent="0.25">
      <c r="A156" s="11" t="s">
        <v>1269</v>
      </c>
      <c r="C156" s="10" t="s">
        <v>47</v>
      </c>
      <c r="F156" s="14" t="s">
        <v>35</v>
      </c>
      <c r="G156" s="14">
        <v>1</v>
      </c>
      <c r="H156" s="14">
        <f>SUM(G156,I156)</f>
        <v>1</v>
      </c>
      <c r="J156" s="14">
        <v>1</v>
      </c>
      <c r="K156" s="13" t="s">
        <v>59</v>
      </c>
    </row>
    <row r="157" spans="1:11" ht="19.5" customHeight="1" x14ac:dyDescent="0.25">
      <c r="A157" s="11" t="s">
        <v>1269</v>
      </c>
      <c r="B157" s="14" t="s">
        <v>231</v>
      </c>
      <c r="F157" s="14" t="s">
        <v>35</v>
      </c>
      <c r="G157" s="14">
        <v>1</v>
      </c>
      <c r="H157" s="14">
        <f>SUM(G157,I157)</f>
        <v>1</v>
      </c>
      <c r="J157" s="14">
        <v>1</v>
      </c>
      <c r="K157" s="13" t="s">
        <v>840</v>
      </c>
    </row>
    <row r="158" spans="1:11" s="14" customFormat="1" ht="19.5" customHeight="1" x14ac:dyDescent="0.25">
      <c r="A158" s="11" t="s">
        <v>1269</v>
      </c>
      <c r="B158" s="14" t="s">
        <v>297</v>
      </c>
      <c r="C158" s="10"/>
      <c r="D158" s="13" t="s">
        <v>1278</v>
      </c>
      <c r="E158" s="13" t="s">
        <v>918</v>
      </c>
      <c r="F158" s="14" t="s">
        <v>11</v>
      </c>
      <c r="G158" s="13"/>
      <c r="H158" s="14">
        <f t="shared" ref="H158:H188" si="7">SUM(G158,I158)</f>
        <v>1</v>
      </c>
      <c r="I158" s="13">
        <v>1</v>
      </c>
      <c r="J158" s="13">
        <v>1</v>
      </c>
      <c r="K158" s="13" t="s">
        <v>914</v>
      </c>
    </row>
    <row r="159" spans="1:11" ht="19.5" customHeight="1" x14ac:dyDescent="0.25">
      <c r="A159" s="11" t="s">
        <v>1269</v>
      </c>
      <c r="B159" s="14" t="s">
        <v>42</v>
      </c>
      <c r="C159" s="10" t="s">
        <v>42</v>
      </c>
      <c r="D159" s="13" t="s">
        <v>1278</v>
      </c>
      <c r="F159" s="14" t="s">
        <v>11</v>
      </c>
      <c r="G159" s="14">
        <v>13</v>
      </c>
      <c r="H159" s="14">
        <f t="shared" si="7"/>
        <v>13</v>
      </c>
      <c r="J159" s="14">
        <v>9</v>
      </c>
      <c r="K159" s="13" t="s">
        <v>847</v>
      </c>
    </row>
    <row r="160" spans="1:11" ht="19.5" customHeight="1" x14ac:dyDescent="0.25">
      <c r="A160" s="11" t="s">
        <v>1269</v>
      </c>
      <c r="B160" s="14" t="s">
        <v>10</v>
      </c>
      <c r="D160" s="13" t="s">
        <v>1278</v>
      </c>
      <c r="E160" s="13" t="s">
        <v>326</v>
      </c>
      <c r="F160" s="14" t="s">
        <v>11</v>
      </c>
      <c r="G160" s="14">
        <v>3</v>
      </c>
      <c r="H160" s="14">
        <f t="shared" si="7"/>
        <v>3</v>
      </c>
      <c r="J160" s="14">
        <v>3</v>
      </c>
      <c r="K160" s="13" t="s">
        <v>824</v>
      </c>
    </row>
    <row r="161" spans="1:11" ht="19.5" customHeight="1" x14ac:dyDescent="0.25">
      <c r="A161" s="11" t="s">
        <v>1269</v>
      </c>
      <c r="B161" s="14" t="s">
        <v>10</v>
      </c>
      <c r="E161" s="13" t="s">
        <v>716</v>
      </c>
      <c r="F161" s="14" t="s">
        <v>11</v>
      </c>
      <c r="G161" s="14">
        <v>1</v>
      </c>
      <c r="H161" s="14">
        <f t="shared" si="7"/>
        <v>1</v>
      </c>
      <c r="J161" s="14">
        <v>1</v>
      </c>
      <c r="K161" s="13" t="s">
        <v>389</v>
      </c>
    </row>
    <row r="162" spans="1:11" ht="19.5" customHeight="1" x14ac:dyDescent="0.25">
      <c r="A162" s="11" t="s">
        <v>1269</v>
      </c>
      <c r="B162" s="14" t="s">
        <v>10</v>
      </c>
      <c r="E162" s="13" t="s">
        <v>708</v>
      </c>
      <c r="F162" s="14" t="s">
        <v>11</v>
      </c>
      <c r="G162" s="14">
        <v>2</v>
      </c>
      <c r="H162" s="14">
        <f t="shared" si="7"/>
        <v>2</v>
      </c>
      <c r="J162" s="14">
        <v>2</v>
      </c>
      <c r="K162" s="13" t="s">
        <v>373</v>
      </c>
    </row>
    <row r="163" spans="1:11" ht="19.5" customHeight="1" x14ac:dyDescent="0.25">
      <c r="A163" s="11" t="s">
        <v>1269</v>
      </c>
      <c r="B163" s="14" t="s">
        <v>126</v>
      </c>
      <c r="D163" s="13" t="s">
        <v>1278</v>
      </c>
      <c r="F163" s="14" t="s">
        <v>11</v>
      </c>
      <c r="G163" s="14">
        <v>5</v>
      </c>
      <c r="H163" s="14">
        <f t="shared" si="7"/>
        <v>5</v>
      </c>
      <c r="J163" s="14">
        <v>5</v>
      </c>
      <c r="K163" s="13" t="s">
        <v>873</v>
      </c>
    </row>
    <row r="164" spans="1:11" ht="19.5" customHeight="1" x14ac:dyDescent="0.25">
      <c r="A164" s="11" t="s">
        <v>1269</v>
      </c>
      <c r="B164" s="14" t="s">
        <v>191</v>
      </c>
      <c r="D164" s="13" t="s">
        <v>1278</v>
      </c>
      <c r="F164" s="14" t="s">
        <v>11</v>
      </c>
      <c r="G164" s="14">
        <v>1</v>
      </c>
      <c r="H164" s="14">
        <f t="shared" si="7"/>
        <v>1</v>
      </c>
      <c r="J164" s="14">
        <v>1</v>
      </c>
      <c r="K164" s="13" t="s">
        <v>264</v>
      </c>
    </row>
    <row r="165" spans="1:11" ht="19.5" customHeight="1" x14ac:dyDescent="0.25">
      <c r="A165" s="11" t="s">
        <v>1269</v>
      </c>
      <c r="B165" s="14" t="s">
        <v>68</v>
      </c>
      <c r="C165" s="10" t="s">
        <v>68</v>
      </c>
      <c r="D165" s="13" t="s">
        <v>1278</v>
      </c>
      <c r="E165" s="13" t="s">
        <v>70</v>
      </c>
      <c r="F165" s="14" t="s">
        <v>11</v>
      </c>
      <c r="G165" s="14">
        <v>12</v>
      </c>
      <c r="H165" s="14">
        <f t="shared" si="7"/>
        <v>12</v>
      </c>
      <c r="J165" s="14">
        <v>11</v>
      </c>
      <c r="K165" s="13" t="s">
        <v>915</v>
      </c>
    </row>
    <row r="166" spans="1:11" ht="19.5" customHeight="1" x14ac:dyDescent="0.25">
      <c r="A166" s="11" t="s">
        <v>1269</v>
      </c>
      <c r="B166" s="14" t="s">
        <v>674</v>
      </c>
      <c r="D166" s="13" t="s">
        <v>1278</v>
      </c>
      <c r="F166" s="14" t="s">
        <v>11</v>
      </c>
      <c r="G166" s="14">
        <v>1</v>
      </c>
      <c r="H166" s="14">
        <f t="shared" si="7"/>
        <v>1</v>
      </c>
      <c r="J166" s="14">
        <v>1</v>
      </c>
      <c r="K166" s="13" t="s">
        <v>673</v>
      </c>
    </row>
    <row r="167" spans="1:11" ht="19.5" customHeight="1" x14ac:dyDescent="0.25">
      <c r="A167" s="11" t="s">
        <v>1269</v>
      </c>
      <c r="B167" s="14" t="s">
        <v>209</v>
      </c>
      <c r="D167" s="13" t="s">
        <v>1278</v>
      </c>
      <c r="F167" s="14" t="s">
        <v>11</v>
      </c>
      <c r="G167" s="14">
        <v>1</v>
      </c>
      <c r="H167" s="14">
        <f t="shared" si="7"/>
        <v>1</v>
      </c>
      <c r="J167" s="14">
        <v>1</v>
      </c>
      <c r="K167" s="13" t="s">
        <v>846</v>
      </c>
    </row>
    <row r="168" spans="1:11" ht="19.5" customHeight="1" x14ac:dyDescent="0.25">
      <c r="A168" s="11" t="s">
        <v>1269</v>
      </c>
      <c r="B168" s="14" t="s">
        <v>64</v>
      </c>
      <c r="D168" s="13" t="s">
        <v>41</v>
      </c>
      <c r="F168" s="14" t="s">
        <v>11</v>
      </c>
      <c r="G168" s="14">
        <v>1</v>
      </c>
      <c r="H168" s="14">
        <f t="shared" si="7"/>
        <v>1</v>
      </c>
      <c r="J168" s="14">
        <v>1</v>
      </c>
      <c r="K168" s="13" t="s">
        <v>456</v>
      </c>
    </row>
    <row r="169" spans="1:11" ht="19.5" customHeight="1" x14ac:dyDescent="0.25">
      <c r="A169" s="11" t="s">
        <v>1269</v>
      </c>
      <c r="B169" s="14" t="s">
        <v>283</v>
      </c>
      <c r="D169" s="13" t="s">
        <v>1278</v>
      </c>
      <c r="F169" s="14" t="s">
        <v>11</v>
      </c>
      <c r="G169" s="14">
        <v>2</v>
      </c>
      <c r="H169" s="14">
        <f t="shared" si="7"/>
        <v>2</v>
      </c>
      <c r="J169" s="14">
        <v>2</v>
      </c>
      <c r="K169" s="13" t="s">
        <v>839</v>
      </c>
    </row>
    <row r="170" spans="1:11" ht="19.5" customHeight="1" x14ac:dyDescent="0.25">
      <c r="A170" s="11" t="s">
        <v>1269</v>
      </c>
      <c r="B170" s="14" t="s">
        <v>283</v>
      </c>
      <c r="D170" s="13" t="s">
        <v>41</v>
      </c>
      <c r="E170" s="13" t="s">
        <v>757</v>
      </c>
      <c r="F170" s="14" t="s">
        <v>11</v>
      </c>
      <c r="G170" s="14">
        <v>2</v>
      </c>
      <c r="H170" s="14">
        <f t="shared" si="7"/>
        <v>2</v>
      </c>
      <c r="J170" s="14">
        <v>1</v>
      </c>
      <c r="K170" s="13" t="s">
        <v>513</v>
      </c>
    </row>
    <row r="171" spans="1:11" ht="19.5" customHeight="1" x14ac:dyDescent="0.25">
      <c r="A171" s="11" t="s">
        <v>1269</v>
      </c>
      <c r="B171" s="14" t="s">
        <v>328</v>
      </c>
      <c r="F171" s="14" t="s">
        <v>11</v>
      </c>
      <c r="G171" s="14">
        <v>5</v>
      </c>
      <c r="H171" s="14">
        <f t="shared" si="7"/>
        <v>5</v>
      </c>
      <c r="J171" s="14">
        <v>4</v>
      </c>
      <c r="K171" s="13" t="s">
        <v>768</v>
      </c>
    </row>
    <row r="172" spans="1:11" ht="19.5" customHeight="1" x14ac:dyDescent="0.25">
      <c r="A172" s="11" t="s">
        <v>1269</v>
      </c>
      <c r="B172" s="14" t="s">
        <v>22</v>
      </c>
      <c r="C172" s="10" t="s">
        <v>22</v>
      </c>
      <c r="E172" s="13" t="s">
        <v>22</v>
      </c>
      <c r="F172" s="14" t="s">
        <v>11</v>
      </c>
      <c r="H172" s="14">
        <f t="shared" si="7"/>
        <v>1</v>
      </c>
      <c r="I172" s="14">
        <v>1</v>
      </c>
      <c r="J172" s="14">
        <v>1</v>
      </c>
      <c r="K172" s="13" t="s">
        <v>914</v>
      </c>
    </row>
    <row r="173" spans="1:11" ht="19.5" customHeight="1" x14ac:dyDescent="0.25">
      <c r="A173" s="11" t="s">
        <v>1269</v>
      </c>
      <c r="B173" s="14" t="s">
        <v>93</v>
      </c>
      <c r="E173" s="13" t="s">
        <v>689</v>
      </c>
      <c r="F173" s="14" t="s">
        <v>11</v>
      </c>
      <c r="G173" s="14">
        <v>2</v>
      </c>
      <c r="H173" s="14">
        <f t="shared" si="7"/>
        <v>2</v>
      </c>
      <c r="J173" s="14">
        <v>2</v>
      </c>
      <c r="K173" s="13" t="s">
        <v>818</v>
      </c>
    </row>
    <row r="174" spans="1:11" ht="19.5" customHeight="1" x14ac:dyDescent="0.25">
      <c r="A174" s="11" t="s">
        <v>1269</v>
      </c>
      <c r="B174" s="14" t="s">
        <v>93</v>
      </c>
      <c r="F174" s="14" t="s">
        <v>11</v>
      </c>
      <c r="G174" s="14">
        <v>6</v>
      </c>
      <c r="H174" s="14">
        <f t="shared" si="7"/>
        <v>6</v>
      </c>
      <c r="J174" s="14">
        <v>6</v>
      </c>
      <c r="K174" s="13" t="s">
        <v>853</v>
      </c>
    </row>
    <row r="175" spans="1:11" ht="19.5" customHeight="1" x14ac:dyDescent="0.25">
      <c r="A175" s="11" t="s">
        <v>1269</v>
      </c>
      <c r="B175" s="14" t="s">
        <v>24</v>
      </c>
      <c r="C175" s="10" t="s">
        <v>24</v>
      </c>
      <c r="F175" s="14" t="s">
        <v>11</v>
      </c>
      <c r="G175" s="14">
        <v>13</v>
      </c>
      <c r="H175" s="14">
        <f t="shared" si="7"/>
        <v>14</v>
      </c>
      <c r="I175" s="14">
        <v>1</v>
      </c>
      <c r="J175" s="14">
        <v>13</v>
      </c>
      <c r="K175" s="13" t="s">
        <v>917</v>
      </c>
    </row>
    <row r="176" spans="1:11" ht="19.5" customHeight="1" x14ac:dyDescent="0.25">
      <c r="A176" s="11" t="s">
        <v>1269</v>
      </c>
      <c r="B176" s="14" t="s">
        <v>24</v>
      </c>
      <c r="C176" s="10" t="s">
        <v>848</v>
      </c>
      <c r="E176" s="13" t="s">
        <v>21</v>
      </c>
      <c r="F176" s="14" t="s">
        <v>11</v>
      </c>
      <c r="G176" s="14">
        <v>1</v>
      </c>
      <c r="H176" s="14">
        <f t="shared" si="7"/>
        <v>1</v>
      </c>
      <c r="J176" s="14">
        <v>1</v>
      </c>
      <c r="K176" s="13" t="s">
        <v>849</v>
      </c>
    </row>
    <row r="177" spans="1:11" ht="19.5" customHeight="1" x14ac:dyDescent="0.25">
      <c r="A177" s="11" t="s">
        <v>1269</v>
      </c>
      <c r="B177" s="14" t="s">
        <v>238</v>
      </c>
      <c r="E177" s="13" t="s">
        <v>236</v>
      </c>
      <c r="F177" s="14" t="s">
        <v>35</v>
      </c>
      <c r="G177" s="14">
        <v>3</v>
      </c>
      <c r="H177" s="14">
        <f t="shared" si="7"/>
        <v>3</v>
      </c>
      <c r="J177" s="14">
        <v>3</v>
      </c>
      <c r="K177" s="13" t="s">
        <v>754</v>
      </c>
    </row>
    <row r="178" spans="1:11" ht="19.5" customHeight="1" x14ac:dyDescent="0.25">
      <c r="A178" s="11" t="s">
        <v>1269</v>
      </c>
      <c r="B178" s="13" t="s">
        <v>226</v>
      </c>
      <c r="E178" s="13" t="s">
        <v>730</v>
      </c>
      <c r="F178" s="14" t="s">
        <v>35</v>
      </c>
      <c r="G178" s="14">
        <v>1</v>
      </c>
      <c r="H178" s="14">
        <f t="shared" si="7"/>
        <v>1</v>
      </c>
      <c r="J178" s="14">
        <v>1</v>
      </c>
      <c r="K178" s="13" t="s">
        <v>466</v>
      </c>
    </row>
    <row r="179" spans="1:11" ht="19.5" customHeight="1" x14ac:dyDescent="0.25">
      <c r="A179" s="11" t="s">
        <v>1269</v>
      </c>
      <c r="B179" s="14" t="s">
        <v>676</v>
      </c>
      <c r="F179" s="14" t="s">
        <v>35</v>
      </c>
      <c r="G179" s="14">
        <v>7</v>
      </c>
      <c r="H179" s="14">
        <f t="shared" si="7"/>
        <v>7</v>
      </c>
      <c r="J179" s="14">
        <v>7</v>
      </c>
      <c r="K179" s="13" t="s">
        <v>755</v>
      </c>
    </row>
    <row r="180" spans="1:11" ht="19.5" customHeight="1" x14ac:dyDescent="0.25">
      <c r="A180" s="11" t="s">
        <v>1269</v>
      </c>
      <c r="B180" s="14" t="s">
        <v>676</v>
      </c>
      <c r="E180" s="13" t="s">
        <v>428</v>
      </c>
      <c r="F180" s="14" t="s">
        <v>35</v>
      </c>
      <c r="G180" s="14">
        <v>2</v>
      </c>
      <c r="H180" s="14">
        <f t="shared" si="7"/>
        <v>2</v>
      </c>
      <c r="J180" s="14">
        <v>2</v>
      </c>
      <c r="K180" s="13" t="s">
        <v>766</v>
      </c>
    </row>
    <row r="181" spans="1:11" ht="19.5" customHeight="1" x14ac:dyDescent="0.25">
      <c r="A181" s="11" t="s">
        <v>1269</v>
      </c>
      <c r="B181" s="14" t="s">
        <v>676</v>
      </c>
      <c r="E181" s="13" t="s">
        <v>728</v>
      </c>
      <c r="F181" s="14" t="s">
        <v>35</v>
      </c>
      <c r="G181" s="14">
        <v>2</v>
      </c>
      <c r="H181" s="14">
        <f t="shared" si="7"/>
        <v>2</v>
      </c>
      <c r="J181" s="14">
        <v>2</v>
      </c>
      <c r="K181" s="13" t="s">
        <v>731</v>
      </c>
    </row>
    <row r="182" spans="1:11" ht="19.5" customHeight="1" x14ac:dyDescent="0.25">
      <c r="A182" s="11" t="s">
        <v>1269</v>
      </c>
      <c r="B182" s="14" t="s">
        <v>676</v>
      </c>
      <c r="E182" s="13" t="s">
        <v>729</v>
      </c>
      <c r="F182" s="14" t="s">
        <v>35</v>
      </c>
      <c r="G182" s="14">
        <v>1</v>
      </c>
      <c r="H182" s="14">
        <f t="shared" si="7"/>
        <v>1</v>
      </c>
      <c r="J182" s="14">
        <v>1</v>
      </c>
      <c r="K182" s="13" t="s">
        <v>727</v>
      </c>
    </row>
    <row r="183" spans="1:11" ht="19.5" customHeight="1" x14ac:dyDescent="0.25">
      <c r="A183" s="11" t="s">
        <v>1269</v>
      </c>
      <c r="B183" s="14" t="s">
        <v>676</v>
      </c>
      <c r="E183" s="13" t="s">
        <v>732</v>
      </c>
      <c r="F183" s="14" t="s">
        <v>35</v>
      </c>
      <c r="G183" s="14">
        <v>1</v>
      </c>
      <c r="H183" s="14">
        <f t="shared" si="7"/>
        <v>1</v>
      </c>
      <c r="J183" s="14">
        <v>1</v>
      </c>
      <c r="K183" s="13" t="s">
        <v>671</v>
      </c>
    </row>
    <row r="184" spans="1:11" ht="19.5" customHeight="1" x14ac:dyDescent="0.25">
      <c r="A184" s="11" t="s">
        <v>1269</v>
      </c>
      <c r="B184" s="14" t="s">
        <v>676</v>
      </c>
      <c r="E184" s="13" t="s">
        <v>746</v>
      </c>
      <c r="F184" s="14" t="s">
        <v>35</v>
      </c>
      <c r="G184" s="14">
        <v>1</v>
      </c>
      <c r="H184" s="14">
        <f t="shared" si="7"/>
        <v>1</v>
      </c>
      <c r="J184" s="14">
        <v>1</v>
      </c>
      <c r="K184" s="13" t="s">
        <v>507</v>
      </c>
    </row>
    <row r="185" spans="1:11" ht="19.5" customHeight="1" x14ac:dyDescent="0.25">
      <c r="A185" s="11" t="s">
        <v>1269</v>
      </c>
      <c r="B185" s="14" t="s">
        <v>249</v>
      </c>
      <c r="D185" s="13" t="s">
        <v>465</v>
      </c>
      <c r="E185" s="13" t="s">
        <v>464</v>
      </c>
      <c r="F185" s="14" t="s">
        <v>35</v>
      </c>
      <c r="G185" s="14">
        <v>1</v>
      </c>
      <c r="H185" s="14">
        <f t="shared" si="7"/>
        <v>1</v>
      </c>
      <c r="J185" s="14">
        <v>1</v>
      </c>
      <c r="K185" s="13" t="s">
        <v>502</v>
      </c>
    </row>
    <row r="186" spans="1:11" ht="19.5" customHeight="1" x14ac:dyDescent="0.25">
      <c r="A186" s="11" t="s">
        <v>1269</v>
      </c>
      <c r="B186" s="14" t="s">
        <v>34</v>
      </c>
      <c r="D186" s="13" t="s">
        <v>753</v>
      </c>
      <c r="E186" s="13" t="s">
        <v>469</v>
      </c>
      <c r="F186" s="14" t="s">
        <v>35</v>
      </c>
      <c r="G186" s="14">
        <v>3</v>
      </c>
      <c r="H186" s="14">
        <f t="shared" si="7"/>
        <v>3</v>
      </c>
      <c r="J186" s="14">
        <v>2</v>
      </c>
      <c r="K186" s="13" t="s">
        <v>767</v>
      </c>
    </row>
    <row r="187" spans="1:11" ht="19.5" customHeight="1" x14ac:dyDescent="0.25">
      <c r="A187" s="11" t="s">
        <v>1269</v>
      </c>
      <c r="B187" s="14" t="s">
        <v>743</v>
      </c>
      <c r="F187" s="14" t="s">
        <v>35</v>
      </c>
      <c r="G187" s="14">
        <v>1</v>
      </c>
      <c r="H187" s="14">
        <f t="shared" si="7"/>
        <v>1</v>
      </c>
      <c r="J187" s="14">
        <v>1</v>
      </c>
      <c r="K187" s="13" t="s">
        <v>502</v>
      </c>
    </row>
    <row r="188" spans="1:11" ht="19.5" customHeight="1" x14ac:dyDescent="0.25">
      <c r="A188" s="11" t="s">
        <v>1269</v>
      </c>
      <c r="B188" s="14" t="s">
        <v>161</v>
      </c>
      <c r="C188" s="10" t="s">
        <v>301</v>
      </c>
      <c r="E188" s="13" t="s">
        <v>254</v>
      </c>
      <c r="F188" s="14" t="s">
        <v>56</v>
      </c>
      <c r="G188" s="14">
        <v>2</v>
      </c>
      <c r="H188" s="14">
        <f t="shared" si="7"/>
        <v>2</v>
      </c>
      <c r="J188" s="14">
        <v>2</v>
      </c>
      <c r="K188" s="13" t="s">
        <v>618</v>
      </c>
    </row>
    <row r="190" spans="1:11" ht="19.5" customHeight="1" x14ac:dyDescent="0.25">
      <c r="B190" s="13" t="s">
        <v>532</v>
      </c>
      <c r="C190" s="10">
        <f>SUM(H2:H3)</f>
        <v>2</v>
      </c>
    </row>
    <row r="191" spans="1:11" ht="19.5" customHeight="1" x14ac:dyDescent="0.25">
      <c r="B191" s="13" t="s">
        <v>411</v>
      </c>
      <c r="C191" s="10">
        <f>SUM(H4:H5)</f>
        <v>2</v>
      </c>
    </row>
    <row r="192" spans="1:11" ht="19.5" customHeight="1" x14ac:dyDescent="0.25">
      <c r="B192" s="13" t="s">
        <v>297</v>
      </c>
      <c r="C192" s="10">
        <f>H158</f>
        <v>1</v>
      </c>
      <c r="D192" s="16"/>
      <c r="E192" s="16"/>
      <c r="F192" s="15"/>
      <c r="G192" s="15"/>
      <c r="I192" s="15"/>
      <c r="J192" s="15"/>
      <c r="K192" s="16"/>
    </row>
    <row r="193" spans="2:11" ht="19.5" customHeight="1" x14ac:dyDescent="0.25">
      <c r="B193" s="14" t="s">
        <v>76</v>
      </c>
      <c r="C193" s="10">
        <f>H6</f>
        <v>31</v>
      </c>
      <c r="D193" s="16"/>
      <c r="E193" s="16"/>
      <c r="F193" s="15"/>
      <c r="G193" s="15"/>
      <c r="I193" s="15"/>
      <c r="J193" s="15"/>
      <c r="K193" s="16"/>
    </row>
    <row r="194" spans="2:11" ht="19.5" customHeight="1" x14ac:dyDescent="0.25">
      <c r="B194" s="14" t="s">
        <v>42</v>
      </c>
      <c r="C194" s="10">
        <f>SUM(H7:H8)</f>
        <v>4</v>
      </c>
    </row>
    <row r="195" spans="2:11" ht="19.5" customHeight="1" x14ac:dyDescent="0.25">
      <c r="B195" s="13" t="s">
        <v>10</v>
      </c>
      <c r="C195" s="10">
        <f>SUM(H9:H11)</f>
        <v>4</v>
      </c>
    </row>
    <row r="196" spans="2:11" ht="19.5" customHeight="1" x14ac:dyDescent="0.25">
      <c r="B196" s="13" t="s">
        <v>126</v>
      </c>
      <c r="C196" s="10">
        <f>SUM(H12:H12)</f>
        <v>2</v>
      </c>
    </row>
    <row r="197" spans="2:11" ht="19.5" customHeight="1" x14ac:dyDescent="0.25">
      <c r="B197" s="13" t="s">
        <v>191</v>
      </c>
      <c r="C197" s="10">
        <f>SUM(H13:H13)</f>
        <v>2</v>
      </c>
    </row>
    <row r="198" spans="2:11" ht="19.5" customHeight="1" x14ac:dyDescent="0.25">
      <c r="B198" s="13" t="s">
        <v>68</v>
      </c>
      <c r="C198" s="10">
        <f>SUM(H14:H22)</f>
        <v>9</v>
      </c>
    </row>
    <row r="199" spans="2:11" ht="19.5" customHeight="1" x14ac:dyDescent="0.25">
      <c r="B199" s="13" t="s">
        <v>674</v>
      </c>
      <c r="C199" s="10">
        <f>H166</f>
        <v>1</v>
      </c>
    </row>
    <row r="200" spans="2:11" ht="19.5" customHeight="1" x14ac:dyDescent="0.25">
      <c r="B200" s="13" t="s">
        <v>209</v>
      </c>
      <c r="C200" s="10">
        <f>SUM(H23:H23)</f>
        <v>3</v>
      </c>
    </row>
    <row r="201" spans="2:11" ht="19.5" customHeight="1" x14ac:dyDescent="0.25">
      <c r="B201" s="13" t="s">
        <v>64</v>
      </c>
      <c r="C201" s="10">
        <f>SUM(H24:H27)</f>
        <v>4</v>
      </c>
    </row>
    <row r="202" spans="2:11" ht="19.5" customHeight="1" x14ac:dyDescent="0.25">
      <c r="B202" s="13" t="s">
        <v>261</v>
      </c>
      <c r="C202" s="10">
        <f>H28</f>
        <v>1</v>
      </c>
    </row>
    <row r="203" spans="2:11" ht="19.5" customHeight="1" x14ac:dyDescent="0.25">
      <c r="B203" s="13" t="s">
        <v>705</v>
      </c>
      <c r="C203" s="10">
        <f>H29</f>
        <v>1</v>
      </c>
    </row>
    <row r="204" spans="2:11" ht="19.5" customHeight="1" x14ac:dyDescent="0.25">
      <c r="B204" s="13" t="s">
        <v>283</v>
      </c>
      <c r="C204" s="10">
        <f>SUM(H30:H32)</f>
        <v>3</v>
      </c>
    </row>
    <row r="205" spans="2:11" ht="19.5" customHeight="1" x14ac:dyDescent="0.25">
      <c r="B205" s="13" t="s">
        <v>430</v>
      </c>
      <c r="C205" s="10">
        <f>H33</f>
        <v>1</v>
      </c>
    </row>
    <row r="206" spans="2:11" ht="19.5" customHeight="1" x14ac:dyDescent="0.25">
      <c r="B206" s="13" t="s">
        <v>328</v>
      </c>
      <c r="C206" s="10">
        <f>SUM(H34:H34)</f>
        <v>1</v>
      </c>
    </row>
    <row r="207" spans="2:11" ht="19.5" customHeight="1" x14ac:dyDescent="0.25">
      <c r="B207" s="13" t="s">
        <v>78</v>
      </c>
      <c r="C207" s="10">
        <f>SUM(H35:H36)</f>
        <v>4</v>
      </c>
    </row>
    <row r="208" spans="2:11" ht="19.5" customHeight="1" x14ac:dyDescent="0.25">
      <c r="B208" s="13" t="s">
        <v>206</v>
      </c>
      <c r="C208" s="10">
        <f>H37</f>
        <v>1</v>
      </c>
    </row>
    <row r="209" spans="2:3" ht="19.5" customHeight="1" x14ac:dyDescent="0.25">
      <c r="B209" s="13" t="s">
        <v>46</v>
      </c>
      <c r="C209" s="10">
        <f>H38</f>
        <v>4</v>
      </c>
    </row>
    <row r="210" spans="2:3" ht="19.5" customHeight="1" x14ac:dyDescent="0.25">
      <c r="B210" s="13" t="s">
        <v>62</v>
      </c>
      <c r="C210" s="10">
        <f>SUM(H39:H44)</f>
        <v>7</v>
      </c>
    </row>
    <row r="211" spans="2:3" ht="19.5" customHeight="1" x14ac:dyDescent="0.25">
      <c r="B211" s="13" t="s">
        <v>22</v>
      </c>
      <c r="C211" s="10">
        <f>SUM(H45:H45)</f>
        <v>1</v>
      </c>
    </row>
    <row r="212" spans="2:3" ht="19.5" customHeight="1" x14ac:dyDescent="0.25">
      <c r="B212" s="13" t="s">
        <v>699</v>
      </c>
      <c r="C212" s="10">
        <f>H46</f>
        <v>1</v>
      </c>
    </row>
    <row r="213" spans="2:3" ht="19.5" customHeight="1" x14ac:dyDescent="0.25">
      <c r="B213" s="13" t="s">
        <v>93</v>
      </c>
      <c r="C213" s="10">
        <f>SUM(H47:H48)</f>
        <v>3</v>
      </c>
    </row>
    <row r="214" spans="2:3" ht="19.5" customHeight="1" x14ac:dyDescent="0.25">
      <c r="B214" s="13" t="s">
        <v>24</v>
      </c>
      <c r="C214" s="10">
        <f>SUM(H49:H59)</f>
        <v>62</v>
      </c>
    </row>
    <row r="215" spans="2:3" ht="19.5" customHeight="1" x14ac:dyDescent="0.25">
      <c r="B215" s="13" t="s">
        <v>416</v>
      </c>
      <c r="C215" s="10">
        <f>SUM(H91:H93)</f>
        <v>33</v>
      </c>
    </row>
    <row r="216" spans="2:3" ht="19.5" customHeight="1" x14ac:dyDescent="0.25">
      <c r="B216" s="13" t="s">
        <v>5759</v>
      </c>
      <c r="C216" s="10">
        <f>SUM(C190:C215)</f>
        <v>188</v>
      </c>
    </row>
    <row r="217" spans="2:3" ht="19.5" customHeight="1" x14ac:dyDescent="0.25">
      <c r="B217" s="14" t="s">
        <v>3753</v>
      </c>
      <c r="C217" s="10">
        <f>H166+H171+H34+H38+H91+H92+H93+(H108/2)+(H109/2)+(H110/2)+(H112/2)+(H122/2)</f>
        <v>58.5</v>
      </c>
    </row>
    <row r="218" spans="2:3" ht="19.5" customHeight="1" x14ac:dyDescent="0.25">
      <c r="B218" s="14" t="s">
        <v>664</v>
      </c>
      <c r="C218" s="10">
        <f>H160+H161+H162+H9+H10+H11+H33+H105+(H108/2)+H123+(H132/2)+H74</f>
        <v>21.5</v>
      </c>
    </row>
    <row r="219" spans="2:3" ht="19.5" customHeight="1" x14ac:dyDescent="0.25">
      <c r="B219" s="14" t="s">
        <v>3754</v>
      </c>
      <c r="C219" s="10">
        <f>H167+H23+H28+H29+H169+H170+H30+H31+H32+H35+H36+H46+SUM(H47:H48)+H94+(H109/2)+(H110/2)+(H112/2)+H119+(H120/2)+(H121/2)+(H122/2)+H128+H137</f>
        <v>65</v>
      </c>
    </row>
    <row r="220" spans="2:3" ht="19.5" customHeight="1" x14ac:dyDescent="0.25">
      <c r="B220" s="14" t="s">
        <v>3755</v>
      </c>
      <c r="C220" s="10">
        <f>H2+H3+SUM(H7:H8)+SUM(H13:H22)+SUM(H24:H27)+H172+H45+SUM(H49:H59)+H117+H118+(H120/2)+(H121/2)+H125+(H132/2)+H135+H138+H139</f>
        <v>177</v>
      </c>
    </row>
    <row r="221" spans="2:3" ht="19.5" customHeight="1" x14ac:dyDescent="0.25">
      <c r="B221" s="14" t="s">
        <v>666</v>
      </c>
      <c r="C221" s="10">
        <f>SUM(H4:H6)+H163+H12+H37+SUM(H39:H44)+H95+H116+H133+H134+H136</f>
        <v>57</v>
      </c>
    </row>
    <row r="222" spans="2:3" ht="19.5" customHeight="1" x14ac:dyDescent="0.25">
      <c r="B222" s="14" t="s">
        <v>922</v>
      </c>
      <c r="C222" s="10">
        <f>C217+C218+C219+C220+C221+H96+H126+C224</f>
        <v>401</v>
      </c>
    </row>
    <row r="226" spans="1:3" ht="19.5" customHeight="1" x14ac:dyDescent="0.25">
      <c r="B226" s="14" t="s">
        <v>55</v>
      </c>
      <c r="C226" s="10">
        <f>SUM(H75:H76)</f>
        <v>4</v>
      </c>
    </row>
    <row r="227" spans="1:3" ht="19.5" customHeight="1" x14ac:dyDescent="0.25">
      <c r="B227" s="14" t="s">
        <v>593</v>
      </c>
      <c r="C227" s="10">
        <f>H77</f>
        <v>1</v>
      </c>
    </row>
    <row r="228" spans="1:3" ht="19.5" customHeight="1" x14ac:dyDescent="0.25">
      <c r="B228" s="14" t="s">
        <v>161</v>
      </c>
      <c r="C228" s="10">
        <f>SUM(H78:H78)</f>
        <v>4</v>
      </c>
    </row>
    <row r="229" spans="1:3" ht="19.5" customHeight="1" x14ac:dyDescent="0.25">
      <c r="B229" s="14" t="s">
        <v>66</v>
      </c>
      <c r="C229" s="10">
        <f>H79</f>
        <v>1</v>
      </c>
    </row>
    <row r="231" spans="1:3" ht="19.5" customHeight="1" x14ac:dyDescent="0.25">
      <c r="B231" s="14" t="s">
        <v>923</v>
      </c>
      <c r="C231" s="10">
        <f>(H100/2)</f>
        <v>3</v>
      </c>
    </row>
    <row r="232" spans="1:3" ht="19.5" customHeight="1" x14ac:dyDescent="0.25">
      <c r="B232" s="14" t="s">
        <v>924</v>
      </c>
      <c r="C232" s="10">
        <f>(H100/2)+C228</f>
        <v>7</v>
      </c>
    </row>
    <row r="233" spans="1:3" ht="19.5" customHeight="1" x14ac:dyDescent="0.25">
      <c r="B233" s="14" t="s">
        <v>925</v>
      </c>
      <c r="C233" s="10">
        <f>(H99/2)+C227</f>
        <v>3</v>
      </c>
    </row>
    <row r="234" spans="1:3" ht="19.5" customHeight="1" x14ac:dyDescent="0.25">
      <c r="B234" s="14" t="s">
        <v>926</v>
      </c>
      <c r="C234" s="10">
        <f>(H99/2)+H101+C226</f>
        <v>7</v>
      </c>
    </row>
    <row r="235" spans="1:3" ht="19.5" customHeight="1" x14ac:dyDescent="0.25">
      <c r="B235" s="14" t="s">
        <v>629</v>
      </c>
      <c r="C235" s="10">
        <f>C229</f>
        <v>1</v>
      </c>
    </row>
    <row r="236" spans="1:3" ht="19.5" customHeight="1" x14ac:dyDescent="0.25">
      <c r="B236" s="14" t="s">
        <v>927</v>
      </c>
      <c r="C236" s="10">
        <f>SUM(C231:C235)+H98</f>
        <v>30</v>
      </c>
    </row>
    <row r="238" spans="1:3" ht="19.5" customHeight="1" x14ac:dyDescent="0.25">
      <c r="A238" s="15" t="s">
        <v>5459</v>
      </c>
      <c r="B238" s="14" t="s">
        <v>231</v>
      </c>
      <c r="C238" s="10">
        <f>H157</f>
        <v>1</v>
      </c>
    </row>
    <row r="239" spans="1:3" ht="19.5" customHeight="1" x14ac:dyDescent="0.25">
      <c r="A239" s="15" t="s">
        <v>5459</v>
      </c>
      <c r="B239" s="14" t="s">
        <v>238</v>
      </c>
      <c r="C239" s="10">
        <f>SUM(H60:H61)</f>
        <v>2</v>
      </c>
    </row>
    <row r="240" spans="1:3" ht="19.5" customHeight="1" x14ac:dyDescent="0.25">
      <c r="A240" s="15" t="s">
        <v>5460</v>
      </c>
      <c r="B240" s="13" t="s">
        <v>935</v>
      </c>
      <c r="C240" s="10">
        <f>SUM(H62:H62)</f>
        <v>1</v>
      </c>
    </row>
    <row r="241" spans="1:3" ht="19.5" customHeight="1" x14ac:dyDescent="0.25">
      <c r="A241" s="15" t="s">
        <v>5461</v>
      </c>
      <c r="B241" s="14" t="s">
        <v>86</v>
      </c>
      <c r="C241" s="10">
        <f>H63</f>
        <v>1</v>
      </c>
    </row>
    <row r="242" spans="1:3" ht="19.5" customHeight="1" x14ac:dyDescent="0.25">
      <c r="A242" s="15" t="s">
        <v>5459</v>
      </c>
      <c r="B242" s="14" t="s">
        <v>676</v>
      </c>
      <c r="C242" s="10">
        <f>SUM(H64:H184)</f>
        <v>566</v>
      </c>
    </row>
    <row r="243" spans="1:3" ht="19.5" customHeight="1" x14ac:dyDescent="0.25">
      <c r="A243" s="15" t="s">
        <v>5461</v>
      </c>
      <c r="B243" s="14" t="s">
        <v>4204</v>
      </c>
      <c r="C243" s="10">
        <f>H185</f>
        <v>1</v>
      </c>
    </row>
    <row r="244" spans="1:3" ht="19.5" customHeight="1" x14ac:dyDescent="0.25">
      <c r="A244" s="15" t="s">
        <v>5459</v>
      </c>
      <c r="B244" s="14" t="s">
        <v>34</v>
      </c>
      <c r="C244" s="10">
        <f>SUM(H67:H70)</f>
        <v>14</v>
      </c>
    </row>
    <row r="245" spans="1:3" ht="19.5" customHeight="1" x14ac:dyDescent="0.25">
      <c r="A245" s="15" t="s">
        <v>5459</v>
      </c>
      <c r="B245" s="14" t="s">
        <v>319</v>
      </c>
      <c r="C245" s="10">
        <f>SUM(H71:H72)</f>
        <v>2</v>
      </c>
    </row>
    <row r="246" spans="1:3" ht="19.5" customHeight="1" x14ac:dyDescent="0.25">
      <c r="A246" s="15" t="s">
        <v>5462</v>
      </c>
      <c r="B246" s="14" t="s">
        <v>709</v>
      </c>
      <c r="C246" s="10">
        <f>H73</f>
        <v>1</v>
      </c>
    </row>
    <row r="247" spans="1:3" ht="19.5" customHeight="1" x14ac:dyDescent="0.25">
      <c r="A247" s="15" t="s">
        <v>5459</v>
      </c>
      <c r="B247" s="14" t="s">
        <v>743</v>
      </c>
      <c r="C247" s="10">
        <f>H187</f>
        <v>1</v>
      </c>
    </row>
    <row r="249" spans="1:3" ht="19.5" customHeight="1" x14ac:dyDescent="0.25">
      <c r="B249" s="14" t="s">
        <v>928</v>
      </c>
      <c r="C249" s="10">
        <f>H103+H104+H107+(H131/2)+H156+C238+C239+C242+C244+C245+C247</f>
        <v>590.5</v>
      </c>
    </row>
    <row r="250" spans="1:3" ht="19.5" customHeight="1" x14ac:dyDescent="0.25">
      <c r="B250" s="14" t="s">
        <v>929</v>
      </c>
      <c r="C250" s="10">
        <f>H113+(H114/2)+C241+C243</f>
        <v>4.5</v>
      </c>
    </row>
    <row r="251" spans="1:3" ht="19.5" customHeight="1" x14ac:dyDescent="0.25">
      <c r="B251" s="14" t="s">
        <v>930</v>
      </c>
      <c r="C251" s="10">
        <f>(H114/2)+H115+(H155/2)+C240</f>
        <v>10.5</v>
      </c>
    </row>
    <row r="252" spans="1:3" ht="19.5" customHeight="1" x14ac:dyDescent="0.25">
      <c r="B252" s="14" t="s">
        <v>931</v>
      </c>
      <c r="C252" s="10">
        <f>H106+H130+(H131/2)+(H155/2)</f>
        <v>13.5</v>
      </c>
    </row>
    <row r="253" spans="1:3" ht="19.5" customHeight="1" x14ac:dyDescent="0.25">
      <c r="B253" s="14" t="s">
        <v>5458</v>
      </c>
      <c r="C253" s="10">
        <f>C246</f>
        <v>1</v>
      </c>
    </row>
    <row r="254" spans="1:3" ht="19.5" customHeight="1" x14ac:dyDescent="0.25">
      <c r="B254" s="14" t="s">
        <v>932</v>
      </c>
      <c r="C254" s="10">
        <f>SUM(C249:C253)+H102+H129</f>
        <v>651</v>
      </c>
    </row>
    <row r="256" spans="1:3" ht="19.5" customHeight="1" x14ac:dyDescent="0.25">
      <c r="B256" s="14" t="s">
        <v>775</v>
      </c>
      <c r="C256" s="10">
        <f>H145</f>
        <v>6</v>
      </c>
    </row>
    <row r="257" spans="1:3" ht="19.5" customHeight="1" x14ac:dyDescent="0.25">
      <c r="B257" s="14" t="s">
        <v>778</v>
      </c>
      <c r="C257" s="10">
        <f>SUM(H80:H82)</f>
        <v>5</v>
      </c>
    </row>
    <row r="258" spans="1:3" ht="19.5" customHeight="1" x14ac:dyDescent="0.25">
      <c r="B258" s="14" t="s">
        <v>783</v>
      </c>
      <c r="C258" s="10">
        <f>H147</f>
        <v>1</v>
      </c>
    </row>
    <row r="259" spans="1:3" ht="19.5" customHeight="1" x14ac:dyDescent="0.25">
      <c r="A259" s="15" t="s">
        <v>5463</v>
      </c>
      <c r="B259" s="14" t="s">
        <v>793</v>
      </c>
      <c r="C259" s="10">
        <f>SUM(H83:H83)</f>
        <v>1</v>
      </c>
    </row>
    <row r="260" spans="1:3" ht="19.5" customHeight="1" x14ac:dyDescent="0.25">
      <c r="A260" s="15" t="s">
        <v>5464</v>
      </c>
      <c r="B260" s="14" t="s">
        <v>878</v>
      </c>
      <c r="C260" s="10">
        <f>H149</f>
        <v>1</v>
      </c>
    </row>
    <row r="261" spans="1:3" ht="19.5" customHeight="1" x14ac:dyDescent="0.25">
      <c r="A261" s="15" t="s">
        <v>5464</v>
      </c>
      <c r="B261" s="14" t="s">
        <v>804</v>
      </c>
      <c r="C261" s="10">
        <f>SUM(H84:H84)</f>
        <v>1</v>
      </c>
    </row>
    <row r="262" spans="1:3" ht="19.5" customHeight="1" x14ac:dyDescent="0.25">
      <c r="A262" s="15" t="s">
        <v>5465</v>
      </c>
      <c r="B262" s="14" t="s">
        <v>785</v>
      </c>
      <c r="C262" s="10">
        <f>H151</f>
        <v>1</v>
      </c>
    </row>
    <row r="263" spans="1:3" ht="19.5" customHeight="1" x14ac:dyDescent="0.25">
      <c r="A263" s="15" t="s">
        <v>5463</v>
      </c>
      <c r="B263" s="14" t="s">
        <v>795</v>
      </c>
      <c r="C263" s="10">
        <f>SUM(H85:H86)</f>
        <v>7</v>
      </c>
    </row>
    <row r="264" spans="1:3" ht="19.5" customHeight="1" x14ac:dyDescent="0.25">
      <c r="A264" s="15" t="s">
        <v>5465</v>
      </c>
      <c r="B264" s="14" t="s">
        <v>772</v>
      </c>
      <c r="C264" s="10">
        <f>SUM(H87:H88)</f>
        <v>3</v>
      </c>
    </row>
    <row r="265" spans="1:3" ht="19.5" customHeight="1" x14ac:dyDescent="0.25">
      <c r="A265" s="15" t="s">
        <v>5466</v>
      </c>
      <c r="B265" s="14" t="s">
        <v>789</v>
      </c>
      <c r="C265" s="10">
        <f>SUM(H89:H90)</f>
        <v>2</v>
      </c>
    </row>
    <row r="266" spans="1:3" ht="19.5" customHeight="1" x14ac:dyDescent="0.25">
      <c r="A266" s="15" t="s">
        <v>5466</v>
      </c>
      <c r="B266" s="14" t="s">
        <v>875</v>
      </c>
      <c r="C266" s="10">
        <f>H154</f>
        <v>1</v>
      </c>
    </row>
    <row r="268" spans="1:3" ht="19.5" customHeight="1" x14ac:dyDescent="0.25">
      <c r="B268" s="14" t="s">
        <v>933</v>
      </c>
      <c r="C268" s="10">
        <f>(H141/2)+H142+(H144/2)+SUM(C256:C258)</f>
        <v>18</v>
      </c>
    </row>
    <row r="269" spans="1:3" ht="19.5" customHeight="1" x14ac:dyDescent="0.25">
      <c r="B269" s="14" t="s">
        <v>1351</v>
      </c>
      <c r="C269" s="10">
        <f>C259+C263</f>
        <v>8</v>
      </c>
    </row>
    <row r="270" spans="1:3" ht="19.5" customHeight="1" x14ac:dyDescent="0.25">
      <c r="B270" s="14" t="s">
        <v>1352</v>
      </c>
      <c r="C270" s="10">
        <f>C262+C264</f>
        <v>4</v>
      </c>
    </row>
    <row r="271" spans="1:3" ht="19.5" customHeight="1" x14ac:dyDescent="0.25">
      <c r="B271" s="14" t="s">
        <v>1353</v>
      </c>
      <c r="C271" s="10">
        <f>C265+C266</f>
        <v>3</v>
      </c>
    </row>
    <row r="272" spans="1:3" ht="19.5" customHeight="1" x14ac:dyDescent="0.25">
      <c r="B272" s="14" t="s">
        <v>1354</v>
      </c>
      <c r="C272" s="10">
        <f>C260+C261</f>
        <v>2</v>
      </c>
    </row>
    <row r="273" spans="2:3" ht="19.5" customHeight="1" x14ac:dyDescent="0.25">
      <c r="B273" s="14" t="s">
        <v>1880</v>
      </c>
      <c r="C273" s="10">
        <v>0</v>
      </c>
    </row>
    <row r="274" spans="2:3" ht="19.5" customHeight="1" x14ac:dyDescent="0.25">
      <c r="B274" s="14" t="s">
        <v>773</v>
      </c>
      <c r="C274" s="10">
        <f>(H141/2)+H143+(H144/2)+SUM(C269:C273)</f>
        <v>22</v>
      </c>
    </row>
    <row r="275" spans="2:3" ht="19.5" customHeight="1" x14ac:dyDescent="0.25">
      <c r="B275" s="14" t="s">
        <v>934</v>
      </c>
      <c r="C275" s="10">
        <f>C268+C274+H140</f>
        <v>84</v>
      </c>
    </row>
    <row r="277" spans="2:3" ht="19.5" customHeight="1" x14ac:dyDescent="0.25">
      <c r="B277" s="14" t="s">
        <v>874</v>
      </c>
      <c r="C277" s="10">
        <f>H97+H111+H123+H124+H127</f>
        <v>30</v>
      </c>
    </row>
    <row r="279" spans="2:3" ht="19.5" customHeight="1" x14ac:dyDescent="0.25">
      <c r="B279" s="14" t="s">
        <v>939</v>
      </c>
    </row>
    <row r="280" spans="2:3" ht="19.5" customHeight="1" x14ac:dyDescent="0.25">
      <c r="B280" s="14" t="s">
        <v>11</v>
      </c>
      <c r="C280" s="10">
        <f>C222</f>
        <v>401</v>
      </c>
    </row>
    <row r="281" spans="2:3" ht="19.5" customHeight="1" x14ac:dyDescent="0.25">
      <c r="B281" s="14" t="s">
        <v>35</v>
      </c>
      <c r="C281" s="10">
        <f>C254</f>
        <v>651</v>
      </c>
    </row>
    <row r="282" spans="2:3" ht="19.5" customHeight="1" x14ac:dyDescent="0.25">
      <c r="B282" s="14" t="s">
        <v>56</v>
      </c>
      <c r="C282" s="10">
        <f>C236</f>
        <v>30</v>
      </c>
    </row>
    <row r="283" spans="2:3" ht="19.5" customHeight="1" x14ac:dyDescent="0.25">
      <c r="B283" s="14" t="s">
        <v>771</v>
      </c>
      <c r="C283" s="10">
        <f>C275</f>
        <v>84</v>
      </c>
    </row>
    <row r="285" spans="2:3" ht="19.5" customHeight="1" x14ac:dyDescent="0.25">
      <c r="B285" s="13" t="s">
        <v>5756</v>
      </c>
      <c r="C285" s="13">
        <f>C195+C199+C209+C215</f>
        <v>42</v>
      </c>
    </row>
    <row r="286" spans="2:3" ht="19.5" customHeight="1" x14ac:dyDescent="0.25">
      <c r="B286" s="13" t="s">
        <v>1272</v>
      </c>
      <c r="C286" s="13">
        <f>C222-C285</f>
        <v>359</v>
      </c>
    </row>
    <row r="287" spans="2:3" ht="19.5" customHeight="1" x14ac:dyDescent="0.25">
      <c r="B287" s="13" t="s">
        <v>5756</v>
      </c>
      <c r="C287" s="13">
        <f>C285</f>
        <v>42</v>
      </c>
    </row>
    <row r="290" spans="2:17" ht="19.5" customHeight="1" thickBot="1" x14ac:dyDescent="0.3">
      <c r="B290" s="14" t="s">
        <v>5757</v>
      </c>
      <c r="C290" s="10" t="s">
        <v>5760</v>
      </c>
      <c r="E290" s="14"/>
      <c r="J290" s="13"/>
      <c r="K290" s="15"/>
      <c r="P290" s="13"/>
      <c r="Q290" s="15"/>
    </row>
    <row r="291" spans="2:17" ht="19.5" customHeight="1" x14ac:dyDescent="0.25">
      <c r="B291" s="85" t="s">
        <v>5449</v>
      </c>
      <c r="C291" s="88">
        <v>58.4</v>
      </c>
      <c r="E291" s="14"/>
      <c r="J291" s="13"/>
      <c r="K291" s="15"/>
      <c r="P291" s="13"/>
      <c r="Q291" s="15"/>
    </row>
    <row r="292" spans="2:17" ht="19.5" customHeight="1" x14ac:dyDescent="0.25">
      <c r="B292" s="86" t="s">
        <v>5450</v>
      </c>
      <c r="C292" s="89">
        <v>21.5</v>
      </c>
      <c r="E292" s="14"/>
      <c r="J292" s="13"/>
      <c r="K292" s="15"/>
      <c r="P292" s="13"/>
      <c r="Q292" s="15"/>
    </row>
    <row r="293" spans="2:17" ht="19.5" customHeight="1" x14ac:dyDescent="0.25">
      <c r="B293" s="86" t="s">
        <v>5451</v>
      </c>
      <c r="C293" s="89">
        <v>65</v>
      </c>
      <c r="E293" s="14"/>
      <c r="J293" s="13"/>
      <c r="K293" s="15"/>
      <c r="P293" s="13"/>
      <c r="Q293" s="15"/>
    </row>
    <row r="294" spans="2:17" ht="19.5" customHeight="1" x14ac:dyDescent="0.25">
      <c r="B294" s="86" t="s">
        <v>5452</v>
      </c>
      <c r="C294" s="89">
        <v>177</v>
      </c>
      <c r="E294" s="14"/>
      <c r="J294" s="13"/>
      <c r="K294" s="15"/>
      <c r="P294" s="13"/>
      <c r="Q294" s="15"/>
    </row>
    <row r="295" spans="2:17" ht="19.5" customHeight="1" thickBot="1" x14ac:dyDescent="0.3">
      <c r="B295" s="87" t="s">
        <v>5453</v>
      </c>
      <c r="C295" s="90">
        <v>57</v>
      </c>
      <c r="E295" s="14"/>
      <c r="J295" s="13"/>
      <c r="K295" s="15"/>
      <c r="P295" s="13"/>
      <c r="Q295" s="15"/>
    </row>
    <row r="296" spans="2:17" ht="19.5" customHeight="1" x14ac:dyDescent="0.25">
      <c r="B296" s="85" t="s">
        <v>5454</v>
      </c>
      <c r="C296" s="88">
        <v>590.5</v>
      </c>
      <c r="E296" s="14"/>
      <c r="J296" s="13"/>
      <c r="K296" s="15"/>
      <c r="P296" s="13"/>
      <c r="Q296" s="15"/>
    </row>
    <row r="297" spans="2:17" ht="19.5" customHeight="1" x14ac:dyDescent="0.25">
      <c r="B297" s="86" t="s">
        <v>5455</v>
      </c>
      <c r="C297" s="89">
        <v>10.5</v>
      </c>
      <c r="E297" s="14"/>
      <c r="J297" s="13"/>
      <c r="K297" s="15"/>
      <c r="P297" s="13"/>
      <c r="Q297" s="15"/>
    </row>
    <row r="298" spans="2:17" ht="19.5" customHeight="1" x14ac:dyDescent="0.25">
      <c r="B298" s="86" t="s">
        <v>5456</v>
      </c>
      <c r="C298" s="89">
        <v>4.5</v>
      </c>
      <c r="E298" s="14"/>
      <c r="J298" s="13"/>
      <c r="K298" s="15"/>
      <c r="P298" s="13"/>
      <c r="Q298" s="15"/>
    </row>
    <row r="299" spans="2:17" ht="19.5" customHeight="1" x14ac:dyDescent="0.25">
      <c r="B299" s="86" t="s">
        <v>5457</v>
      </c>
      <c r="C299" s="89">
        <v>13.5</v>
      </c>
      <c r="E299" s="14"/>
      <c r="J299" s="13"/>
      <c r="K299" s="15"/>
      <c r="P299" s="13"/>
      <c r="Q299" s="15"/>
    </row>
    <row r="300" spans="2:17" ht="19.5" customHeight="1" thickBot="1" x14ac:dyDescent="0.3">
      <c r="B300" s="87" t="s">
        <v>5458</v>
      </c>
      <c r="C300" s="90">
        <v>1</v>
      </c>
      <c r="E300" s="14"/>
      <c r="J300" s="13"/>
      <c r="K300" s="15"/>
      <c r="P300" s="13"/>
      <c r="Q300" s="15"/>
    </row>
    <row r="301" spans="2:17" ht="19.5" customHeight="1" x14ac:dyDescent="0.25">
      <c r="B301" s="85" t="s">
        <v>923</v>
      </c>
      <c r="C301" s="88">
        <v>3</v>
      </c>
      <c r="E301" s="14"/>
      <c r="J301" s="13"/>
      <c r="K301" s="15"/>
      <c r="P301" s="13"/>
      <c r="Q301" s="15"/>
    </row>
    <row r="302" spans="2:17" ht="19.5" customHeight="1" x14ac:dyDescent="0.25">
      <c r="B302" s="86" t="s">
        <v>924</v>
      </c>
      <c r="C302" s="89">
        <v>7</v>
      </c>
      <c r="E302" s="14"/>
      <c r="J302" s="13"/>
      <c r="K302" s="15"/>
      <c r="P302" s="13"/>
      <c r="Q302" s="15"/>
    </row>
    <row r="303" spans="2:17" ht="19.5" customHeight="1" x14ac:dyDescent="0.25">
      <c r="B303" s="86" t="s">
        <v>925</v>
      </c>
      <c r="C303" s="89">
        <v>3</v>
      </c>
      <c r="E303" s="14"/>
      <c r="J303" s="13"/>
      <c r="K303" s="15"/>
      <c r="P303" s="13"/>
      <c r="Q303" s="15"/>
    </row>
    <row r="304" spans="2:17" ht="19.5" customHeight="1" x14ac:dyDescent="0.25">
      <c r="B304" s="86" t="s">
        <v>926</v>
      </c>
      <c r="C304" s="89">
        <v>7</v>
      </c>
      <c r="E304" s="14"/>
      <c r="J304" s="13"/>
      <c r="K304" s="15"/>
      <c r="P304" s="13"/>
      <c r="Q304" s="15"/>
    </row>
    <row r="305" spans="2:17" ht="19.5" customHeight="1" thickBot="1" x14ac:dyDescent="0.3">
      <c r="B305" s="87" t="s">
        <v>629</v>
      </c>
      <c r="C305" s="90">
        <v>1</v>
      </c>
      <c r="E305" s="14"/>
      <c r="J305" s="13"/>
      <c r="K305" s="15"/>
      <c r="P305" s="13"/>
      <c r="Q305" s="15"/>
    </row>
    <row r="306" spans="2:17" ht="19.5" customHeight="1" x14ac:dyDescent="0.25">
      <c r="B306" s="85" t="s">
        <v>776</v>
      </c>
      <c r="C306" s="88">
        <v>18</v>
      </c>
      <c r="E306" s="14"/>
      <c r="J306" s="13"/>
      <c r="K306" s="15"/>
      <c r="P306" s="13"/>
      <c r="Q306" s="15"/>
    </row>
    <row r="307" spans="2:17" ht="19.5" customHeight="1" x14ac:dyDescent="0.25">
      <c r="B307" s="86" t="s">
        <v>1351</v>
      </c>
      <c r="C307" s="89">
        <v>8</v>
      </c>
      <c r="E307" s="14"/>
      <c r="J307" s="13"/>
      <c r="K307" s="15"/>
      <c r="P307" s="13"/>
      <c r="Q307" s="15"/>
    </row>
    <row r="308" spans="2:17" ht="19.5" customHeight="1" x14ac:dyDescent="0.25">
      <c r="B308" s="86" t="s">
        <v>1352</v>
      </c>
      <c r="C308" s="89">
        <v>4</v>
      </c>
      <c r="E308" s="14"/>
      <c r="J308" s="13"/>
      <c r="K308" s="15"/>
      <c r="P308" s="13"/>
      <c r="Q308" s="15"/>
    </row>
    <row r="309" spans="2:17" ht="19.5" customHeight="1" x14ac:dyDescent="0.25">
      <c r="B309" s="86" t="s">
        <v>1353</v>
      </c>
      <c r="C309" s="89">
        <v>3</v>
      </c>
      <c r="E309" s="14"/>
      <c r="J309" s="13"/>
      <c r="K309" s="15"/>
      <c r="P309" s="13"/>
      <c r="Q309" s="15"/>
    </row>
    <row r="310" spans="2:17" ht="19.5" customHeight="1" x14ac:dyDescent="0.25">
      <c r="B310" s="86" t="s">
        <v>1354</v>
      </c>
      <c r="C310" s="89">
        <v>2</v>
      </c>
      <c r="E310" s="14"/>
      <c r="J310" s="13"/>
      <c r="K310" s="15"/>
      <c r="P310" s="13"/>
      <c r="Q310" s="15"/>
    </row>
    <row r="311" spans="2:17" ht="19.5" customHeight="1" thickBot="1" x14ac:dyDescent="0.3">
      <c r="B311" s="87" t="s">
        <v>1880</v>
      </c>
      <c r="C311" s="90">
        <v>0</v>
      </c>
      <c r="E311" s="14"/>
      <c r="J311" s="13"/>
      <c r="K311" s="15"/>
      <c r="P311" s="13"/>
      <c r="Q311" s="15"/>
    </row>
    <row r="312" spans="2:17" ht="19.5" customHeight="1" x14ac:dyDescent="0.25">
      <c r="E312" s="14"/>
      <c r="J312" s="13"/>
      <c r="K312" s="15"/>
      <c r="P312" s="13"/>
      <c r="Q312" s="15"/>
    </row>
    <row r="313" spans="2:17" ht="19.5" customHeight="1" x14ac:dyDescent="0.25">
      <c r="E313" s="14"/>
      <c r="J313" s="13"/>
      <c r="K313" s="15"/>
      <c r="P313" s="13"/>
      <c r="Q313" s="15"/>
    </row>
    <row r="314" spans="2:17" ht="19.5" customHeight="1" x14ac:dyDescent="0.25">
      <c r="E314" s="14"/>
      <c r="J314" s="13"/>
      <c r="K314" s="15"/>
      <c r="P314" s="13"/>
      <c r="Q314" s="15"/>
    </row>
    <row r="315" spans="2:17" ht="19.5" customHeight="1" x14ac:dyDescent="0.25">
      <c r="E315" s="14"/>
      <c r="J315" s="13"/>
      <c r="K315" s="15"/>
      <c r="P315" s="13"/>
      <c r="Q315" s="15"/>
    </row>
    <row r="316" spans="2:17" ht="19.5" customHeight="1" x14ac:dyDescent="0.25">
      <c r="E316" s="14"/>
      <c r="J316" s="13"/>
      <c r="K316" s="15"/>
      <c r="P316" s="13"/>
      <c r="Q316" s="15"/>
    </row>
    <row r="317" spans="2:17" ht="19.5" customHeight="1" x14ac:dyDescent="0.25">
      <c r="E317" s="14"/>
      <c r="J317" s="13"/>
      <c r="K317" s="15"/>
      <c r="P317" s="13"/>
      <c r="Q317" s="15"/>
    </row>
    <row r="318" spans="2:17" ht="19.5" customHeight="1" x14ac:dyDescent="0.25">
      <c r="E318" s="14"/>
      <c r="J318" s="13"/>
      <c r="K318" s="15"/>
      <c r="P318" s="13"/>
      <c r="Q318" s="15"/>
    </row>
    <row r="319" spans="2:17" ht="19.5" customHeight="1" x14ac:dyDescent="0.25">
      <c r="E319" s="14"/>
      <c r="J319" s="13"/>
      <c r="K319" s="15"/>
      <c r="P319" s="13"/>
      <c r="Q319" s="15"/>
    </row>
    <row r="320" spans="2:17" ht="19.5" customHeight="1" x14ac:dyDescent="0.25">
      <c r="E320" s="14"/>
      <c r="J320" s="13"/>
      <c r="K320" s="15"/>
      <c r="P320" s="13"/>
      <c r="Q320" s="15"/>
    </row>
    <row r="321" spans="5:17" ht="19.5" customHeight="1" x14ac:dyDescent="0.25">
      <c r="E321" s="14"/>
      <c r="J321" s="13"/>
      <c r="K321" s="15"/>
      <c r="P321" s="13"/>
      <c r="Q321" s="15"/>
    </row>
    <row r="322" spans="5:17" ht="19.5" customHeight="1" x14ac:dyDescent="0.25">
      <c r="E322" s="14"/>
      <c r="J322" s="13"/>
      <c r="K322" s="15"/>
      <c r="P322" s="13"/>
      <c r="Q322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8"/>
  <sheetViews>
    <sheetView zoomScale="85" zoomScaleNormal="85" workbookViewId="0">
      <pane ySplit="1" topLeftCell="A405" activePane="bottomLeft" state="frozen"/>
      <selection pane="bottomLeft" activeCell="G404" sqref="G404"/>
    </sheetView>
  </sheetViews>
  <sheetFormatPr defaultRowHeight="25.5" customHeight="1" x14ac:dyDescent="0.25"/>
  <cols>
    <col min="1" max="1" width="13.28515625" style="15" customWidth="1"/>
    <col min="2" max="2" width="15.5703125" style="14" customWidth="1"/>
    <col min="3" max="3" width="19.140625" style="10" customWidth="1"/>
    <col min="4" max="4" width="11.5703125" style="13" customWidth="1"/>
    <col min="5" max="5" width="11" style="14" customWidth="1"/>
    <col min="6" max="6" width="6.5703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6.7109375" style="14" customWidth="1"/>
    <col min="11" max="11" width="22.14062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" customHeight="1" x14ac:dyDescent="0.25">
      <c r="A1" s="11" t="s">
        <v>1267</v>
      </c>
      <c r="B1" s="11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1274</v>
      </c>
      <c r="B2" s="13" t="s">
        <v>532</v>
      </c>
      <c r="C2" s="10" t="s">
        <v>533</v>
      </c>
      <c r="D2" s="13" t="s">
        <v>8</v>
      </c>
      <c r="E2" s="14" t="s">
        <v>534</v>
      </c>
      <c r="F2" s="14" t="s">
        <v>11</v>
      </c>
      <c r="G2" s="13"/>
      <c r="H2" s="14">
        <f t="shared" ref="H2:H11" si="0">SUM(G2,I2)</f>
        <v>4</v>
      </c>
      <c r="I2" s="13">
        <v>4</v>
      </c>
      <c r="J2" s="13">
        <v>2</v>
      </c>
      <c r="K2" s="13" t="s">
        <v>1140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ht="25.5" customHeight="1" x14ac:dyDescent="0.25">
      <c r="A3" s="11" t="s">
        <v>1274</v>
      </c>
      <c r="B3" s="14" t="s">
        <v>76</v>
      </c>
      <c r="C3" s="10" t="s">
        <v>946</v>
      </c>
      <c r="D3" s="13" t="s">
        <v>26</v>
      </c>
      <c r="E3" s="13" t="s">
        <v>178</v>
      </c>
      <c r="F3" s="14" t="s">
        <v>11</v>
      </c>
      <c r="G3" s="13">
        <v>1</v>
      </c>
      <c r="H3" s="14">
        <f t="shared" si="0"/>
        <v>6</v>
      </c>
      <c r="I3" s="14">
        <v>5</v>
      </c>
      <c r="J3" s="14">
        <v>4</v>
      </c>
      <c r="K3" s="13" t="s">
        <v>1120</v>
      </c>
      <c r="L3" s="15" t="s">
        <v>177</v>
      </c>
      <c r="M3" s="15">
        <v>420</v>
      </c>
      <c r="N3" s="15">
        <v>767</v>
      </c>
      <c r="O3" s="15">
        <v>542000</v>
      </c>
      <c r="P3" s="15">
        <v>276700</v>
      </c>
    </row>
    <row r="4" spans="1:19" ht="25.5" customHeight="1" x14ac:dyDescent="0.25">
      <c r="A4" s="11" t="s">
        <v>1274</v>
      </c>
      <c r="B4" s="14" t="s">
        <v>213</v>
      </c>
      <c r="C4" s="10" t="s">
        <v>214</v>
      </c>
      <c r="D4" s="13" t="s">
        <v>215</v>
      </c>
      <c r="E4" s="13" t="s">
        <v>216</v>
      </c>
      <c r="F4" s="14" t="s">
        <v>11</v>
      </c>
      <c r="G4" s="13"/>
      <c r="H4" s="14">
        <f t="shared" si="0"/>
        <v>4</v>
      </c>
      <c r="I4" s="14">
        <v>4</v>
      </c>
      <c r="J4" s="14">
        <v>1</v>
      </c>
      <c r="K4" s="13" t="s">
        <v>414</v>
      </c>
      <c r="L4" s="15" t="s">
        <v>218</v>
      </c>
      <c r="M4" s="15">
        <v>7365</v>
      </c>
      <c r="N4" s="15">
        <v>1960</v>
      </c>
      <c r="O4" s="15">
        <v>473650</v>
      </c>
      <c r="P4" s="15">
        <v>519600</v>
      </c>
    </row>
    <row r="5" spans="1:19" ht="25.5" customHeight="1" x14ac:dyDescent="0.25">
      <c r="A5" s="11" t="s">
        <v>1274</v>
      </c>
      <c r="B5" s="14" t="s">
        <v>42</v>
      </c>
      <c r="C5" s="10" t="s">
        <v>43</v>
      </c>
      <c r="D5" s="13" t="s">
        <v>1278</v>
      </c>
      <c r="E5" s="14" t="s">
        <v>43</v>
      </c>
      <c r="F5" s="14" t="s">
        <v>11</v>
      </c>
      <c r="G5" s="13">
        <v>2</v>
      </c>
      <c r="H5" s="14">
        <f t="shared" si="0"/>
        <v>3</v>
      </c>
      <c r="I5" s="14">
        <v>1</v>
      </c>
      <c r="J5" s="14">
        <v>2</v>
      </c>
      <c r="K5" s="13" t="s">
        <v>1139</v>
      </c>
      <c r="L5" s="15" t="s">
        <v>520</v>
      </c>
      <c r="M5" s="15">
        <v>64087</v>
      </c>
      <c r="N5" s="15">
        <v>76444</v>
      </c>
      <c r="O5" s="15">
        <v>264087</v>
      </c>
      <c r="P5" s="15">
        <v>76444</v>
      </c>
    </row>
    <row r="6" spans="1:19" ht="25.5" customHeight="1" x14ac:dyDescent="0.25">
      <c r="A6" s="11" t="s">
        <v>1274</v>
      </c>
      <c r="B6" s="14" t="s">
        <v>10</v>
      </c>
      <c r="C6" s="10" t="s">
        <v>7</v>
      </c>
      <c r="D6" s="13" t="s">
        <v>8</v>
      </c>
      <c r="E6" s="14" t="s">
        <v>9</v>
      </c>
      <c r="F6" s="14" t="s">
        <v>11</v>
      </c>
      <c r="G6" s="13">
        <v>1</v>
      </c>
      <c r="H6" s="14">
        <f t="shared" si="0"/>
        <v>4</v>
      </c>
      <c r="I6" s="14">
        <v>3</v>
      </c>
      <c r="J6" s="14">
        <v>2</v>
      </c>
      <c r="K6" s="13" t="s">
        <v>1133</v>
      </c>
      <c r="L6" s="15" t="s">
        <v>166</v>
      </c>
      <c r="M6" s="15">
        <v>2913</v>
      </c>
      <c r="N6" s="15">
        <v>2363</v>
      </c>
      <c r="O6" s="15">
        <v>329130</v>
      </c>
      <c r="P6" s="15">
        <v>523630</v>
      </c>
    </row>
    <row r="7" spans="1:19" ht="25.5" customHeight="1" x14ac:dyDescent="0.25">
      <c r="A7" s="11" t="s">
        <v>1274</v>
      </c>
      <c r="B7" s="14" t="s">
        <v>10</v>
      </c>
      <c r="C7" s="10" t="s">
        <v>165</v>
      </c>
      <c r="D7" s="13" t="s">
        <v>825</v>
      </c>
      <c r="E7" s="14" t="s">
        <v>12</v>
      </c>
      <c r="F7" s="14" t="s">
        <v>11</v>
      </c>
      <c r="G7" s="13">
        <v>2</v>
      </c>
      <c r="H7" s="14">
        <f t="shared" si="0"/>
        <v>2</v>
      </c>
      <c r="J7" s="14">
        <v>2</v>
      </c>
      <c r="K7" s="13" t="s">
        <v>1310</v>
      </c>
      <c r="L7" s="15" t="s">
        <v>166</v>
      </c>
      <c r="M7" s="15">
        <v>274</v>
      </c>
      <c r="N7" s="15">
        <v>72</v>
      </c>
      <c r="O7" s="15">
        <v>327400</v>
      </c>
      <c r="P7" s="15">
        <v>507200</v>
      </c>
    </row>
    <row r="8" spans="1:19" ht="25.5" customHeight="1" x14ac:dyDescent="0.25">
      <c r="A8" s="11" t="s">
        <v>1274</v>
      </c>
      <c r="B8" s="14" t="s">
        <v>10</v>
      </c>
      <c r="C8" s="10" t="s">
        <v>1134</v>
      </c>
      <c r="D8" s="13" t="s">
        <v>8</v>
      </c>
      <c r="E8" s="14" t="s">
        <v>9</v>
      </c>
      <c r="F8" s="14" t="s">
        <v>11</v>
      </c>
      <c r="G8" s="13">
        <v>1</v>
      </c>
      <c r="H8" s="14">
        <f t="shared" si="0"/>
        <v>1</v>
      </c>
      <c r="J8" s="14">
        <v>1</v>
      </c>
      <c r="K8" s="13" t="s">
        <v>1135</v>
      </c>
      <c r="L8" s="15" t="s">
        <v>166</v>
      </c>
      <c r="M8" s="15">
        <v>571</v>
      </c>
      <c r="N8" s="15">
        <v>372</v>
      </c>
      <c r="O8" s="15">
        <v>357100</v>
      </c>
      <c r="P8" s="15">
        <v>537200</v>
      </c>
    </row>
    <row r="9" spans="1:19" ht="25.5" customHeight="1" x14ac:dyDescent="0.25">
      <c r="A9" s="11" t="s">
        <v>1274</v>
      </c>
      <c r="B9" s="14" t="s">
        <v>10</v>
      </c>
      <c r="C9" s="10" t="s">
        <v>1136</v>
      </c>
      <c r="D9" s="13" t="s">
        <v>8</v>
      </c>
      <c r="E9" s="14" t="s">
        <v>12</v>
      </c>
      <c r="F9" s="14" t="s">
        <v>11</v>
      </c>
      <c r="G9" s="13">
        <v>1</v>
      </c>
      <c r="H9" s="14">
        <f t="shared" si="0"/>
        <v>1</v>
      </c>
      <c r="J9" s="14">
        <v>1</v>
      </c>
      <c r="K9" s="13" t="s">
        <v>752</v>
      </c>
      <c r="L9" s="15" t="s">
        <v>431</v>
      </c>
      <c r="M9" s="15">
        <v>172</v>
      </c>
      <c r="N9" s="15">
        <v>881</v>
      </c>
      <c r="O9" s="15">
        <v>317200</v>
      </c>
      <c r="P9" s="15">
        <v>488100</v>
      </c>
    </row>
    <row r="10" spans="1:19" ht="25.5" customHeight="1" x14ac:dyDescent="0.25">
      <c r="A10" s="11" t="s">
        <v>1274</v>
      </c>
      <c r="B10" s="14" t="s">
        <v>126</v>
      </c>
      <c r="C10" s="10" t="s">
        <v>527</v>
      </c>
      <c r="D10" s="13" t="s">
        <v>528</v>
      </c>
      <c r="E10" s="14" t="s">
        <v>444</v>
      </c>
      <c r="F10" s="14" t="s">
        <v>11</v>
      </c>
      <c r="G10" s="13"/>
      <c r="H10" s="14">
        <f t="shared" si="0"/>
        <v>2</v>
      </c>
      <c r="I10" s="14">
        <v>2</v>
      </c>
      <c r="J10" s="14">
        <v>2</v>
      </c>
      <c r="K10" s="13" t="s">
        <v>1138</v>
      </c>
      <c r="L10" s="15" t="s">
        <v>445</v>
      </c>
      <c r="M10" s="15">
        <v>1603</v>
      </c>
      <c r="N10" s="15">
        <v>6355</v>
      </c>
      <c r="O10" s="15">
        <v>416030</v>
      </c>
      <c r="P10" s="15">
        <v>363550</v>
      </c>
    </row>
    <row r="11" spans="1:19" ht="25.5" customHeight="1" x14ac:dyDescent="0.25">
      <c r="A11" s="11" t="s">
        <v>1274</v>
      </c>
      <c r="B11" s="14" t="s">
        <v>191</v>
      </c>
      <c r="C11" s="10" t="s">
        <v>1112</v>
      </c>
      <c r="D11" s="13" t="s">
        <v>41</v>
      </c>
      <c r="E11" s="14" t="s">
        <v>1113</v>
      </c>
      <c r="F11" s="14" t="s">
        <v>11</v>
      </c>
      <c r="G11" s="13"/>
      <c r="H11" s="14">
        <f t="shared" si="0"/>
        <v>2</v>
      </c>
      <c r="I11" s="14">
        <v>2</v>
      </c>
      <c r="J11" s="14">
        <v>1</v>
      </c>
      <c r="K11" s="13" t="s">
        <v>335</v>
      </c>
      <c r="L11" s="15" t="s">
        <v>520</v>
      </c>
      <c r="M11" s="15">
        <v>8931</v>
      </c>
      <c r="N11" s="15">
        <v>5732</v>
      </c>
      <c r="O11" s="15">
        <v>289310</v>
      </c>
      <c r="P11" s="15">
        <v>57320</v>
      </c>
    </row>
    <row r="12" spans="1:19" ht="25.5" customHeight="1" x14ac:dyDescent="0.25">
      <c r="A12" s="11" t="s">
        <v>1274</v>
      </c>
      <c r="B12" s="14" t="s">
        <v>68</v>
      </c>
      <c r="C12" s="10" t="s">
        <v>382</v>
      </c>
      <c r="D12" s="13" t="s">
        <v>1278</v>
      </c>
      <c r="E12" s="14" t="s">
        <v>314</v>
      </c>
      <c r="F12" s="14" t="s">
        <v>11</v>
      </c>
      <c r="G12" s="13">
        <v>1</v>
      </c>
      <c r="H12" s="14">
        <f t="shared" ref="H12:H24" si="1">SUM(G12,I12)</f>
        <v>1</v>
      </c>
      <c r="J12" s="14">
        <v>1</v>
      </c>
      <c r="K12" s="13" t="s">
        <v>948</v>
      </c>
      <c r="L12" s="15" t="s">
        <v>119</v>
      </c>
      <c r="M12" s="15">
        <v>96585</v>
      </c>
      <c r="N12" s="15">
        <v>18584</v>
      </c>
      <c r="O12" s="15">
        <v>396585</v>
      </c>
      <c r="P12" s="15">
        <v>118584</v>
      </c>
    </row>
    <row r="13" spans="1:19" ht="25.5" customHeight="1" x14ac:dyDescent="0.25">
      <c r="A13" s="11" t="s">
        <v>1274</v>
      </c>
      <c r="B13" s="14" t="s">
        <v>68</v>
      </c>
      <c r="C13" s="10" t="s">
        <v>381</v>
      </c>
      <c r="D13" s="13" t="s">
        <v>20</v>
      </c>
      <c r="E13" s="14" t="s">
        <v>314</v>
      </c>
      <c r="F13" s="14" t="s">
        <v>11</v>
      </c>
      <c r="G13" s="13"/>
      <c r="H13" s="14">
        <f t="shared" si="1"/>
        <v>2</v>
      </c>
      <c r="I13" s="14">
        <v>2</v>
      </c>
      <c r="J13" s="14">
        <v>1</v>
      </c>
      <c r="K13" s="13" t="s">
        <v>488</v>
      </c>
      <c r="L13" s="15" t="s">
        <v>110</v>
      </c>
      <c r="M13" s="15">
        <v>17</v>
      </c>
      <c r="N13" s="15">
        <v>160</v>
      </c>
      <c r="O13" s="15">
        <v>401700</v>
      </c>
      <c r="P13" s="15">
        <v>116000</v>
      </c>
    </row>
    <row r="14" spans="1:19" ht="25.5" customHeight="1" x14ac:dyDescent="0.25">
      <c r="A14" s="11" t="s">
        <v>1274</v>
      </c>
      <c r="B14" s="14" t="s">
        <v>68</v>
      </c>
      <c r="C14" s="10" t="s">
        <v>197</v>
      </c>
      <c r="D14" s="13" t="s">
        <v>92</v>
      </c>
      <c r="E14" s="14" t="s">
        <v>198</v>
      </c>
      <c r="F14" s="14" t="s">
        <v>11</v>
      </c>
      <c r="G14" s="13"/>
      <c r="H14" s="14">
        <f t="shared" si="1"/>
        <v>1</v>
      </c>
      <c r="I14" s="14">
        <v>1</v>
      </c>
      <c r="J14" s="14">
        <v>1</v>
      </c>
      <c r="K14" s="13" t="s">
        <v>502</v>
      </c>
      <c r="L14" s="15" t="s">
        <v>145</v>
      </c>
      <c r="M14" s="15">
        <v>6693</v>
      </c>
      <c r="N14" s="15">
        <v>8848</v>
      </c>
      <c r="O14" s="15">
        <v>366930</v>
      </c>
      <c r="P14" s="15">
        <v>88480</v>
      </c>
    </row>
    <row r="15" spans="1:19" ht="25.5" customHeight="1" x14ac:dyDescent="0.25">
      <c r="A15" s="11" t="s">
        <v>1274</v>
      </c>
      <c r="B15" s="14" t="s">
        <v>68</v>
      </c>
      <c r="C15" s="10" t="s">
        <v>402</v>
      </c>
      <c r="D15" s="13" t="s">
        <v>18</v>
      </c>
      <c r="E15" s="14" t="s">
        <v>21</v>
      </c>
      <c r="F15" s="14" t="s">
        <v>11</v>
      </c>
      <c r="G15" s="13">
        <v>1</v>
      </c>
      <c r="H15" s="14">
        <f t="shared" si="1"/>
        <v>1</v>
      </c>
      <c r="J15" s="14">
        <v>1</v>
      </c>
      <c r="K15" s="13" t="s">
        <v>763</v>
      </c>
      <c r="L15" s="15" t="s">
        <v>145</v>
      </c>
      <c r="M15" s="15">
        <v>70986</v>
      </c>
      <c r="N15" s="15">
        <v>89924</v>
      </c>
      <c r="O15" s="15">
        <v>370986</v>
      </c>
      <c r="P15" s="15">
        <v>89924</v>
      </c>
    </row>
    <row r="16" spans="1:19" ht="25.5" customHeight="1" x14ac:dyDescent="0.25">
      <c r="A16" s="11" t="s">
        <v>1274</v>
      </c>
      <c r="B16" s="14" t="s">
        <v>68</v>
      </c>
      <c r="C16" s="10" t="s">
        <v>1317</v>
      </c>
      <c r="D16" s="13" t="s">
        <v>26</v>
      </c>
      <c r="E16" s="14" t="s">
        <v>381</v>
      </c>
      <c r="F16" s="14" t="s">
        <v>11</v>
      </c>
      <c r="G16" s="13">
        <v>1</v>
      </c>
      <c r="H16" s="14">
        <f t="shared" si="1"/>
        <v>2</v>
      </c>
      <c r="I16" s="14">
        <v>1</v>
      </c>
      <c r="J16" s="14">
        <v>2</v>
      </c>
      <c r="K16" s="13" t="s">
        <v>1319</v>
      </c>
      <c r="L16" s="15" t="s">
        <v>119</v>
      </c>
      <c r="M16" s="15">
        <v>971</v>
      </c>
      <c r="N16" s="15">
        <v>122</v>
      </c>
      <c r="O16" s="15">
        <v>397100</v>
      </c>
      <c r="P16" s="15">
        <v>112200</v>
      </c>
    </row>
    <row r="17" spans="1:16" ht="25.5" customHeight="1" x14ac:dyDescent="0.25">
      <c r="A17" s="11" t="s">
        <v>1274</v>
      </c>
      <c r="B17" s="14" t="s">
        <v>64</v>
      </c>
      <c r="C17" s="10" t="s">
        <v>721</v>
      </c>
      <c r="D17" s="13" t="s">
        <v>26</v>
      </c>
      <c r="E17" s="14" t="s">
        <v>548</v>
      </c>
      <c r="F17" s="14" t="s">
        <v>11</v>
      </c>
      <c r="G17" s="13"/>
      <c r="H17" s="14">
        <f t="shared" si="1"/>
        <v>6</v>
      </c>
      <c r="I17" s="14">
        <v>6</v>
      </c>
      <c r="J17" s="14">
        <v>3</v>
      </c>
      <c r="K17" s="13" t="s">
        <v>1116</v>
      </c>
      <c r="L17" s="15" t="s">
        <v>111</v>
      </c>
      <c r="M17" s="15">
        <v>2090</v>
      </c>
      <c r="N17" s="15">
        <v>25431</v>
      </c>
      <c r="O17" s="15">
        <v>402090</v>
      </c>
      <c r="P17" s="15">
        <v>225431</v>
      </c>
    </row>
    <row r="18" spans="1:16" ht="25.5" customHeight="1" x14ac:dyDescent="0.25">
      <c r="A18" s="11" t="s">
        <v>1274</v>
      </c>
      <c r="B18" s="14" t="s">
        <v>64</v>
      </c>
      <c r="C18" s="10" t="s">
        <v>222</v>
      </c>
      <c r="D18" s="13" t="s">
        <v>26</v>
      </c>
      <c r="E18" s="14" t="s">
        <v>69</v>
      </c>
      <c r="F18" s="14" t="s">
        <v>11</v>
      </c>
      <c r="G18" s="13"/>
      <c r="H18" s="14">
        <f t="shared" si="1"/>
        <v>2</v>
      </c>
      <c r="I18" s="14">
        <v>2</v>
      </c>
      <c r="J18" s="14">
        <v>1</v>
      </c>
      <c r="K18" s="13" t="s">
        <v>396</v>
      </c>
      <c r="L18" s="15" t="s">
        <v>111</v>
      </c>
      <c r="M18" s="15">
        <v>9576</v>
      </c>
      <c r="N18" s="15">
        <v>21203</v>
      </c>
      <c r="O18" s="15">
        <v>409576</v>
      </c>
      <c r="P18" s="15">
        <v>221203</v>
      </c>
    </row>
    <row r="19" spans="1:16" ht="25.5" customHeight="1" x14ac:dyDescent="0.25">
      <c r="A19" s="11" t="s">
        <v>1274</v>
      </c>
      <c r="B19" s="14" t="s">
        <v>64</v>
      </c>
      <c r="C19" s="10" t="s">
        <v>337</v>
      </c>
      <c r="D19" s="13" t="s">
        <v>26</v>
      </c>
      <c r="E19" s="14" t="s">
        <v>69</v>
      </c>
      <c r="F19" s="14" t="s">
        <v>11</v>
      </c>
      <c r="G19" s="13">
        <v>1</v>
      </c>
      <c r="H19" s="14">
        <f t="shared" si="1"/>
        <v>1</v>
      </c>
      <c r="J19" s="14">
        <v>1</v>
      </c>
      <c r="K19" s="13" t="s">
        <v>358</v>
      </c>
      <c r="L19" s="15" t="s">
        <v>113</v>
      </c>
      <c r="M19" s="15">
        <v>79383</v>
      </c>
      <c r="N19" s="15">
        <v>1321</v>
      </c>
      <c r="O19" s="15">
        <v>379383</v>
      </c>
      <c r="P19" s="15">
        <v>201321</v>
      </c>
    </row>
    <row r="20" spans="1:16" ht="25.5" customHeight="1" x14ac:dyDescent="0.25">
      <c r="A20" s="11" t="s">
        <v>1274</v>
      </c>
      <c r="B20" s="14" t="s">
        <v>64</v>
      </c>
      <c r="C20" s="10" t="s">
        <v>1117</v>
      </c>
      <c r="D20" s="13" t="s">
        <v>26</v>
      </c>
      <c r="E20" s="14" t="s">
        <v>69</v>
      </c>
      <c r="F20" s="14" t="s">
        <v>11</v>
      </c>
      <c r="G20" s="13">
        <v>1</v>
      </c>
      <c r="H20" s="14">
        <f t="shared" si="1"/>
        <v>6</v>
      </c>
      <c r="I20" s="14">
        <v>5</v>
      </c>
      <c r="J20" s="14">
        <v>3</v>
      </c>
      <c r="K20" s="13" t="s">
        <v>1119</v>
      </c>
      <c r="L20" s="15" t="s">
        <v>111</v>
      </c>
      <c r="M20" s="15">
        <v>72</v>
      </c>
      <c r="N20" s="15">
        <v>188</v>
      </c>
      <c r="O20" s="15">
        <v>407200</v>
      </c>
      <c r="P20" s="15">
        <v>218800</v>
      </c>
    </row>
    <row r="21" spans="1:16" ht="25.5" customHeight="1" x14ac:dyDescent="0.25">
      <c r="A21" s="11" t="s">
        <v>1274</v>
      </c>
      <c r="B21" s="14" t="s">
        <v>483</v>
      </c>
      <c r="C21" s="10" t="s">
        <v>484</v>
      </c>
      <c r="D21" s="13" t="s">
        <v>41</v>
      </c>
      <c r="E21" s="14" t="s">
        <v>485</v>
      </c>
      <c r="F21" s="14" t="s">
        <v>11</v>
      </c>
      <c r="G21" s="13">
        <v>1</v>
      </c>
      <c r="H21" s="14">
        <f t="shared" si="1"/>
        <v>1</v>
      </c>
      <c r="J21" s="14">
        <v>1</v>
      </c>
      <c r="K21" s="13" t="s">
        <v>1322</v>
      </c>
      <c r="L21" s="15" t="s">
        <v>189</v>
      </c>
      <c r="M21" s="15">
        <v>405</v>
      </c>
      <c r="N21" s="15">
        <v>875</v>
      </c>
      <c r="O21" s="15">
        <v>340500</v>
      </c>
      <c r="P21" s="15">
        <v>387500</v>
      </c>
    </row>
    <row r="22" spans="1:16" ht="25.5" customHeight="1" x14ac:dyDescent="0.25">
      <c r="A22" s="11" t="s">
        <v>1274</v>
      </c>
      <c r="B22" s="14" t="s">
        <v>78</v>
      </c>
      <c r="C22" s="10" t="s">
        <v>392</v>
      </c>
      <c r="D22" s="13" t="s">
        <v>18</v>
      </c>
      <c r="E22" s="14" t="s">
        <v>141</v>
      </c>
      <c r="F22" s="14" t="s">
        <v>11</v>
      </c>
      <c r="G22" s="13"/>
      <c r="H22" s="14">
        <f t="shared" si="1"/>
        <v>1</v>
      </c>
      <c r="I22" s="14">
        <v>1</v>
      </c>
      <c r="J22" s="14">
        <v>1</v>
      </c>
      <c r="K22" s="13" t="s">
        <v>763</v>
      </c>
      <c r="L22" s="15" t="s">
        <v>393</v>
      </c>
      <c r="M22" s="15">
        <v>2398</v>
      </c>
      <c r="N22" s="15">
        <v>601</v>
      </c>
      <c r="O22" s="15">
        <v>623980</v>
      </c>
      <c r="P22" s="15">
        <v>306010</v>
      </c>
    </row>
    <row r="23" spans="1:16" ht="25.5" customHeight="1" x14ac:dyDescent="0.25">
      <c r="A23" s="11" t="s">
        <v>1274</v>
      </c>
      <c r="B23" s="14" t="s">
        <v>62</v>
      </c>
      <c r="C23" s="10" t="s">
        <v>1122</v>
      </c>
      <c r="D23" s="13" t="s">
        <v>540</v>
      </c>
      <c r="E23" s="13" t="s">
        <v>102</v>
      </c>
      <c r="F23" s="14" t="s">
        <v>11</v>
      </c>
      <c r="G23" s="13"/>
      <c r="H23" s="14">
        <f t="shared" si="1"/>
        <v>2</v>
      </c>
      <c r="I23" s="14">
        <v>2</v>
      </c>
      <c r="J23" s="14">
        <v>1</v>
      </c>
      <c r="K23" s="13" t="s">
        <v>476</v>
      </c>
      <c r="L23" s="15" t="s">
        <v>110</v>
      </c>
      <c r="M23" s="15">
        <v>5167</v>
      </c>
      <c r="N23" s="15">
        <v>9830</v>
      </c>
      <c r="O23" s="15">
        <v>451670</v>
      </c>
      <c r="P23" s="15">
        <v>198300</v>
      </c>
    </row>
    <row r="24" spans="1:16" ht="25.5" customHeight="1" x14ac:dyDescent="0.25">
      <c r="A24" s="11" t="s">
        <v>1274</v>
      </c>
      <c r="B24" s="14" t="s">
        <v>62</v>
      </c>
      <c r="C24" s="10" t="s">
        <v>600</v>
      </c>
      <c r="D24" s="13" t="s">
        <v>865</v>
      </c>
      <c r="E24" s="13" t="s">
        <v>386</v>
      </c>
      <c r="F24" s="14" t="s">
        <v>11</v>
      </c>
      <c r="G24" s="13">
        <v>1</v>
      </c>
      <c r="H24" s="14">
        <f t="shared" si="1"/>
        <v>3</v>
      </c>
      <c r="I24" s="14">
        <v>2</v>
      </c>
      <c r="J24" s="14">
        <v>2</v>
      </c>
      <c r="K24" s="13" t="s">
        <v>816</v>
      </c>
      <c r="L24" s="15" t="s">
        <v>110</v>
      </c>
      <c r="M24" s="15">
        <v>5738</v>
      </c>
      <c r="N24" s="15">
        <v>9546</v>
      </c>
      <c r="O24" s="15">
        <v>457380</v>
      </c>
      <c r="P24" s="15">
        <v>195460</v>
      </c>
    </row>
    <row r="25" spans="1:16" ht="25.5" customHeight="1" x14ac:dyDescent="0.25">
      <c r="A25" s="11" t="s">
        <v>1274</v>
      </c>
      <c r="B25" s="14" t="s">
        <v>62</v>
      </c>
      <c r="C25" s="10" t="s">
        <v>233</v>
      </c>
      <c r="D25" s="13" t="s">
        <v>26</v>
      </c>
      <c r="E25" s="13" t="s">
        <v>102</v>
      </c>
      <c r="F25" s="14" t="s">
        <v>11</v>
      </c>
      <c r="G25" s="13">
        <v>3</v>
      </c>
      <c r="H25" s="14">
        <f>SUM(G25,I25)</f>
        <v>5</v>
      </c>
      <c r="I25" s="14">
        <v>2</v>
      </c>
      <c r="J25" s="14">
        <v>5</v>
      </c>
      <c r="K25" s="13" t="s">
        <v>1316</v>
      </c>
      <c r="L25" s="15" t="s">
        <v>110</v>
      </c>
      <c r="M25" s="15">
        <v>28090</v>
      </c>
      <c r="N25" s="15">
        <v>85396</v>
      </c>
      <c r="O25" s="15">
        <v>428090</v>
      </c>
      <c r="P25" s="15">
        <v>185396</v>
      </c>
    </row>
    <row r="26" spans="1:16" ht="25.5" customHeight="1" x14ac:dyDescent="0.25">
      <c r="A26" s="11" t="s">
        <v>1274</v>
      </c>
      <c r="B26" s="14" t="s">
        <v>24</v>
      </c>
      <c r="C26" s="10" t="s">
        <v>1194</v>
      </c>
      <c r="D26" s="13" t="s">
        <v>90</v>
      </c>
      <c r="E26" s="14" t="s">
        <v>1196</v>
      </c>
      <c r="F26" s="14" t="s">
        <v>11</v>
      </c>
      <c r="G26" s="13"/>
      <c r="H26" s="14">
        <f t="shared" ref="H26:H56" si="2">SUM(G26,I26)</f>
        <v>3</v>
      </c>
      <c r="I26" s="14">
        <v>3</v>
      </c>
      <c r="J26" s="14">
        <v>2</v>
      </c>
      <c r="K26" s="13" t="s">
        <v>1200</v>
      </c>
      <c r="L26" s="15" t="s">
        <v>110</v>
      </c>
      <c r="M26" s="15">
        <v>175</v>
      </c>
      <c r="N26" s="15">
        <v>423</v>
      </c>
      <c r="O26" s="15">
        <v>417500</v>
      </c>
      <c r="P26" s="15">
        <v>142300</v>
      </c>
    </row>
    <row r="27" spans="1:16" ht="25.5" customHeight="1" x14ac:dyDescent="0.25">
      <c r="A27" s="11" t="s">
        <v>1274</v>
      </c>
      <c r="B27" s="14" t="s">
        <v>24</v>
      </c>
      <c r="C27" s="10" t="s">
        <v>23</v>
      </c>
      <c r="D27" s="13" t="s">
        <v>124</v>
      </c>
      <c r="E27" s="14" t="s">
        <v>21</v>
      </c>
      <c r="F27" s="14" t="s">
        <v>11</v>
      </c>
      <c r="G27" s="13">
        <v>34</v>
      </c>
      <c r="H27" s="14">
        <f t="shared" si="2"/>
        <v>60</v>
      </c>
      <c r="I27" s="14">
        <v>26</v>
      </c>
      <c r="J27" s="14">
        <v>21</v>
      </c>
      <c r="K27" s="13" t="s">
        <v>1301</v>
      </c>
      <c r="L27" s="15" t="s">
        <v>110</v>
      </c>
      <c r="M27" s="15">
        <v>1026</v>
      </c>
      <c r="N27" s="15">
        <v>6996</v>
      </c>
      <c r="O27" s="15">
        <v>410260</v>
      </c>
      <c r="P27" s="15">
        <v>169960</v>
      </c>
    </row>
    <row r="28" spans="1:16" ht="25.5" customHeight="1" x14ac:dyDescent="0.25">
      <c r="A28" s="11" t="s">
        <v>1274</v>
      </c>
      <c r="B28" s="14" t="s">
        <v>24</v>
      </c>
      <c r="C28" s="10" t="s">
        <v>23</v>
      </c>
      <c r="D28" s="13" t="s">
        <v>1151</v>
      </c>
      <c r="E28" s="14" t="s">
        <v>21</v>
      </c>
      <c r="F28" s="14" t="s">
        <v>11</v>
      </c>
      <c r="G28" s="13"/>
      <c r="H28" s="14">
        <f t="shared" si="2"/>
        <v>3</v>
      </c>
      <c r="I28" s="14">
        <v>3</v>
      </c>
      <c r="J28" s="14">
        <v>3</v>
      </c>
      <c r="K28" s="13" t="s">
        <v>1162</v>
      </c>
      <c r="L28" s="15" t="s">
        <v>110</v>
      </c>
      <c r="M28" s="15">
        <v>102</v>
      </c>
      <c r="N28" s="15">
        <v>699</v>
      </c>
      <c r="O28" s="15">
        <v>410200</v>
      </c>
      <c r="P28" s="15">
        <v>169900</v>
      </c>
    </row>
    <row r="29" spans="1:16" ht="25.5" customHeight="1" x14ac:dyDescent="0.25">
      <c r="A29" s="11" t="s">
        <v>1274</v>
      </c>
      <c r="B29" s="14" t="s">
        <v>24</v>
      </c>
      <c r="C29" s="10" t="s">
        <v>1152</v>
      </c>
      <c r="D29" s="13" t="s">
        <v>1153</v>
      </c>
      <c r="E29" s="14" t="s">
        <v>21</v>
      </c>
      <c r="F29" s="14" t="s">
        <v>11</v>
      </c>
      <c r="G29" s="13"/>
      <c r="H29" s="14">
        <f t="shared" si="2"/>
        <v>2</v>
      </c>
      <c r="I29" s="14">
        <v>2</v>
      </c>
      <c r="J29" s="14">
        <v>2</v>
      </c>
      <c r="K29" s="13" t="s">
        <v>1163</v>
      </c>
      <c r="L29" s="15" t="s">
        <v>110</v>
      </c>
      <c r="M29" s="15">
        <v>102</v>
      </c>
      <c r="N29" s="15">
        <v>699</v>
      </c>
      <c r="O29" s="15">
        <v>410200</v>
      </c>
      <c r="P29" s="15">
        <v>169900</v>
      </c>
    </row>
    <row r="30" spans="1:16" ht="25.5" customHeight="1" x14ac:dyDescent="0.25">
      <c r="A30" s="11" t="s">
        <v>1274</v>
      </c>
      <c r="B30" s="14" t="s">
        <v>24</v>
      </c>
      <c r="C30" s="10" t="s">
        <v>1164</v>
      </c>
      <c r="D30" s="13" t="s">
        <v>121</v>
      </c>
      <c r="E30" s="14" t="s">
        <v>21</v>
      </c>
      <c r="F30" s="14" t="s">
        <v>11</v>
      </c>
      <c r="G30" s="13"/>
      <c r="H30" s="14">
        <f t="shared" si="2"/>
        <v>2</v>
      </c>
      <c r="I30" s="14">
        <v>2</v>
      </c>
      <c r="J30" s="14">
        <v>1</v>
      </c>
      <c r="K30" s="13" t="s">
        <v>849</v>
      </c>
      <c r="L30" s="15" t="s">
        <v>110</v>
      </c>
      <c r="M30" s="15">
        <v>89</v>
      </c>
      <c r="N30" s="15">
        <v>693</v>
      </c>
      <c r="O30" s="15">
        <v>408900</v>
      </c>
      <c r="P30" s="15">
        <v>169300</v>
      </c>
    </row>
    <row r="31" spans="1:16" ht="25.5" customHeight="1" x14ac:dyDescent="0.25">
      <c r="A31" s="11" t="s">
        <v>1274</v>
      </c>
      <c r="B31" s="14" t="s">
        <v>24</v>
      </c>
      <c r="C31" s="10" t="s">
        <v>146</v>
      </c>
      <c r="D31" s="13" t="s">
        <v>26</v>
      </c>
      <c r="E31" s="14" t="s">
        <v>21</v>
      </c>
      <c r="F31" s="14" t="s">
        <v>11</v>
      </c>
      <c r="G31" s="13">
        <v>3</v>
      </c>
      <c r="H31" s="14">
        <f t="shared" si="2"/>
        <v>8</v>
      </c>
      <c r="I31" s="14">
        <v>5</v>
      </c>
      <c r="J31" s="14">
        <v>3</v>
      </c>
      <c r="K31" s="13" t="s">
        <v>1148</v>
      </c>
      <c r="L31" s="15" t="s">
        <v>110</v>
      </c>
      <c r="M31" s="15">
        <v>66</v>
      </c>
      <c r="N31" s="15">
        <v>677</v>
      </c>
      <c r="O31" s="15">
        <v>406600</v>
      </c>
      <c r="P31" s="15">
        <v>167700</v>
      </c>
    </row>
    <row r="32" spans="1:16" ht="25.5" customHeight="1" x14ac:dyDescent="0.25">
      <c r="A32" s="11" t="s">
        <v>1274</v>
      </c>
      <c r="B32" s="14" t="s">
        <v>24</v>
      </c>
      <c r="C32" s="10" t="s">
        <v>1197</v>
      </c>
      <c r="D32" s="13" t="s">
        <v>1198</v>
      </c>
      <c r="E32" s="14" t="s">
        <v>1196</v>
      </c>
      <c r="F32" s="14" t="s">
        <v>11</v>
      </c>
      <c r="G32" s="13"/>
      <c r="H32" s="14">
        <f t="shared" si="2"/>
        <v>1</v>
      </c>
      <c r="I32" s="14">
        <v>1</v>
      </c>
      <c r="J32" s="14">
        <v>1</v>
      </c>
      <c r="K32" s="13" t="s">
        <v>1195</v>
      </c>
      <c r="L32" s="15" t="s">
        <v>110</v>
      </c>
      <c r="M32" s="15">
        <v>175</v>
      </c>
      <c r="N32" s="15">
        <v>423</v>
      </c>
      <c r="O32" s="15">
        <v>417500</v>
      </c>
      <c r="P32" s="15">
        <v>142300</v>
      </c>
    </row>
    <row r="33" spans="1:16" ht="25.5" customHeight="1" x14ac:dyDescent="0.25">
      <c r="A33" s="11" t="s">
        <v>1274</v>
      </c>
      <c r="B33" s="14" t="s">
        <v>24</v>
      </c>
      <c r="C33" s="10" t="s">
        <v>1171</v>
      </c>
      <c r="D33" s="13" t="s">
        <v>18</v>
      </c>
      <c r="E33" s="14" t="s">
        <v>21</v>
      </c>
      <c r="F33" s="14" t="s">
        <v>11</v>
      </c>
      <c r="G33" s="13">
        <v>1</v>
      </c>
      <c r="H33" s="14">
        <f>SUM(G33,I33)</f>
        <v>2</v>
      </c>
      <c r="I33" s="14">
        <v>1</v>
      </c>
      <c r="J33" s="14">
        <v>2</v>
      </c>
      <c r="K33" s="13" t="s">
        <v>1192</v>
      </c>
      <c r="L33" s="15" t="s">
        <v>110</v>
      </c>
      <c r="M33" s="15">
        <v>134</v>
      </c>
      <c r="N33" s="15">
        <v>416</v>
      </c>
      <c r="O33" s="15">
        <v>413400</v>
      </c>
      <c r="P33" s="15">
        <v>141600</v>
      </c>
    </row>
    <row r="34" spans="1:16" ht="25.5" customHeight="1" x14ac:dyDescent="0.25">
      <c r="A34" s="11" t="s">
        <v>1274</v>
      </c>
      <c r="B34" s="14" t="s">
        <v>24</v>
      </c>
      <c r="C34" s="10" t="s">
        <v>15</v>
      </c>
      <c r="D34" s="13" t="s">
        <v>18</v>
      </c>
      <c r="E34" s="14" t="s">
        <v>21</v>
      </c>
      <c r="F34" s="14" t="s">
        <v>11</v>
      </c>
      <c r="G34" s="13">
        <v>7</v>
      </c>
      <c r="H34" s="14">
        <f t="shared" si="2"/>
        <v>10</v>
      </c>
      <c r="I34" s="14">
        <v>3</v>
      </c>
      <c r="J34" s="14">
        <v>6</v>
      </c>
      <c r="K34" s="13" t="s">
        <v>1191</v>
      </c>
      <c r="L34" s="15" t="s">
        <v>110</v>
      </c>
      <c r="M34" s="15">
        <v>1501</v>
      </c>
      <c r="N34" s="15">
        <v>4375</v>
      </c>
      <c r="O34" s="15">
        <v>415010</v>
      </c>
      <c r="P34" s="15">
        <v>143750</v>
      </c>
    </row>
    <row r="35" spans="1:16" ht="25.5" customHeight="1" x14ac:dyDescent="0.25">
      <c r="A35" s="11" t="s">
        <v>1274</v>
      </c>
      <c r="B35" s="14" t="s">
        <v>24</v>
      </c>
      <c r="C35" s="10" t="s">
        <v>997</v>
      </c>
      <c r="D35" s="13" t="s">
        <v>26</v>
      </c>
      <c r="E35" s="14" t="s">
        <v>21</v>
      </c>
      <c r="F35" s="14" t="s">
        <v>11</v>
      </c>
      <c r="G35" s="13">
        <v>1</v>
      </c>
      <c r="H35" s="14">
        <f t="shared" si="2"/>
        <v>5</v>
      </c>
      <c r="I35" s="14">
        <v>4</v>
      </c>
      <c r="J35" s="14">
        <v>3</v>
      </c>
      <c r="K35" s="13" t="s">
        <v>1121</v>
      </c>
      <c r="L35" s="15" t="s">
        <v>110</v>
      </c>
      <c r="M35" s="15">
        <v>1918</v>
      </c>
      <c r="N35" s="15">
        <v>3247</v>
      </c>
      <c r="O35" s="15">
        <v>419180</v>
      </c>
      <c r="P35" s="15">
        <v>132470</v>
      </c>
    </row>
    <row r="36" spans="1:16" ht="25.5" customHeight="1" x14ac:dyDescent="0.25">
      <c r="A36" s="11" t="s">
        <v>1274</v>
      </c>
      <c r="B36" s="14" t="s">
        <v>24</v>
      </c>
      <c r="C36" s="10" t="s">
        <v>89</v>
      </c>
      <c r="D36" s="13" t="s">
        <v>90</v>
      </c>
      <c r="E36" s="14" t="s">
        <v>21</v>
      </c>
      <c r="F36" s="14" t="s">
        <v>11</v>
      </c>
      <c r="G36" s="13"/>
      <c r="H36" s="14">
        <f t="shared" si="2"/>
        <v>1</v>
      </c>
      <c r="I36" s="14">
        <v>1</v>
      </c>
      <c r="J36" s="14">
        <v>1</v>
      </c>
      <c r="K36" s="13" t="s">
        <v>949</v>
      </c>
      <c r="L36" s="15" t="s">
        <v>110</v>
      </c>
      <c r="M36" s="15">
        <v>685</v>
      </c>
      <c r="N36" s="15">
        <v>6733</v>
      </c>
      <c r="O36" s="15">
        <v>406850</v>
      </c>
      <c r="P36" s="15">
        <v>167330</v>
      </c>
    </row>
    <row r="37" spans="1:16" ht="25.5" customHeight="1" x14ac:dyDescent="0.25">
      <c r="A37" s="11" t="s">
        <v>1274</v>
      </c>
      <c r="B37" s="14" t="s">
        <v>24</v>
      </c>
      <c r="C37" s="10" t="s">
        <v>268</v>
      </c>
      <c r="D37" s="13" t="s">
        <v>26</v>
      </c>
      <c r="E37" s="14" t="s">
        <v>21</v>
      </c>
      <c r="F37" s="14" t="s">
        <v>11</v>
      </c>
      <c r="G37" s="13">
        <v>1</v>
      </c>
      <c r="H37" s="14">
        <f t="shared" si="2"/>
        <v>3</v>
      </c>
      <c r="I37" s="14">
        <v>2</v>
      </c>
      <c r="J37" s="14">
        <v>2</v>
      </c>
      <c r="K37" s="13" t="s">
        <v>1147</v>
      </c>
      <c r="L37" s="15" t="s">
        <v>110</v>
      </c>
      <c r="M37" s="15">
        <v>86</v>
      </c>
      <c r="N37" s="15">
        <v>705</v>
      </c>
      <c r="O37" s="15">
        <v>408600</v>
      </c>
      <c r="P37" s="15">
        <v>170500</v>
      </c>
    </row>
    <row r="38" spans="1:16" ht="25.5" customHeight="1" x14ac:dyDescent="0.25">
      <c r="A38" s="11" t="s">
        <v>1274</v>
      </c>
      <c r="B38" s="14" t="s">
        <v>24</v>
      </c>
      <c r="C38" s="10" t="s">
        <v>987</v>
      </c>
      <c r="D38" s="13" t="s">
        <v>540</v>
      </c>
      <c r="E38" s="14" t="s">
        <v>21</v>
      </c>
      <c r="F38" s="14" t="s">
        <v>11</v>
      </c>
      <c r="G38" s="13"/>
      <c r="H38" s="14">
        <f t="shared" si="2"/>
        <v>1</v>
      </c>
      <c r="I38" s="14">
        <v>1</v>
      </c>
      <c r="J38" s="14">
        <v>1</v>
      </c>
      <c r="K38" s="13" t="s">
        <v>44</v>
      </c>
      <c r="L38" s="15" t="s">
        <v>110</v>
      </c>
      <c r="M38" s="15">
        <v>137</v>
      </c>
      <c r="N38" s="15">
        <v>423</v>
      </c>
      <c r="O38" s="15">
        <v>413700</v>
      </c>
      <c r="P38" s="15">
        <v>142300</v>
      </c>
    </row>
    <row r="39" spans="1:16" ht="25.5" customHeight="1" x14ac:dyDescent="0.25">
      <c r="A39" s="11" t="s">
        <v>1274</v>
      </c>
      <c r="B39" s="14" t="s">
        <v>24</v>
      </c>
      <c r="C39" s="10" t="s">
        <v>1166</v>
      </c>
      <c r="D39" s="13" t="s">
        <v>1167</v>
      </c>
      <c r="E39" s="14" t="s">
        <v>21</v>
      </c>
      <c r="F39" s="14" t="s">
        <v>1125</v>
      </c>
      <c r="G39" s="13">
        <v>1</v>
      </c>
      <c r="H39" s="14">
        <f t="shared" si="2"/>
        <v>1</v>
      </c>
      <c r="J39" s="14">
        <v>1</v>
      </c>
      <c r="K39" s="13" t="s">
        <v>849</v>
      </c>
      <c r="L39" s="15" t="s">
        <v>110</v>
      </c>
      <c r="M39" s="15">
        <v>892</v>
      </c>
      <c r="N39" s="15">
        <v>6938</v>
      </c>
      <c r="O39" s="15">
        <v>408920</v>
      </c>
      <c r="P39" s="15">
        <v>169380</v>
      </c>
    </row>
    <row r="40" spans="1:16" ht="25.5" customHeight="1" x14ac:dyDescent="0.25">
      <c r="A40" s="11" t="s">
        <v>1274</v>
      </c>
      <c r="B40" s="14" t="s">
        <v>24</v>
      </c>
      <c r="C40" s="10" t="s">
        <v>988</v>
      </c>
      <c r="D40" s="13" t="s">
        <v>540</v>
      </c>
      <c r="E40" s="14" t="s">
        <v>21</v>
      </c>
      <c r="F40" s="14" t="s">
        <v>11</v>
      </c>
      <c r="G40" s="13"/>
      <c r="H40" s="14">
        <f t="shared" si="2"/>
        <v>1</v>
      </c>
      <c r="I40" s="14">
        <v>1</v>
      </c>
      <c r="J40" s="14">
        <v>1</v>
      </c>
      <c r="K40" s="13" t="s">
        <v>44</v>
      </c>
      <c r="L40" s="15" t="s">
        <v>110</v>
      </c>
      <c r="M40" s="15">
        <v>116</v>
      </c>
      <c r="N40" s="15">
        <v>413</v>
      </c>
      <c r="O40" s="15">
        <v>411600</v>
      </c>
      <c r="P40" s="15">
        <v>141300</v>
      </c>
    </row>
    <row r="41" spans="1:16" ht="25.5" customHeight="1" x14ac:dyDescent="0.25">
      <c r="A41" s="11" t="s">
        <v>1274</v>
      </c>
      <c r="B41" s="14" t="s">
        <v>24</v>
      </c>
      <c r="C41" s="10" t="s">
        <v>1155</v>
      </c>
      <c r="D41" s="13" t="s">
        <v>1278</v>
      </c>
      <c r="E41" s="14" t="s">
        <v>21</v>
      </c>
      <c r="F41" s="14" t="s">
        <v>11</v>
      </c>
      <c r="G41" s="13">
        <v>2</v>
      </c>
      <c r="H41" s="14">
        <f t="shared" si="2"/>
        <v>2</v>
      </c>
      <c r="J41" s="14">
        <v>2</v>
      </c>
      <c r="K41" s="13" t="s">
        <v>1161</v>
      </c>
      <c r="L41" s="15" t="s">
        <v>110</v>
      </c>
      <c r="M41" s="15">
        <v>125</v>
      </c>
      <c r="N41" s="15">
        <v>708</v>
      </c>
      <c r="O41" s="15">
        <v>412500</v>
      </c>
      <c r="P41" s="15">
        <v>170800</v>
      </c>
    </row>
    <row r="42" spans="1:16" ht="25.5" customHeight="1" x14ac:dyDescent="0.25">
      <c r="A42" s="11" t="s">
        <v>1274</v>
      </c>
      <c r="B42" s="14" t="s">
        <v>24</v>
      </c>
      <c r="C42" s="10" t="s">
        <v>16</v>
      </c>
      <c r="D42" s="13" t="s">
        <v>19</v>
      </c>
      <c r="E42" s="14" t="s">
        <v>21</v>
      </c>
      <c r="F42" s="14" t="s">
        <v>11</v>
      </c>
      <c r="G42" s="13">
        <v>1</v>
      </c>
      <c r="H42" s="14">
        <f>SUM(G42,I42)</f>
        <v>1</v>
      </c>
      <c r="J42" s="14">
        <v>1</v>
      </c>
      <c r="K42" s="13" t="s">
        <v>1187</v>
      </c>
      <c r="L42" s="15" t="s">
        <v>110</v>
      </c>
      <c r="M42" s="15">
        <v>1022</v>
      </c>
      <c r="N42" s="15">
        <v>4594</v>
      </c>
      <c r="O42" s="15">
        <v>410220</v>
      </c>
      <c r="P42" s="15">
        <v>145940</v>
      </c>
    </row>
    <row r="43" spans="1:16" ht="25.5" customHeight="1" x14ac:dyDescent="0.25">
      <c r="A43" s="11" t="s">
        <v>1274</v>
      </c>
      <c r="B43" s="14" t="s">
        <v>24</v>
      </c>
      <c r="C43" s="10" t="s">
        <v>122</v>
      </c>
      <c r="D43" s="13" t="s">
        <v>123</v>
      </c>
      <c r="E43" s="14" t="s">
        <v>21</v>
      </c>
      <c r="F43" s="14" t="s">
        <v>11</v>
      </c>
      <c r="G43" s="13">
        <v>2</v>
      </c>
      <c r="H43" s="14">
        <f t="shared" si="2"/>
        <v>8</v>
      </c>
      <c r="I43" s="14">
        <v>6</v>
      </c>
      <c r="J43" s="14">
        <v>3</v>
      </c>
      <c r="K43" s="13" t="s">
        <v>1165</v>
      </c>
      <c r="L43" s="15" t="s">
        <v>110</v>
      </c>
      <c r="M43" s="15">
        <v>1184</v>
      </c>
      <c r="N43" s="15">
        <v>6802</v>
      </c>
      <c r="O43" s="15">
        <v>411840</v>
      </c>
      <c r="P43" s="15">
        <v>168020</v>
      </c>
    </row>
    <row r="44" spans="1:16" ht="25.5" customHeight="1" x14ac:dyDescent="0.25">
      <c r="A44" s="11" t="s">
        <v>1274</v>
      </c>
      <c r="B44" s="14" t="s">
        <v>24</v>
      </c>
      <c r="C44" s="10" t="s">
        <v>27</v>
      </c>
      <c r="D44" s="13" t="s">
        <v>125</v>
      </c>
      <c r="E44" s="14" t="s">
        <v>21</v>
      </c>
      <c r="F44" s="14" t="s">
        <v>11</v>
      </c>
      <c r="G44" s="13">
        <v>4</v>
      </c>
      <c r="H44" s="14">
        <f t="shared" ref="H44:H53" si="3">SUM(G44,I44)</f>
        <v>14</v>
      </c>
      <c r="I44" s="14">
        <v>10</v>
      </c>
      <c r="J44" s="14">
        <v>6</v>
      </c>
      <c r="K44" s="13" t="s">
        <v>1169</v>
      </c>
      <c r="L44" s="15" t="s">
        <v>110</v>
      </c>
      <c r="M44" s="15">
        <v>1001</v>
      </c>
      <c r="N44" s="15">
        <v>6853</v>
      </c>
      <c r="O44" s="15">
        <v>410010</v>
      </c>
      <c r="P44" s="15">
        <v>168530</v>
      </c>
    </row>
    <row r="45" spans="1:16" ht="25.5" customHeight="1" x14ac:dyDescent="0.25">
      <c r="A45" s="11" t="s">
        <v>1274</v>
      </c>
      <c r="B45" s="14" t="s">
        <v>24</v>
      </c>
      <c r="C45" s="10" t="s">
        <v>60</v>
      </c>
      <c r="D45" s="13" t="s">
        <v>26</v>
      </c>
      <c r="E45" s="14" t="s">
        <v>21</v>
      </c>
      <c r="F45" s="14" t="s">
        <v>11</v>
      </c>
      <c r="G45" s="13">
        <v>4</v>
      </c>
      <c r="H45" s="14">
        <f t="shared" si="3"/>
        <v>12</v>
      </c>
      <c r="I45" s="14">
        <v>8</v>
      </c>
      <c r="J45" s="14">
        <v>5</v>
      </c>
      <c r="K45" s="13" t="s">
        <v>1168</v>
      </c>
      <c r="L45" s="15" t="s">
        <v>110</v>
      </c>
      <c r="M45" s="15">
        <v>900</v>
      </c>
      <c r="N45" s="15">
        <v>6927</v>
      </c>
      <c r="O45" s="15">
        <v>409000</v>
      </c>
      <c r="P45" s="15">
        <v>169270</v>
      </c>
    </row>
    <row r="46" spans="1:16" ht="25.5" customHeight="1" x14ac:dyDescent="0.25">
      <c r="A46" s="11" t="s">
        <v>1274</v>
      </c>
      <c r="B46" s="14" t="s">
        <v>24</v>
      </c>
      <c r="C46" s="10" t="s">
        <v>13</v>
      </c>
      <c r="D46" s="13" t="s">
        <v>511</v>
      </c>
      <c r="E46" s="14" t="s">
        <v>21</v>
      </c>
      <c r="F46" s="14" t="s">
        <v>11</v>
      </c>
      <c r="G46" s="13">
        <v>39</v>
      </c>
      <c r="H46" s="14">
        <f t="shared" si="3"/>
        <v>84</v>
      </c>
      <c r="I46" s="14">
        <v>45</v>
      </c>
      <c r="J46" s="14">
        <v>27</v>
      </c>
      <c r="K46" s="13" t="s">
        <v>1302</v>
      </c>
      <c r="L46" s="15" t="s">
        <v>110</v>
      </c>
      <c r="M46" s="15">
        <v>1224</v>
      </c>
      <c r="N46" s="15">
        <v>4128</v>
      </c>
      <c r="O46" s="15">
        <v>412240</v>
      </c>
      <c r="P46" s="15">
        <v>141280</v>
      </c>
    </row>
    <row r="47" spans="1:16" ht="25.5" customHeight="1" x14ac:dyDescent="0.25">
      <c r="A47" s="11" t="s">
        <v>1274</v>
      </c>
      <c r="B47" s="14" t="s">
        <v>24</v>
      </c>
      <c r="C47" s="10" t="s">
        <v>1185</v>
      </c>
      <c r="D47" s="13" t="s">
        <v>1153</v>
      </c>
      <c r="E47" s="14" t="s">
        <v>21</v>
      </c>
      <c r="F47" s="14" t="s">
        <v>11</v>
      </c>
      <c r="G47" s="13"/>
      <c r="H47" s="14">
        <f t="shared" si="3"/>
        <v>1</v>
      </c>
      <c r="I47" s="14">
        <v>1</v>
      </c>
      <c r="J47" s="14">
        <v>1</v>
      </c>
      <c r="K47" s="13" t="s">
        <v>877</v>
      </c>
      <c r="L47" s="15" t="s">
        <v>110</v>
      </c>
      <c r="M47" s="15">
        <v>1224</v>
      </c>
      <c r="N47" s="15">
        <v>4128</v>
      </c>
      <c r="O47" s="15">
        <v>412240</v>
      </c>
      <c r="P47" s="15">
        <v>141280</v>
      </c>
    </row>
    <row r="48" spans="1:16" ht="25.5" customHeight="1" x14ac:dyDescent="0.25">
      <c r="A48" s="11" t="s">
        <v>1274</v>
      </c>
      <c r="B48" s="14" t="s">
        <v>24</v>
      </c>
      <c r="C48" s="10" t="s">
        <v>1172</v>
      </c>
      <c r="D48" s="13" t="s">
        <v>1173</v>
      </c>
      <c r="E48" s="14" t="s">
        <v>21</v>
      </c>
      <c r="F48" s="14" t="s">
        <v>11</v>
      </c>
      <c r="G48" s="13"/>
      <c r="H48" s="14">
        <f t="shared" si="3"/>
        <v>2</v>
      </c>
      <c r="I48" s="14">
        <v>2</v>
      </c>
      <c r="J48" s="14">
        <v>2</v>
      </c>
      <c r="K48" s="13" t="s">
        <v>1174</v>
      </c>
      <c r="L48" s="15" t="s">
        <v>110</v>
      </c>
      <c r="M48" s="15">
        <v>1224</v>
      </c>
      <c r="N48" s="15">
        <v>4128</v>
      </c>
      <c r="O48" s="15">
        <v>412240</v>
      </c>
      <c r="P48" s="15">
        <v>141280</v>
      </c>
    </row>
    <row r="49" spans="1:16" ht="25.5" customHeight="1" x14ac:dyDescent="0.25">
      <c r="A49" s="11" t="s">
        <v>1274</v>
      </c>
      <c r="B49" s="14" t="s">
        <v>24</v>
      </c>
      <c r="C49" s="10" t="s">
        <v>1177</v>
      </c>
      <c r="D49" s="13" t="s">
        <v>1179</v>
      </c>
      <c r="E49" s="14" t="s">
        <v>21</v>
      </c>
      <c r="F49" s="14" t="s">
        <v>11</v>
      </c>
      <c r="G49" s="13"/>
      <c r="H49" s="14">
        <f t="shared" si="3"/>
        <v>3</v>
      </c>
      <c r="I49" s="14">
        <v>3</v>
      </c>
      <c r="J49" s="14">
        <v>2</v>
      </c>
      <c r="K49" s="13" t="s">
        <v>1184</v>
      </c>
      <c r="L49" s="15" t="s">
        <v>110</v>
      </c>
      <c r="M49" s="15">
        <v>1224</v>
      </c>
      <c r="N49" s="15">
        <v>4128</v>
      </c>
      <c r="O49" s="15">
        <v>412240</v>
      </c>
      <c r="P49" s="15">
        <v>141280</v>
      </c>
    </row>
    <row r="50" spans="1:16" ht="25.5" customHeight="1" x14ac:dyDescent="0.25">
      <c r="A50" s="11" t="s">
        <v>1274</v>
      </c>
      <c r="B50" s="14" t="s">
        <v>24</v>
      </c>
      <c r="C50" s="10" t="s">
        <v>1178</v>
      </c>
      <c r="D50" s="13" t="s">
        <v>1179</v>
      </c>
      <c r="E50" s="14" t="s">
        <v>21</v>
      </c>
      <c r="F50" s="14" t="s">
        <v>11</v>
      </c>
      <c r="G50" s="13"/>
      <c r="H50" s="14">
        <f t="shared" si="3"/>
        <v>1</v>
      </c>
      <c r="I50" s="14">
        <v>1</v>
      </c>
      <c r="J50" s="14">
        <v>1</v>
      </c>
      <c r="K50" s="13" t="s">
        <v>1180</v>
      </c>
      <c r="L50" s="15" t="s">
        <v>110</v>
      </c>
      <c r="M50" s="15">
        <v>1224</v>
      </c>
      <c r="N50" s="15">
        <v>4128</v>
      </c>
      <c r="O50" s="15">
        <v>412240</v>
      </c>
      <c r="P50" s="15">
        <v>141280</v>
      </c>
    </row>
    <row r="51" spans="1:16" ht="25.5" customHeight="1" x14ac:dyDescent="0.25">
      <c r="A51" s="11" t="s">
        <v>1274</v>
      </c>
      <c r="B51" s="14" t="s">
        <v>24</v>
      </c>
      <c r="C51" s="10" t="s">
        <v>1183</v>
      </c>
      <c r="D51" s="13" t="s">
        <v>1173</v>
      </c>
      <c r="E51" s="14" t="s">
        <v>21</v>
      </c>
      <c r="F51" s="14" t="s">
        <v>11</v>
      </c>
      <c r="G51" s="13"/>
      <c r="H51" s="14">
        <f t="shared" si="3"/>
        <v>1</v>
      </c>
      <c r="I51" s="14">
        <v>1</v>
      </c>
      <c r="J51" s="14">
        <v>1</v>
      </c>
      <c r="K51" s="13" t="s">
        <v>1180</v>
      </c>
      <c r="L51" s="15" t="s">
        <v>110</v>
      </c>
      <c r="M51" s="15">
        <v>1224</v>
      </c>
      <c r="N51" s="15">
        <v>4128</v>
      </c>
      <c r="O51" s="15">
        <v>412240</v>
      </c>
      <c r="P51" s="15">
        <v>141280</v>
      </c>
    </row>
    <row r="52" spans="1:16" ht="25.5" customHeight="1" x14ac:dyDescent="0.25">
      <c r="A52" s="11" t="s">
        <v>1274</v>
      </c>
      <c r="B52" s="14" t="s">
        <v>24</v>
      </c>
      <c r="C52" s="10" t="s">
        <v>1188</v>
      </c>
      <c r="D52" s="13" t="s">
        <v>1189</v>
      </c>
      <c r="E52" s="14" t="s">
        <v>21</v>
      </c>
      <c r="F52" s="14" t="s">
        <v>11</v>
      </c>
      <c r="G52" s="13">
        <v>1</v>
      </c>
      <c r="H52" s="14">
        <f t="shared" si="3"/>
        <v>1</v>
      </c>
      <c r="J52" s="14">
        <v>1</v>
      </c>
      <c r="K52" s="13" t="s">
        <v>1187</v>
      </c>
      <c r="L52" s="15" t="s">
        <v>110</v>
      </c>
      <c r="M52" s="15">
        <v>122</v>
      </c>
      <c r="N52" s="15">
        <v>412</v>
      </c>
      <c r="O52" s="15">
        <v>412200</v>
      </c>
      <c r="P52" s="15">
        <v>141200</v>
      </c>
    </row>
    <row r="53" spans="1:16" ht="25.5" customHeight="1" x14ac:dyDescent="0.25">
      <c r="A53" s="11" t="s">
        <v>1274</v>
      </c>
      <c r="B53" s="14" t="s">
        <v>24</v>
      </c>
      <c r="C53" s="10" t="s">
        <v>1190</v>
      </c>
      <c r="D53" s="13" t="s">
        <v>1189</v>
      </c>
      <c r="E53" s="14" t="s">
        <v>21</v>
      </c>
      <c r="F53" s="14" t="s">
        <v>11</v>
      </c>
      <c r="G53" s="13">
        <v>1</v>
      </c>
      <c r="H53" s="14">
        <f t="shared" si="3"/>
        <v>1</v>
      </c>
      <c r="J53" s="14">
        <v>1</v>
      </c>
      <c r="K53" s="13" t="s">
        <v>1187</v>
      </c>
      <c r="L53" s="15" t="s">
        <v>110</v>
      </c>
      <c r="M53" s="15">
        <v>122</v>
      </c>
      <c r="N53" s="15">
        <v>412</v>
      </c>
      <c r="O53" s="15">
        <v>412200</v>
      </c>
      <c r="P53" s="15">
        <v>141200</v>
      </c>
    </row>
    <row r="54" spans="1:16" ht="25.5" customHeight="1" x14ac:dyDescent="0.25">
      <c r="A54" s="11" t="s">
        <v>1274</v>
      </c>
      <c r="B54" s="14" t="s">
        <v>24</v>
      </c>
      <c r="C54" s="10" t="s">
        <v>25</v>
      </c>
      <c r="D54" s="13" t="s">
        <v>26</v>
      </c>
      <c r="E54" s="14" t="s">
        <v>21</v>
      </c>
      <c r="F54" s="14" t="s">
        <v>11</v>
      </c>
      <c r="G54" s="13">
        <v>2</v>
      </c>
      <c r="H54" s="14">
        <f t="shared" si="2"/>
        <v>12</v>
      </c>
      <c r="I54" s="14">
        <v>10</v>
      </c>
      <c r="J54" s="14">
        <v>6</v>
      </c>
      <c r="K54" s="13" t="s">
        <v>1149</v>
      </c>
      <c r="L54" s="15" t="s">
        <v>110</v>
      </c>
      <c r="M54" s="15">
        <v>1046</v>
      </c>
      <c r="N54" s="15">
        <v>6774</v>
      </c>
      <c r="O54" s="15">
        <v>410460</v>
      </c>
      <c r="P54" s="15">
        <v>167740</v>
      </c>
    </row>
    <row r="55" spans="1:16" ht="25.5" customHeight="1" x14ac:dyDescent="0.25">
      <c r="A55" s="11" t="s">
        <v>1274</v>
      </c>
      <c r="B55" s="14" t="s">
        <v>24</v>
      </c>
      <c r="C55" s="10" t="s">
        <v>1154</v>
      </c>
      <c r="D55" s="13" t="s">
        <v>121</v>
      </c>
      <c r="E55" s="14" t="s">
        <v>21</v>
      </c>
      <c r="F55" s="14" t="s">
        <v>11</v>
      </c>
      <c r="G55" s="13">
        <v>1</v>
      </c>
      <c r="H55" s="14">
        <f>SUM(G55,I55)</f>
        <v>4</v>
      </c>
      <c r="I55" s="14">
        <v>3</v>
      </c>
      <c r="J55" s="14">
        <v>3</v>
      </c>
      <c r="K55" s="13" t="s">
        <v>1165</v>
      </c>
      <c r="L55" s="15" t="s">
        <v>110</v>
      </c>
      <c r="M55" s="15">
        <v>1196</v>
      </c>
      <c r="N55" s="15">
        <v>6835</v>
      </c>
      <c r="O55" s="15">
        <v>411960</v>
      </c>
      <c r="P55" s="15">
        <v>168350</v>
      </c>
    </row>
    <row r="56" spans="1:16" ht="25.5" customHeight="1" x14ac:dyDescent="0.25">
      <c r="A56" s="11" t="s">
        <v>1274</v>
      </c>
      <c r="B56" s="14" t="s">
        <v>24</v>
      </c>
      <c r="C56" s="10" t="s">
        <v>28</v>
      </c>
      <c r="D56" s="13" t="s">
        <v>19</v>
      </c>
      <c r="E56" s="14" t="s">
        <v>21</v>
      </c>
      <c r="F56" s="14" t="s">
        <v>11</v>
      </c>
      <c r="G56" s="13">
        <v>2</v>
      </c>
      <c r="H56" s="14">
        <f t="shared" si="2"/>
        <v>9</v>
      </c>
      <c r="I56" s="14">
        <v>7</v>
      </c>
      <c r="J56" s="14">
        <v>5</v>
      </c>
      <c r="K56" s="13" t="s">
        <v>1170</v>
      </c>
      <c r="L56" s="15" t="s">
        <v>110</v>
      </c>
      <c r="M56" s="15">
        <v>86</v>
      </c>
      <c r="N56" s="15">
        <v>714</v>
      </c>
      <c r="O56" s="15">
        <v>408600</v>
      </c>
      <c r="P56" s="15">
        <v>171400</v>
      </c>
    </row>
    <row r="57" spans="1:16" ht="25.5" customHeight="1" x14ac:dyDescent="0.25">
      <c r="A57" s="11" t="s">
        <v>1274</v>
      </c>
      <c r="B57" s="14" t="s">
        <v>24</v>
      </c>
      <c r="C57" s="10" t="s">
        <v>14</v>
      </c>
      <c r="D57" s="13" t="s">
        <v>17</v>
      </c>
      <c r="E57" s="14" t="s">
        <v>21</v>
      </c>
      <c r="F57" s="14" t="s">
        <v>11</v>
      </c>
      <c r="G57" s="13">
        <v>3</v>
      </c>
      <c r="H57" s="14">
        <f>SUM(G57,I57)</f>
        <v>7</v>
      </c>
      <c r="I57" s="14">
        <v>4</v>
      </c>
      <c r="J57" s="14">
        <v>5</v>
      </c>
      <c r="K57" s="13" t="s">
        <v>1193</v>
      </c>
      <c r="L57" s="15" t="s">
        <v>110</v>
      </c>
      <c r="M57" s="15">
        <v>1506</v>
      </c>
      <c r="N57" s="15">
        <v>4337</v>
      </c>
      <c r="O57" s="15">
        <v>415060</v>
      </c>
      <c r="P57" s="15">
        <v>143370</v>
      </c>
    </row>
    <row r="58" spans="1:16" ht="25.5" customHeight="1" x14ac:dyDescent="0.25">
      <c r="A58" s="11" t="s">
        <v>1274</v>
      </c>
      <c r="B58" s="14" t="s">
        <v>139</v>
      </c>
      <c r="C58" s="10" t="s">
        <v>1124</v>
      </c>
      <c r="D58" s="13" t="s">
        <v>540</v>
      </c>
      <c r="E58" s="14" t="s">
        <v>272</v>
      </c>
      <c r="F58" s="14" t="s">
        <v>1125</v>
      </c>
      <c r="G58" s="13"/>
      <c r="H58" s="14">
        <f>SUM(G58,I58)</f>
        <v>1</v>
      </c>
      <c r="I58" s="14">
        <v>1</v>
      </c>
      <c r="J58" s="14">
        <v>1</v>
      </c>
      <c r="K58" s="13" t="s">
        <v>476</v>
      </c>
      <c r="L58" s="15" t="s">
        <v>271</v>
      </c>
      <c r="M58" s="15">
        <v>8282</v>
      </c>
      <c r="N58" s="15">
        <v>5620</v>
      </c>
      <c r="O58" s="15">
        <v>482820</v>
      </c>
      <c r="P58" s="15">
        <v>456200</v>
      </c>
    </row>
    <row r="59" spans="1:16" ht="25.5" customHeight="1" x14ac:dyDescent="0.25">
      <c r="A59" s="11" t="s">
        <v>1274</v>
      </c>
      <c r="B59" s="14" t="s">
        <v>139</v>
      </c>
      <c r="C59" s="10" t="s">
        <v>454</v>
      </c>
      <c r="D59" s="13" t="s">
        <v>20</v>
      </c>
      <c r="E59" s="14" t="s">
        <v>455</v>
      </c>
      <c r="F59" s="14" t="s">
        <v>11</v>
      </c>
      <c r="G59" s="13">
        <v>1</v>
      </c>
      <c r="H59" s="14">
        <f>SUM(G59,I59)</f>
        <v>2</v>
      </c>
      <c r="I59" s="14">
        <v>1</v>
      </c>
      <c r="J59" s="14">
        <v>1</v>
      </c>
      <c r="K59" s="13" t="s">
        <v>1145</v>
      </c>
      <c r="L59" s="15" t="s">
        <v>137</v>
      </c>
      <c r="M59" s="15">
        <v>99</v>
      </c>
      <c r="N59" s="15">
        <v>657</v>
      </c>
      <c r="O59" s="15">
        <v>509900</v>
      </c>
      <c r="P59" s="15">
        <v>465700</v>
      </c>
    </row>
    <row r="60" spans="1:16" ht="25.5" customHeight="1" x14ac:dyDescent="0.25">
      <c r="A60" s="11" t="s">
        <v>1274</v>
      </c>
      <c r="B60" s="14" t="s">
        <v>269</v>
      </c>
      <c r="C60" s="10" t="s">
        <v>439</v>
      </c>
      <c r="D60" s="13" t="s">
        <v>440</v>
      </c>
      <c r="E60" s="14" t="s">
        <v>437</v>
      </c>
      <c r="F60" s="14" t="s">
        <v>11</v>
      </c>
      <c r="G60" s="13">
        <v>1</v>
      </c>
      <c r="H60" s="14">
        <f>SUM(G60,I60)</f>
        <v>8</v>
      </c>
      <c r="I60" s="14">
        <v>7</v>
      </c>
      <c r="J60" s="14">
        <v>5</v>
      </c>
      <c r="K60" s="13" t="s">
        <v>1130</v>
      </c>
      <c r="L60" s="15" t="s">
        <v>271</v>
      </c>
      <c r="M60" s="15">
        <v>8804</v>
      </c>
      <c r="N60" s="15">
        <v>6688</v>
      </c>
      <c r="O60" s="15">
        <v>488040</v>
      </c>
      <c r="P60" s="15">
        <v>466880</v>
      </c>
    </row>
    <row r="61" spans="1:16" ht="25.5" customHeight="1" x14ac:dyDescent="0.25">
      <c r="A61" s="11" t="s">
        <v>1274</v>
      </c>
      <c r="B61" s="14" t="s">
        <v>269</v>
      </c>
      <c r="C61" s="10" t="s">
        <v>1127</v>
      </c>
      <c r="D61" s="13" t="s">
        <v>18</v>
      </c>
      <c r="E61" s="14" t="s">
        <v>405</v>
      </c>
      <c r="F61" s="14" t="s">
        <v>11</v>
      </c>
      <c r="G61" s="13">
        <v>4</v>
      </c>
      <c r="H61" s="14">
        <f t="shared" ref="H61:H86" si="4">SUM(G61,I61)</f>
        <v>14</v>
      </c>
      <c r="I61" s="14">
        <v>10</v>
      </c>
      <c r="J61" s="14">
        <v>8</v>
      </c>
      <c r="K61" s="13" t="s">
        <v>1150</v>
      </c>
      <c r="L61" s="15" t="s">
        <v>271</v>
      </c>
      <c r="M61" s="15">
        <v>2854</v>
      </c>
      <c r="N61" s="15">
        <v>7946</v>
      </c>
      <c r="O61" s="15">
        <v>428540</v>
      </c>
      <c r="P61" s="15">
        <v>479460</v>
      </c>
    </row>
    <row r="62" spans="1:16" ht="25.5" customHeight="1" x14ac:dyDescent="0.25">
      <c r="A62" s="11" t="s">
        <v>1274</v>
      </c>
      <c r="B62" s="14" t="s">
        <v>231</v>
      </c>
      <c r="C62" s="10" t="s">
        <v>129</v>
      </c>
      <c r="D62" s="13" t="s">
        <v>1009</v>
      </c>
      <c r="E62" s="14" t="s">
        <v>232</v>
      </c>
      <c r="F62" s="14" t="s">
        <v>35</v>
      </c>
      <c r="G62" s="13">
        <v>1</v>
      </c>
      <c r="H62" s="14">
        <f t="shared" si="4"/>
        <v>5</v>
      </c>
      <c r="I62" s="14">
        <v>4</v>
      </c>
      <c r="J62" s="14">
        <v>2</v>
      </c>
      <c r="K62" s="13" t="s">
        <v>959</v>
      </c>
      <c r="L62" s="15" t="s">
        <v>130</v>
      </c>
      <c r="M62" s="15">
        <v>7335</v>
      </c>
      <c r="N62" s="15">
        <v>9590</v>
      </c>
      <c r="O62" s="15">
        <v>373350</v>
      </c>
      <c r="P62" s="15">
        <v>795900</v>
      </c>
    </row>
    <row r="63" spans="1:16" ht="25.5" customHeight="1" x14ac:dyDescent="0.25">
      <c r="A63" s="11" t="s">
        <v>1274</v>
      </c>
      <c r="B63" s="14" t="s">
        <v>231</v>
      </c>
      <c r="C63" s="10" t="s">
        <v>1011</v>
      </c>
      <c r="D63" s="13" t="s">
        <v>1009</v>
      </c>
      <c r="E63" s="14" t="s">
        <v>86</v>
      </c>
      <c r="F63" s="14" t="s">
        <v>35</v>
      </c>
      <c r="G63" s="13">
        <v>1</v>
      </c>
      <c r="H63" s="14">
        <f t="shared" si="4"/>
        <v>1</v>
      </c>
      <c r="J63" s="14">
        <v>1</v>
      </c>
      <c r="K63" s="13" t="s">
        <v>958</v>
      </c>
      <c r="L63" s="15" t="s">
        <v>130</v>
      </c>
      <c r="M63" s="15">
        <v>7393</v>
      </c>
      <c r="N63" s="15">
        <v>9670</v>
      </c>
      <c r="O63" s="15">
        <v>373930</v>
      </c>
      <c r="P63" s="15">
        <v>796700</v>
      </c>
    </row>
    <row r="64" spans="1:16" ht="25.5" customHeight="1" x14ac:dyDescent="0.25">
      <c r="A64" s="11" t="s">
        <v>1274</v>
      </c>
      <c r="B64" s="14" t="s">
        <v>231</v>
      </c>
      <c r="C64" s="10" t="s">
        <v>230</v>
      </c>
      <c r="D64" s="13" t="s">
        <v>39</v>
      </c>
      <c r="E64" s="14" t="s">
        <v>232</v>
      </c>
      <c r="F64" s="14" t="s">
        <v>35</v>
      </c>
      <c r="G64" s="13"/>
      <c r="H64" s="14">
        <f t="shared" si="4"/>
        <v>3</v>
      </c>
      <c r="I64" s="14">
        <v>3</v>
      </c>
      <c r="J64" s="14">
        <v>2</v>
      </c>
      <c r="K64" s="13" t="s">
        <v>960</v>
      </c>
      <c r="L64" s="15" t="s">
        <v>130</v>
      </c>
      <c r="M64" s="15">
        <v>6276</v>
      </c>
      <c r="N64" s="15">
        <v>6737</v>
      </c>
      <c r="O64" s="15">
        <v>362760</v>
      </c>
      <c r="P64" s="15">
        <v>767370</v>
      </c>
    </row>
    <row r="65" spans="1:16" ht="25.5" customHeight="1" x14ac:dyDescent="0.25">
      <c r="A65" s="11" t="s">
        <v>1274</v>
      </c>
      <c r="B65" s="14" t="s">
        <v>231</v>
      </c>
      <c r="C65" s="10" t="s">
        <v>461</v>
      </c>
      <c r="D65" s="13" t="s">
        <v>8</v>
      </c>
      <c r="E65" s="14" t="s">
        <v>86</v>
      </c>
      <c r="F65" s="14" t="s">
        <v>35</v>
      </c>
      <c r="G65" s="13"/>
      <c r="H65" s="14">
        <f t="shared" si="4"/>
        <v>1</v>
      </c>
      <c r="I65" s="14">
        <v>1</v>
      </c>
      <c r="J65" s="14">
        <v>1</v>
      </c>
      <c r="K65" s="13" t="s">
        <v>1092</v>
      </c>
      <c r="L65" s="15" t="s">
        <v>115</v>
      </c>
      <c r="M65" s="15">
        <v>7477</v>
      </c>
      <c r="N65" s="15">
        <v>2885</v>
      </c>
      <c r="O65" s="15">
        <v>374770</v>
      </c>
      <c r="P65" s="15">
        <v>828850</v>
      </c>
    </row>
    <row r="66" spans="1:16" ht="25.5" customHeight="1" x14ac:dyDescent="0.25">
      <c r="A66" s="11" t="s">
        <v>1274</v>
      </c>
      <c r="B66" s="14" t="s">
        <v>231</v>
      </c>
      <c r="C66" s="10" t="s">
        <v>1089</v>
      </c>
      <c r="D66" s="13" t="s">
        <v>1090</v>
      </c>
      <c r="E66" s="14" t="s">
        <v>86</v>
      </c>
      <c r="F66" s="14" t="s">
        <v>35</v>
      </c>
      <c r="G66" s="13"/>
      <c r="H66" s="14">
        <f t="shared" si="4"/>
        <v>2</v>
      </c>
      <c r="I66" s="14">
        <v>2</v>
      </c>
      <c r="J66" s="14">
        <v>1</v>
      </c>
      <c r="K66" s="13" t="s">
        <v>204</v>
      </c>
      <c r="L66" s="15" t="s">
        <v>115</v>
      </c>
      <c r="M66" s="15">
        <v>4865</v>
      </c>
      <c r="N66" s="15">
        <v>349</v>
      </c>
      <c r="O66" s="15">
        <v>348650</v>
      </c>
      <c r="P66" s="15">
        <v>803490</v>
      </c>
    </row>
    <row r="67" spans="1:16" ht="25.5" customHeight="1" x14ac:dyDescent="0.25">
      <c r="A67" s="11" t="s">
        <v>1274</v>
      </c>
      <c r="B67" s="14" t="s">
        <v>995</v>
      </c>
      <c r="C67" s="10" t="s">
        <v>996</v>
      </c>
      <c r="D67" s="13" t="s">
        <v>20</v>
      </c>
      <c r="E67" s="14" t="s">
        <v>167</v>
      </c>
      <c r="F67" s="14" t="s">
        <v>35</v>
      </c>
      <c r="G67" s="13"/>
      <c r="H67" s="14">
        <f t="shared" si="4"/>
        <v>2</v>
      </c>
      <c r="I67" s="14">
        <v>2</v>
      </c>
      <c r="J67" s="14">
        <v>1</v>
      </c>
      <c r="K67" s="13" t="s">
        <v>294</v>
      </c>
      <c r="L67" s="15" t="s">
        <v>130</v>
      </c>
      <c r="M67" s="15">
        <v>59100</v>
      </c>
      <c r="N67" s="15">
        <v>50020</v>
      </c>
      <c r="O67" s="15">
        <v>359100</v>
      </c>
      <c r="P67" s="15">
        <v>750020</v>
      </c>
    </row>
    <row r="68" spans="1:16" ht="25.5" customHeight="1" x14ac:dyDescent="0.25">
      <c r="A68" s="11" t="s">
        <v>1274</v>
      </c>
      <c r="B68" s="14" t="s">
        <v>953</v>
      </c>
      <c r="C68" s="10" t="s">
        <v>1019</v>
      </c>
      <c r="D68" s="13" t="s">
        <v>41</v>
      </c>
      <c r="E68" s="14" t="s">
        <v>1017</v>
      </c>
      <c r="F68" s="14" t="s">
        <v>35</v>
      </c>
      <c r="G68" s="13">
        <v>3</v>
      </c>
      <c r="H68" s="14">
        <f t="shared" si="4"/>
        <v>5</v>
      </c>
      <c r="I68" s="14">
        <v>2</v>
      </c>
      <c r="J68" s="14">
        <v>2</v>
      </c>
      <c r="K68" s="13" t="s">
        <v>1024</v>
      </c>
      <c r="L68" s="15" t="s">
        <v>1275</v>
      </c>
      <c r="M68" s="15">
        <v>9296</v>
      </c>
      <c r="N68" s="15">
        <v>3639</v>
      </c>
      <c r="O68" s="15">
        <v>192960</v>
      </c>
      <c r="P68" s="15">
        <v>736390</v>
      </c>
    </row>
    <row r="69" spans="1:16" ht="25.5" customHeight="1" x14ac:dyDescent="0.25">
      <c r="A69" s="11" t="s">
        <v>1274</v>
      </c>
      <c r="B69" s="14" t="s">
        <v>953</v>
      </c>
      <c r="C69" s="10" t="s">
        <v>954</v>
      </c>
      <c r="D69" s="13" t="s">
        <v>955</v>
      </c>
      <c r="E69" s="14" t="s">
        <v>957</v>
      </c>
      <c r="F69" s="14" t="s">
        <v>35</v>
      </c>
      <c r="G69" s="13"/>
      <c r="H69" s="14">
        <f t="shared" si="4"/>
        <v>1</v>
      </c>
      <c r="I69" s="14">
        <v>1</v>
      </c>
      <c r="J69" s="14">
        <v>1</v>
      </c>
      <c r="K69" s="13" t="s">
        <v>291</v>
      </c>
      <c r="L69" s="15" t="s">
        <v>956</v>
      </c>
      <c r="M69" s="15">
        <v>730</v>
      </c>
      <c r="N69" s="15">
        <v>525</v>
      </c>
      <c r="O69" s="15">
        <v>173000</v>
      </c>
      <c r="P69" s="15">
        <v>652500</v>
      </c>
    </row>
    <row r="70" spans="1:16" ht="25.5" customHeight="1" x14ac:dyDescent="0.25">
      <c r="A70" s="11" t="s">
        <v>1274</v>
      </c>
      <c r="B70" s="14" t="s">
        <v>953</v>
      </c>
      <c r="C70" s="10" t="s">
        <v>1021</v>
      </c>
      <c r="D70" s="13" t="s">
        <v>41</v>
      </c>
      <c r="E70" s="14" t="s">
        <v>1017</v>
      </c>
      <c r="F70" s="14" t="s">
        <v>35</v>
      </c>
      <c r="G70" s="13">
        <v>1</v>
      </c>
      <c r="H70" s="14">
        <f t="shared" si="4"/>
        <v>2</v>
      </c>
      <c r="I70" s="14">
        <v>1</v>
      </c>
      <c r="J70" s="14">
        <v>1</v>
      </c>
      <c r="K70" s="13" t="s">
        <v>1022</v>
      </c>
      <c r="L70" s="15" t="s">
        <v>956</v>
      </c>
      <c r="M70" s="15">
        <v>6926</v>
      </c>
      <c r="N70" s="15">
        <v>4334</v>
      </c>
      <c r="O70" s="15">
        <v>169260</v>
      </c>
      <c r="P70" s="15">
        <v>643340</v>
      </c>
    </row>
    <row r="71" spans="1:16" ht="25.5" customHeight="1" x14ac:dyDescent="0.25">
      <c r="A71" s="11" t="s">
        <v>1274</v>
      </c>
      <c r="B71" s="14" t="s">
        <v>953</v>
      </c>
      <c r="C71" s="10" t="s">
        <v>1002</v>
      </c>
      <c r="D71" s="13" t="s">
        <v>1003</v>
      </c>
      <c r="E71" s="14" t="s">
        <v>1004</v>
      </c>
      <c r="F71" s="14" t="s">
        <v>35</v>
      </c>
      <c r="G71" s="13"/>
      <c r="H71" s="14">
        <f t="shared" si="4"/>
        <v>2</v>
      </c>
      <c r="I71" s="14">
        <v>2</v>
      </c>
      <c r="J71" s="14">
        <v>1</v>
      </c>
      <c r="K71" s="13" t="s">
        <v>1005</v>
      </c>
      <c r="L71" s="15" t="s">
        <v>956</v>
      </c>
      <c r="M71" s="15">
        <v>8263</v>
      </c>
      <c r="N71" s="15">
        <v>9782</v>
      </c>
      <c r="O71" s="15">
        <v>182630</v>
      </c>
      <c r="P71" s="15">
        <v>697820</v>
      </c>
    </row>
    <row r="72" spans="1:16" ht="25.5" customHeight="1" x14ac:dyDescent="0.25">
      <c r="A72" s="11" t="s">
        <v>1274</v>
      </c>
      <c r="B72" s="14" t="s">
        <v>394</v>
      </c>
      <c r="C72" s="10" t="s">
        <v>1013</v>
      </c>
      <c r="D72" s="13" t="s">
        <v>1009</v>
      </c>
      <c r="E72" s="14" t="s">
        <v>1014</v>
      </c>
      <c r="F72" s="14" t="s">
        <v>35</v>
      </c>
      <c r="G72" s="13">
        <v>1</v>
      </c>
      <c r="H72" s="14">
        <f t="shared" si="4"/>
        <v>1</v>
      </c>
      <c r="J72" s="14">
        <v>1</v>
      </c>
      <c r="K72" s="13" t="s">
        <v>958</v>
      </c>
      <c r="L72" s="15" t="s">
        <v>398</v>
      </c>
      <c r="M72" s="15">
        <v>7581</v>
      </c>
      <c r="N72" s="15">
        <v>3599</v>
      </c>
      <c r="O72" s="15">
        <v>375810</v>
      </c>
      <c r="P72" s="15">
        <v>635990</v>
      </c>
    </row>
    <row r="73" spans="1:16" ht="25.5" customHeight="1" x14ac:dyDescent="0.25">
      <c r="A73" s="11" t="s">
        <v>1274</v>
      </c>
      <c r="B73" s="14" t="s">
        <v>238</v>
      </c>
      <c r="C73" s="10" t="s">
        <v>239</v>
      </c>
      <c r="D73" s="13" t="s">
        <v>26</v>
      </c>
      <c r="E73" s="14" t="s">
        <v>236</v>
      </c>
      <c r="F73" s="14" t="s">
        <v>35</v>
      </c>
      <c r="G73" s="13">
        <v>2</v>
      </c>
      <c r="H73" s="14">
        <f t="shared" si="4"/>
        <v>8</v>
      </c>
      <c r="I73" s="14">
        <v>6</v>
      </c>
      <c r="J73" s="14">
        <v>4</v>
      </c>
      <c r="K73" s="13" t="s">
        <v>1097</v>
      </c>
      <c r="L73" s="15" t="s">
        <v>133</v>
      </c>
      <c r="M73" s="15">
        <v>2601</v>
      </c>
      <c r="N73" s="15">
        <v>4420</v>
      </c>
      <c r="O73" s="15">
        <v>326010</v>
      </c>
      <c r="P73" s="15">
        <v>944200</v>
      </c>
    </row>
    <row r="74" spans="1:16" ht="25.5" customHeight="1" x14ac:dyDescent="0.25">
      <c r="A74" s="11" t="s">
        <v>1274</v>
      </c>
      <c r="B74" s="14" t="s">
        <v>238</v>
      </c>
      <c r="C74" s="10" t="s">
        <v>1081</v>
      </c>
      <c r="D74" s="13" t="s">
        <v>1082</v>
      </c>
      <c r="E74" s="14" t="s">
        <v>236</v>
      </c>
      <c r="F74" s="14" t="s">
        <v>35</v>
      </c>
      <c r="G74" s="13"/>
      <c r="H74" s="14">
        <f t="shared" si="4"/>
        <v>4</v>
      </c>
      <c r="I74" s="14">
        <v>4</v>
      </c>
      <c r="J74" s="14">
        <v>1</v>
      </c>
      <c r="K74" s="13" t="s">
        <v>180</v>
      </c>
      <c r="L74" s="15" t="s">
        <v>133</v>
      </c>
      <c r="M74" s="15">
        <v>2608</v>
      </c>
      <c r="N74" s="15">
        <v>4403</v>
      </c>
      <c r="O74" s="15">
        <v>326080</v>
      </c>
      <c r="P74" s="15">
        <v>944030</v>
      </c>
    </row>
    <row r="75" spans="1:16" ht="25.5" customHeight="1" x14ac:dyDescent="0.25">
      <c r="A75" s="11" t="s">
        <v>1274</v>
      </c>
      <c r="B75" s="14" t="s">
        <v>238</v>
      </c>
      <c r="C75" s="10" t="s">
        <v>1095</v>
      </c>
      <c r="D75" s="13" t="s">
        <v>955</v>
      </c>
      <c r="E75" s="14" t="s">
        <v>236</v>
      </c>
      <c r="F75" s="14" t="s">
        <v>35</v>
      </c>
      <c r="G75" s="13"/>
      <c r="H75" s="14">
        <f t="shared" si="4"/>
        <v>1</v>
      </c>
      <c r="I75" s="14">
        <v>1</v>
      </c>
      <c r="J75" s="14">
        <v>1</v>
      </c>
      <c r="K75" s="13" t="s">
        <v>684</v>
      </c>
      <c r="L75" s="15" t="s">
        <v>133</v>
      </c>
      <c r="M75" s="15">
        <v>29515</v>
      </c>
      <c r="N75" s="15">
        <v>38405</v>
      </c>
      <c r="O75" s="15">
        <v>329515</v>
      </c>
      <c r="P75" s="15">
        <v>938405</v>
      </c>
    </row>
    <row r="76" spans="1:16" ht="25.5" customHeight="1" x14ac:dyDescent="0.25">
      <c r="A76" s="11" t="s">
        <v>1274</v>
      </c>
      <c r="B76" s="14" t="s">
        <v>238</v>
      </c>
      <c r="C76" s="10" t="s">
        <v>1075</v>
      </c>
      <c r="D76" s="13" t="s">
        <v>1278</v>
      </c>
      <c r="E76" s="14" t="s">
        <v>1075</v>
      </c>
      <c r="F76" s="14" t="s">
        <v>35</v>
      </c>
      <c r="G76" s="13">
        <v>3</v>
      </c>
      <c r="H76" s="14">
        <f t="shared" si="4"/>
        <v>4</v>
      </c>
      <c r="I76" s="14">
        <v>1</v>
      </c>
      <c r="J76" s="14">
        <v>3</v>
      </c>
      <c r="K76" s="13" t="s">
        <v>1084</v>
      </c>
      <c r="L76" s="15" t="s">
        <v>133</v>
      </c>
      <c r="M76" s="15">
        <v>69</v>
      </c>
      <c r="N76" s="15">
        <v>615</v>
      </c>
      <c r="O76" s="15">
        <v>306900</v>
      </c>
      <c r="P76" s="15">
        <v>961500</v>
      </c>
    </row>
    <row r="77" spans="1:16" ht="25.5" customHeight="1" x14ac:dyDescent="0.25">
      <c r="A77" s="11" t="s">
        <v>1274</v>
      </c>
      <c r="B77" s="14" t="s">
        <v>238</v>
      </c>
      <c r="C77" s="10" t="s">
        <v>1080</v>
      </c>
      <c r="D77" s="13" t="s">
        <v>41</v>
      </c>
      <c r="E77" s="13" t="s">
        <v>1078</v>
      </c>
      <c r="F77" s="14" t="s">
        <v>35</v>
      </c>
      <c r="G77" s="13">
        <v>1</v>
      </c>
      <c r="H77" s="14">
        <f t="shared" si="4"/>
        <v>3</v>
      </c>
      <c r="I77" s="14">
        <v>2</v>
      </c>
      <c r="J77" s="14">
        <v>3</v>
      </c>
      <c r="K77" s="13" t="s">
        <v>1083</v>
      </c>
      <c r="L77" s="15" t="s">
        <v>133</v>
      </c>
      <c r="M77" s="15">
        <v>704</v>
      </c>
      <c r="N77" s="15">
        <v>6192</v>
      </c>
      <c r="O77" s="15">
        <v>307040</v>
      </c>
      <c r="P77" s="15">
        <v>961920</v>
      </c>
    </row>
    <row r="78" spans="1:16" ht="25.5" customHeight="1" x14ac:dyDescent="0.25">
      <c r="A78" s="11" t="s">
        <v>1274</v>
      </c>
      <c r="B78" s="14" t="s">
        <v>238</v>
      </c>
      <c r="C78" s="10" t="s">
        <v>1077</v>
      </c>
      <c r="D78" s="13" t="s">
        <v>41</v>
      </c>
      <c r="E78" s="13" t="s">
        <v>1078</v>
      </c>
      <c r="F78" s="14" t="s">
        <v>35</v>
      </c>
      <c r="G78" s="13"/>
      <c r="H78" s="14">
        <f t="shared" si="4"/>
        <v>3</v>
      </c>
      <c r="I78" s="14">
        <v>3</v>
      </c>
      <c r="J78" s="14">
        <v>3</v>
      </c>
      <c r="K78" s="13" t="s">
        <v>1083</v>
      </c>
      <c r="L78" s="15" t="s">
        <v>133</v>
      </c>
      <c r="M78" s="15">
        <v>682</v>
      </c>
      <c r="N78" s="15">
        <v>6188</v>
      </c>
      <c r="O78" s="15">
        <v>306820</v>
      </c>
      <c r="P78" s="15">
        <v>961880</v>
      </c>
    </row>
    <row r="79" spans="1:16" ht="25.5" customHeight="1" x14ac:dyDescent="0.25">
      <c r="A79" s="11" t="s">
        <v>1274</v>
      </c>
      <c r="B79" s="14" t="s">
        <v>238</v>
      </c>
      <c r="C79" s="10" t="s">
        <v>1079</v>
      </c>
      <c r="D79" s="13" t="s">
        <v>41</v>
      </c>
      <c r="E79" s="13" t="s">
        <v>1078</v>
      </c>
      <c r="F79" s="14" t="s">
        <v>35</v>
      </c>
      <c r="G79" s="13"/>
      <c r="H79" s="14">
        <f t="shared" si="4"/>
        <v>2</v>
      </c>
      <c r="I79" s="14">
        <v>2</v>
      </c>
      <c r="J79" s="14">
        <v>1</v>
      </c>
      <c r="K79" s="13" t="s">
        <v>1076</v>
      </c>
      <c r="L79" s="15" t="s">
        <v>133</v>
      </c>
      <c r="M79" s="15">
        <v>676</v>
      </c>
      <c r="N79" s="15">
        <v>6186</v>
      </c>
      <c r="O79" s="15">
        <v>306760</v>
      </c>
      <c r="P79" s="15">
        <v>961860</v>
      </c>
    </row>
    <row r="80" spans="1:16" ht="25.5" customHeight="1" x14ac:dyDescent="0.25">
      <c r="A80" s="11" t="s">
        <v>1274</v>
      </c>
      <c r="B80" s="14" t="s">
        <v>238</v>
      </c>
      <c r="C80" s="10" t="s">
        <v>1093</v>
      </c>
      <c r="D80" s="13" t="s">
        <v>955</v>
      </c>
      <c r="E80" s="13" t="s">
        <v>236</v>
      </c>
      <c r="F80" s="14" t="s">
        <v>35</v>
      </c>
      <c r="G80" s="13"/>
      <c r="H80" s="14">
        <f t="shared" si="4"/>
        <v>2</v>
      </c>
      <c r="I80" s="14">
        <v>2</v>
      </c>
      <c r="J80" s="14">
        <v>1</v>
      </c>
      <c r="K80" s="13" t="s">
        <v>684</v>
      </c>
      <c r="L80" s="15" t="s">
        <v>133</v>
      </c>
      <c r="M80" s="15">
        <v>7</v>
      </c>
      <c r="N80" s="15">
        <v>660</v>
      </c>
      <c r="O80" s="15">
        <v>300700</v>
      </c>
      <c r="P80" s="15">
        <v>966000</v>
      </c>
    </row>
    <row r="81" spans="1:16" ht="25.5" customHeight="1" x14ac:dyDescent="0.25">
      <c r="A81" s="11" t="s">
        <v>1274</v>
      </c>
      <c r="B81" s="13" t="s">
        <v>226</v>
      </c>
      <c r="C81" s="10" t="s">
        <v>961</v>
      </c>
      <c r="D81" s="13" t="s">
        <v>26</v>
      </c>
      <c r="E81" s="13" t="s">
        <v>228</v>
      </c>
      <c r="F81" s="14" t="s">
        <v>35</v>
      </c>
      <c r="G81" s="13"/>
      <c r="H81" s="14">
        <f t="shared" si="4"/>
        <v>2</v>
      </c>
      <c r="I81" s="14">
        <v>2</v>
      </c>
      <c r="J81" s="14">
        <v>2</v>
      </c>
      <c r="K81" s="13" t="s">
        <v>962</v>
      </c>
      <c r="L81" s="15" t="s">
        <v>229</v>
      </c>
      <c r="M81" s="15">
        <v>51820</v>
      </c>
      <c r="N81" s="15">
        <v>54045</v>
      </c>
      <c r="O81" s="15">
        <v>251820</v>
      </c>
      <c r="P81" s="15">
        <v>554045</v>
      </c>
    </row>
    <row r="82" spans="1:16" ht="25.5" customHeight="1" x14ac:dyDescent="0.25">
      <c r="A82" s="11" t="s">
        <v>1274</v>
      </c>
      <c r="B82" s="13" t="s">
        <v>226</v>
      </c>
      <c r="C82" s="10" t="s">
        <v>968</v>
      </c>
      <c r="D82" s="13" t="s">
        <v>969</v>
      </c>
      <c r="E82" s="13" t="s">
        <v>228</v>
      </c>
      <c r="F82" s="14" t="s">
        <v>35</v>
      </c>
      <c r="G82" s="13"/>
      <c r="H82" s="14">
        <f t="shared" si="4"/>
        <v>3</v>
      </c>
      <c r="I82" s="14">
        <v>3</v>
      </c>
      <c r="J82" s="14">
        <v>1</v>
      </c>
      <c r="K82" s="13" t="s">
        <v>970</v>
      </c>
      <c r="L82" s="15" t="s">
        <v>229</v>
      </c>
      <c r="M82" s="15">
        <v>35243</v>
      </c>
      <c r="N82" s="15">
        <v>78359</v>
      </c>
      <c r="O82" s="15">
        <v>235243</v>
      </c>
      <c r="P82" s="15">
        <v>578359</v>
      </c>
    </row>
    <row r="83" spans="1:16" ht="25.5" customHeight="1" x14ac:dyDescent="0.25">
      <c r="A83" s="11" t="s">
        <v>1274</v>
      </c>
      <c r="B83" s="13" t="s">
        <v>226</v>
      </c>
      <c r="C83" s="10" t="s">
        <v>963</v>
      </c>
      <c r="D83" s="13" t="s">
        <v>26</v>
      </c>
      <c r="E83" s="13" t="s">
        <v>228</v>
      </c>
      <c r="F83" s="14" t="s">
        <v>35</v>
      </c>
      <c r="G83" s="13">
        <v>1</v>
      </c>
      <c r="H83" s="14">
        <f t="shared" si="4"/>
        <v>6</v>
      </c>
      <c r="I83" s="14">
        <v>5</v>
      </c>
      <c r="J83" s="14">
        <v>3</v>
      </c>
      <c r="K83" s="13" t="s">
        <v>964</v>
      </c>
      <c r="L83" s="15" t="s">
        <v>229</v>
      </c>
      <c r="M83" s="15">
        <v>9688</v>
      </c>
      <c r="N83" s="15">
        <v>6507</v>
      </c>
      <c r="O83" s="15">
        <v>296880</v>
      </c>
      <c r="P83" s="15">
        <v>565070</v>
      </c>
    </row>
    <row r="84" spans="1:16" ht="25.5" customHeight="1" x14ac:dyDescent="0.25">
      <c r="A84" s="11" t="s">
        <v>1274</v>
      </c>
      <c r="B84" s="13" t="s">
        <v>226</v>
      </c>
      <c r="C84" s="10" t="s">
        <v>227</v>
      </c>
      <c r="D84" s="13" t="s">
        <v>41</v>
      </c>
      <c r="E84" s="13" t="s">
        <v>228</v>
      </c>
      <c r="F84" s="14" t="s">
        <v>35</v>
      </c>
      <c r="G84" s="13"/>
      <c r="H84" s="14">
        <f t="shared" si="4"/>
        <v>2</v>
      </c>
      <c r="I84" s="14">
        <v>2</v>
      </c>
      <c r="J84" s="14">
        <v>2</v>
      </c>
      <c r="K84" s="13" t="s">
        <v>965</v>
      </c>
      <c r="L84" s="15" t="s">
        <v>229</v>
      </c>
      <c r="M84" s="15">
        <v>1867</v>
      </c>
      <c r="N84" s="15">
        <v>6100</v>
      </c>
      <c r="O84" s="15">
        <v>218670</v>
      </c>
      <c r="P84" s="15">
        <v>561000</v>
      </c>
    </row>
    <row r="85" spans="1:16" ht="25.5" customHeight="1" x14ac:dyDescent="0.25">
      <c r="A85" s="11" t="s">
        <v>1274</v>
      </c>
      <c r="B85" s="13" t="s">
        <v>998</v>
      </c>
      <c r="C85" s="10" t="s">
        <v>999</v>
      </c>
      <c r="D85" s="13" t="s">
        <v>1000</v>
      </c>
      <c r="E85" s="13" t="s">
        <v>1001</v>
      </c>
      <c r="F85" s="14" t="s">
        <v>35</v>
      </c>
      <c r="G85" s="13"/>
      <c r="H85" s="14">
        <f t="shared" si="4"/>
        <v>1</v>
      </c>
      <c r="I85" s="14">
        <v>1</v>
      </c>
      <c r="J85" s="14">
        <v>1</v>
      </c>
      <c r="K85" s="13" t="s">
        <v>947</v>
      </c>
      <c r="L85" s="15" t="s">
        <v>398</v>
      </c>
      <c r="M85" s="15">
        <v>66710</v>
      </c>
      <c r="N85" s="15">
        <v>77389</v>
      </c>
      <c r="O85" s="15">
        <v>366710</v>
      </c>
      <c r="P85" s="15">
        <v>677389</v>
      </c>
    </row>
    <row r="86" spans="1:16" ht="25.5" customHeight="1" x14ac:dyDescent="0.25">
      <c r="A86" s="11" t="s">
        <v>1274</v>
      </c>
      <c r="B86" s="13" t="s">
        <v>407</v>
      </c>
      <c r="C86" s="10" t="s">
        <v>409</v>
      </c>
      <c r="D86" s="13" t="s">
        <v>18</v>
      </c>
      <c r="E86" s="13" t="s">
        <v>408</v>
      </c>
      <c r="F86" s="14" t="s">
        <v>35</v>
      </c>
      <c r="G86" s="13">
        <v>1</v>
      </c>
      <c r="H86" s="14">
        <f t="shared" si="4"/>
        <v>3</v>
      </c>
      <c r="I86" s="14">
        <v>2</v>
      </c>
      <c r="J86" s="14">
        <v>2</v>
      </c>
      <c r="K86" s="13" t="s">
        <v>1141</v>
      </c>
      <c r="L86" s="15" t="s">
        <v>130</v>
      </c>
      <c r="M86" s="15">
        <v>28198</v>
      </c>
      <c r="N86" s="15">
        <v>3123</v>
      </c>
      <c r="O86" s="15">
        <v>328198</v>
      </c>
      <c r="P86" s="15">
        <v>703123</v>
      </c>
    </row>
    <row r="87" spans="1:16" ht="25.5" customHeight="1" x14ac:dyDescent="0.25">
      <c r="A87" s="11" t="s">
        <v>1274</v>
      </c>
      <c r="B87" s="14" t="s">
        <v>676</v>
      </c>
      <c r="C87" s="10" t="s">
        <v>966</v>
      </c>
      <c r="D87" s="13" t="s">
        <v>41</v>
      </c>
      <c r="E87" s="14" t="s">
        <v>428</v>
      </c>
      <c r="F87" s="14" t="s">
        <v>35</v>
      </c>
      <c r="G87" s="13"/>
      <c r="H87" s="14">
        <f>SUM(G87,I87)</f>
        <v>7</v>
      </c>
      <c r="I87" s="14">
        <v>7</v>
      </c>
      <c r="J87" s="14">
        <v>5</v>
      </c>
      <c r="K87" s="13" t="s">
        <v>967</v>
      </c>
      <c r="L87" s="15" t="s">
        <v>956</v>
      </c>
      <c r="M87" s="15">
        <v>991</v>
      </c>
      <c r="N87" s="15">
        <v>262</v>
      </c>
      <c r="O87" s="15">
        <v>199100</v>
      </c>
      <c r="P87" s="15">
        <v>626200</v>
      </c>
    </row>
    <row r="88" spans="1:16" ht="25.5" customHeight="1" x14ac:dyDescent="0.25">
      <c r="A88" s="11" t="s">
        <v>1274</v>
      </c>
      <c r="B88" s="14" t="s">
        <v>676</v>
      </c>
      <c r="C88" s="10" t="s">
        <v>427</v>
      </c>
      <c r="D88" s="13" t="s">
        <v>41</v>
      </c>
      <c r="E88" s="14" t="s">
        <v>428</v>
      </c>
      <c r="F88" s="14" t="s">
        <v>35</v>
      </c>
      <c r="G88" s="13"/>
      <c r="H88" s="14">
        <f t="shared" ref="H88:H119" si="5">SUM(G88,I88)</f>
        <v>1</v>
      </c>
      <c r="I88" s="14">
        <v>1</v>
      </c>
      <c r="J88" s="14">
        <v>1</v>
      </c>
      <c r="K88" s="13" t="s">
        <v>952</v>
      </c>
      <c r="L88" s="15" t="s">
        <v>429</v>
      </c>
      <c r="M88" s="15">
        <v>1752</v>
      </c>
      <c r="N88" s="15">
        <v>28890</v>
      </c>
      <c r="O88" s="15">
        <v>201752</v>
      </c>
      <c r="P88" s="15">
        <v>628890</v>
      </c>
    </row>
    <row r="89" spans="1:16" ht="25.5" customHeight="1" x14ac:dyDescent="0.25">
      <c r="A89" s="11" t="s">
        <v>1274</v>
      </c>
      <c r="B89" s="14" t="s">
        <v>249</v>
      </c>
      <c r="C89" s="10" t="s">
        <v>458</v>
      </c>
      <c r="D89" s="13" t="s">
        <v>8</v>
      </c>
      <c r="E89" s="14" t="s">
        <v>236</v>
      </c>
      <c r="F89" s="14" t="s">
        <v>35</v>
      </c>
      <c r="G89" s="13">
        <v>1</v>
      </c>
      <c r="H89" s="14">
        <f t="shared" si="5"/>
        <v>8</v>
      </c>
      <c r="I89" s="14">
        <v>7</v>
      </c>
      <c r="J89" s="14">
        <v>3</v>
      </c>
      <c r="K89" s="13" t="s">
        <v>1091</v>
      </c>
      <c r="L89" s="15" t="s">
        <v>460</v>
      </c>
      <c r="M89" s="15">
        <v>7576</v>
      </c>
      <c r="N89" s="15">
        <v>4447</v>
      </c>
      <c r="O89" s="15">
        <v>275760</v>
      </c>
      <c r="P89" s="15">
        <v>844470</v>
      </c>
    </row>
    <row r="90" spans="1:16" ht="25.5" customHeight="1" x14ac:dyDescent="0.25">
      <c r="A90" s="11" t="s">
        <v>1274</v>
      </c>
      <c r="B90" s="14" t="s">
        <v>249</v>
      </c>
      <c r="C90" s="10" t="s">
        <v>994</v>
      </c>
      <c r="D90" s="13" t="s">
        <v>1278</v>
      </c>
      <c r="E90" s="14" t="s">
        <v>236</v>
      </c>
      <c r="F90" s="14" t="s">
        <v>35</v>
      </c>
      <c r="G90" s="13">
        <v>1</v>
      </c>
      <c r="H90" s="14">
        <f t="shared" si="5"/>
        <v>1</v>
      </c>
      <c r="J90" s="14">
        <v>1</v>
      </c>
      <c r="K90" s="13" t="s">
        <v>951</v>
      </c>
      <c r="L90" s="15" t="s">
        <v>169</v>
      </c>
      <c r="M90" s="15">
        <v>103</v>
      </c>
      <c r="N90" s="15">
        <v>738</v>
      </c>
      <c r="O90" s="15">
        <v>210300</v>
      </c>
      <c r="P90" s="15">
        <v>773800</v>
      </c>
    </row>
    <row r="91" spans="1:16" ht="25.5" customHeight="1" x14ac:dyDescent="0.25">
      <c r="A91" s="11" t="s">
        <v>1274</v>
      </c>
      <c r="B91" s="14" t="s">
        <v>34</v>
      </c>
      <c r="C91" s="10" t="s">
        <v>33</v>
      </c>
      <c r="D91" s="13" t="s">
        <v>1278</v>
      </c>
      <c r="E91" s="13" t="s">
        <v>1070</v>
      </c>
      <c r="F91" s="14" t="s">
        <v>35</v>
      </c>
      <c r="G91" s="13">
        <v>49</v>
      </c>
      <c r="H91" s="14">
        <f t="shared" si="5"/>
        <v>50</v>
      </c>
      <c r="I91" s="14">
        <v>1</v>
      </c>
      <c r="J91" s="14">
        <v>23</v>
      </c>
      <c r="K91" s="13" t="s">
        <v>1327</v>
      </c>
      <c r="L91" s="15" t="s">
        <v>114</v>
      </c>
      <c r="M91" s="15">
        <v>57283</v>
      </c>
      <c r="N91" s="15">
        <v>5722</v>
      </c>
      <c r="O91" s="15">
        <v>353283</v>
      </c>
      <c r="P91" s="15">
        <v>1005722</v>
      </c>
    </row>
    <row r="92" spans="1:16" ht="25.5" customHeight="1" x14ac:dyDescent="0.25">
      <c r="A92" s="11" t="s">
        <v>1274</v>
      </c>
      <c r="B92" s="14" t="s">
        <v>34</v>
      </c>
      <c r="C92" s="10" t="s">
        <v>1041</v>
      </c>
      <c r="D92" s="13" t="s">
        <v>39</v>
      </c>
      <c r="E92" s="14" t="s">
        <v>33</v>
      </c>
      <c r="F92" s="14" t="s">
        <v>35</v>
      </c>
      <c r="G92" s="13">
        <v>5</v>
      </c>
      <c r="H92" s="14">
        <f t="shared" si="5"/>
        <v>9</v>
      </c>
      <c r="I92" s="14">
        <v>4</v>
      </c>
      <c r="J92" s="14">
        <v>4</v>
      </c>
      <c r="K92" s="13" t="s">
        <v>1072</v>
      </c>
      <c r="L92" s="15" t="s">
        <v>114</v>
      </c>
      <c r="M92" s="15">
        <v>3076</v>
      </c>
      <c r="N92" s="15">
        <v>1270</v>
      </c>
      <c r="O92" s="15">
        <v>330760</v>
      </c>
      <c r="P92" s="15">
        <v>1012700</v>
      </c>
    </row>
    <row r="93" spans="1:16" ht="25.5" customHeight="1" x14ac:dyDescent="0.25">
      <c r="A93" s="11" t="s">
        <v>1274</v>
      </c>
      <c r="B93" s="14" t="s">
        <v>34</v>
      </c>
      <c r="C93" s="10" t="s">
        <v>1044</v>
      </c>
      <c r="D93" s="13" t="s">
        <v>753</v>
      </c>
      <c r="E93" s="14" t="s">
        <v>469</v>
      </c>
      <c r="F93" s="14" t="s">
        <v>35</v>
      </c>
      <c r="G93" s="13"/>
      <c r="H93" s="14">
        <f t="shared" si="5"/>
        <v>1</v>
      </c>
      <c r="I93" s="14">
        <v>1</v>
      </c>
      <c r="J93" s="14">
        <v>1</v>
      </c>
      <c r="K93" s="13" t="s">
        <v>1043</v>
      </c>
      <c r="L93" s="15" t="s">
        <v>114</v>
      </c>
      <c r="M93" s="15">
        <v>4354</v>
      </c>
      <c r="N93" s="15">
        <v>3214</v>
      </c>
      <c r="O93" s="15">
        <v>343540</v>
      </c>
      <c r="P93" s="15">
        <v>1032140</v>
      </c>
    </row>
    <row r="94" spans="1:16" ht="25.5" customHeight="1" x14ac:dyDescent="0.25">
      <c r="A94" s="11" t="s">
        <v>1274</v>
      </c>
      <c r="B94" s="14" t="s">
        <v>34</v>
      </c>
      <c r="C94" s="10" t="s">
        <v>1063</v>
      </c>
      <c r="D94" s="13" t="s">
        <v>753</v>
      </c>
      <c r="E94" s="14" t="s">
        <v>469</v>
      </c>
      <c r="F94" s="14" t="s">
        <v>35</v>
      </c>
      <c r="G94" s="13"/>
      <c r="H94" s="14">
        <f t="shared" si="5"/>
        <v>2</v>
      </c>
      <c r="I94" s="14">
        <v>2</v>
      </c>
      <c r="J94" s="14">
        <v>2</v>
      </c>
      <c r="K94" s="13" t="s">
        <v>1061</v>
      </c>
      <c r="L94" s="15" t="s">
        <v>114</v>
      </c>
      <c r="M94" s="15">
        <v>4142</v>
      </c>
      <c r="N94" s="15">
        <v>2761</v>
      </c>
      <c r="O94" s="15">
        <v>341420</v>
      </c>
      <c r="P94" s="15">
        <v>1027610</v>
      </c>
    </row>
    <row r="95" spans="1:16" ht="25.5" customHeight="1" x14ac:dyDescent="0.25">
      <c r="A95" s="11" t="s">
        <v>1274</v>
      </c>
      <c r="B95" s="14" t="s">
        <v>34</v>
      </c>
      <c r="C95" s="10" t="s">
        <v>1330</v>
      </c>
      <c r="D95" s="13" t="s">
        <v>1331</v>
      </c>
      <c r="E95" s="14" t="s">
        <v>1052</v>
      </c>
      <c r="F95" s="14" t="s">
        <v>35</v>
      </c>
      <c r="G95" s="13">
        <v>1</v>
      </c>
      <c r="H95" s="14">
        <f t="shared" si="5"/>
        <v>1</v>
      </c>
      <c r="J95" s="14">
        <v>1</v>
      </c>
      <c r="K95" s="13" t="s">
        <v>1329</v>
      </c>
      <c r="L95" s="15" t="s">
        <v>114</v>
      </c>
      <c r="M95" s="15">
        <v>5602</v>
      </c>
      <c r="N95" s="15">
        <v>3242</v>
      </c>
      <c r="O95" s="15">
        <v>356020</v>
      </c>
      <c r="P95" s="15">
        <v>1032420</v>
      </c>
    </row>
    <row r="96" spans="1:16" ht="25.5" customHeight="1" x14ac:dyDescent="0.25">
      <c r="A96" s="11" t="s">
        <v>1274</v>
      </c>
      <c r="B96" s="14" t="s">
        <v>34</v>
      </c>
      <c r="C96" s="10" t="s">
        <v>1328</v>
      </c>
      <c r="D96" s="13" t="s">
        <v>41</v>
      </c>
      <c r="E96" s="14" t="s">
        <v>156</v>
      </c>
      <c r="F96" s="14" t="s">
        <v>35</v>
      </c>
      <c r="G96" s="13">
        <v>1</v>
      </c>
      <c r="H96" s="14">
        <f t="shared" si="5"/>
        <v>1</v>
      </c>
      <c r="J96" s="14">
        <v>1</v>
      </c>
      <c r="K96" s="13" t="s">
        <v>1329</v>
      </c>
      <c r="L96" s="15" t="s">
        <v>114</v>
      </c>
      <c r="M96" s="15">
        <v>5091</v>
      </c>
      <c r="N96" s="15">
        <v>5183</v>
      </c>
      <c r="O96" s="15">
        <v>350910</v>
      </c>
      <c r="P96" s="15">
        <v>1051830</v>
      </c>
    </row>
    <row r="97" spans="1:16" ht="25.5" customHeight="1" x14ac:dyDescent="0.25">
      <c r="A97" s="11" t="s">
        <v>1274</v>
      </c>
      <c r="B97" s="14" t="s">
        <v>34</v>
      </c>
      <c r="C97" s="10" t="s">
        <v>1051</v>
      </c>
      <c r="D97" s="13" t="s">
        <v>1048</v>
      </c>
      <c r="E97" s="14" t="s">
        <v>1052</v>
      </c>
      <c r="F97" s="14" t="s">
        <v>35</v>
      </c>
      <c r="G97" s="13"/>
      <c r="H97" s="14">
        <f t="shared" si="5"/>
        <v>1</v>
      </c>
      <c r="I97" s="14">
        <v>1</v>
      </c>
      <c r="J97" s="14">
        <v>1</v>
      </c>
      <c r="K97" s="13" t="s">
        <v>1043</v>
      </c>
      <c r="L97" s="15" t="s">
        <v>114</v>
      </c>
      <c r="M97" s="15">
        <v>5626</v>
      </c>
      <c r="N97" s="15">
        <v>3774</v>
      </c>
      <c r="O97" s="15">
        <v>356260</v>
      </c>
      <c r="P97" s="15">
        <v>1037740</v>
      </c>
    </row>
    <row r="98" spans="1:16" ht="25.5" customHeight="1" x14ac:dyDescent="0.25">
      <c r="A98" s="11" t="s">
        <v>1274</v>
      </c>
      <c r="B98" s="14" t="s">
        <v>34</v>
      </c>
      <c r="C98" s="10" t="s">
        <v>155</v>
      </c>
      <c r="D98" s="13" t="s">
        <v>39</v>
      </c>
      <c r="E98" s="13" t="s">
        <v>156</v>
      </c>
      <c r="F98" s="14" t="s">
        <v>35</v>
      </c>
      <c r="G98" s="13">
        <v>1</v>
      </c>
      <c r="H98" s="14">
        <f t="shared" si="5"/>
        <v>3</v>
      </c>
      <c r="I98" s="14">
        <v>2</v>
      </c>
      <c r="J98" s="14">
        <v>3</v>
      </c>
      <c r="K98" s="13" t="s">
        <v>1054</v>
      </c>
      <c r="L98" s="15" t="s">
        <v>114</v>
      </c>
      <c r="M98" s="15">
        <v>4830</v>
      </c>
      <c r="N98" s="15">
        <v>5180</v>
      </c>
      <c r="O98" s="15">
        <v>348300</v>
      </c>
      <c r="P98" s="15">
        <v>1051800</v>
      </c>
    </row>
    <row r="99" spans="1:16" ht="25.5" customHeight="1" x14ac:dyDescent="0.25">
      <c r="A99" s="11" t="s">
        <v>1274</v>
      </c>
      <c r="B99" s="14" t="s">
        <v>34</v>
      </c>
      <c r="C99" s="10" t="s">
        <v>1046</v>
      </c>
      <c r="D99" s="13" t="s">
        <v>753</v>
      </c>
      <c r="E99" s="13" t="s">
        <v>469</v>
      </c>
      <c r="F99" s="14" t="s">
        <v>35</v>
      </c>
      <c r="G99" s="13"/>
      <c r="H99" s="14">
        <f t="shared" si="5"/>
        <v>3</v>
      </c>
      <c r="I99" s="14">
        <v>3</v>
      </c>
      <c r="J99" s="14">
        <v>3</v>
      </c>
      <c r="K99" s="13" t="s">
        <v>1062</v>
      </c>
      <c r="L99" s="15" t="s">
        <v>114</v>
      </c>
      <c r="M99" s="15">
        <v>4004</v>
      </c>
      <c r="N99" s="15">
        <v>2800</v>
      </c>
      <c r="O99" s="15">
        <v>340040</v>
      </c>
      <c r="P99" s="15">
        <v>1028000</v>
      </c>
    </row>
    <row r="100" spans="1:16" ht="25.5" customHeight="1" x14ac:dyDescent="0.25">
      <c r="A100" s="11" t="s">
        <v>1274</v>
      </c>
      <c r="B100" s="14" t="s">
        <v>34</v>
      </c>
      <c r="C100" s="10" t="s">
        <v>1060</v>
      </c>
      <c r="D100" s="13" t="s">
        <v>753</v>
      </c>
      <c r="E100" s="13" t="s">
        <v>469</v>
      </c>
      <c r="F100" s="14" t="s">
        <v>35</v>
      </c>
      <c r="G100" s="13"/>
      <c r="H100" s="14">
        <f t="shared" si="5"/>
        <v>2</v>
      </c>
      <c r="I100" s="14">
        <v>2</v>
      </c>
      <c r="J100" s="14">
        <v>2</v>
      </c>
      <c r="K100" s="13" t="s">
        <v>1061</v>
      </c>
      <c r="L100" s="15" t="s">
        <v>114</v>
      </c>
      <c r="M100" s="15">
        <v>3733</v>
      </c>
      <c r="N100" s="15">
        <v>2978</v>
      </c>
      <c r="O100" s="15">
        <v>337330</v>
      </c>
      <c r="P100" s="15">
        <v>1029780</v>
      </c>
    </row>
    <row r="101" spans="1:16" ht="25.5" customHeight="1" x14ac:dyDescent="0.25">
      <c r="A101" s="11" t="s">
        <v>1274</v>
      </c>
      <c r="B101" s="14" t="s">
        <v>34</v>
      </c>
      <c r="C101" s="10" t="s">
        <v>1045</v>
      </c>
      <c r="D101" s="13" t="s">
        <v>753</v>
      </c>
      <c r="E101" s="13" t="s">
        <v>469</v>
      </c>
      <c r="F101" s="14" t="s">
        <v>35</v>
      </c>
      <c r="G101" s="13">
        <v>1</v>
      </c>
      <c r="H101" s="14">
        <f t="shared" si="5"/>
        <v>6</v>
      </c>
      <c r="I101" s="14">
        <v>5</v>
      </c>
      <c r="J101" s="14">
        <v>3</v>
      </c>
      <c r="K101" s="13" t="s">
        <v>1058</v>
      </c>
      <c r="L101" s="15" t="s">
        <v>114</v>
      </c>
      <c r="M101" s="15">
        <v>4048</v>
      </c>
      <c r="N101" s="15">
        <v>2795</v>
      </c>
      <c r="O101" s="15">
        <v>340480</v>
      </c>
      <c r="P101" s="15">
        <v>1027950</v>
      </c>
    </row>
    <row r="102" spans="1:16" ht="25.5" customHeight="1" x14ac:dyDescent="0.25">
      <c r="A102" s="11" t="s">
        <v>1274</v>
      </c>
      <c r="B102" s="14" t="s">
        <v>34</v>
      </c>
      <c r="C102" s="10" t="s">
        <v>40</v>
      </c>
      <c r="D102" s="13" t="s">
        <v>41</v>
      </c>
      <c r="E102" s="14" t="s">
        <v>33</v>
      </c>
      <c r="F102" s="14" t="s">
        <v>35</v>
      </c>
      <c r="G102" s="13">
        <v>20</v>
      </c>
      <c r="H102" s="14">
        <f t="shared" si="5"/>
        <v>41</v>
      </c>
      <c r="I102" s="14">
        <v>21</v>
      </c>
      <c r="J102" s="14">
        <v>18</v>
      </c>
      <c r="K102" s="13" t="s">
        <v>1186</v>
      </c>
      <c r="L102" s="15" t="s">
        <v>114</v>
      </c>
      <c r="M102" s="15">
        <v>3182</v>
      </c>
      <c r="N102" s="15">
        <v>1277</v>
      </c>
      <c r="O102" s="15">
        <v>331820</v>
      </c>
      <c r="P102" s="15">
        <v>1012770</v>
      </c>
    </row>
    <row r="103" spans="1:16" ht="25.5" customHeight="1" x14ac:dyDescent="0.25">
      <c r="A103" s="11" t="s">
        <v>1274</v>
      </c>
      <c r="B103" s="14" t="s">
        <v>34</v>
      </c>
      <c r="C103" s="10" t="s">
        <v>1056</v>
      </c>
      <c r="D103" s="13" t="s">
        <v>753</v>
      </c>
      <c r="E103" s="14" t="s">
        <v>469</v>
      </c>
      <c r="F103" s="14" t="s">
        <v>35</v>
      </c>
      <c r="G103" s="13"/>
      <c r="H103" s="14">
        <f t="shared" si="5"/>
        <v>7</v>
      </c>
      <c r="I103" s="14">
        <v>7</v>
      </c>
      <c r="J103" s="14">
        <v>3</v>
      </c>
      <c r="K103" s="13" t="s">
        <v>1059</v>
      </c>
      <c r="L103" s="15" t="s">
        <v>114</v>
      </c>
      <c r="M103" s="15">
        <v>3722</v>
      </c>
      <c r="N103" s="15">
        <v>3048</v>
      </c>
      <c r="O103" s="15">
        <v>337220</v>
      </c>
      <c r="P103" s="15">
        <v>1030480</v>
      </c>
    </row>
    <row r="104" spans="1:16" ht="25.5" customHeight="1" x14ac:dyDescent="0.25">
      <c r="A104" s="11" t="s">
        <v>1274</v>
      </c>
      <c r="B104" s="14" t="s">
        <v>34</v>
      </c>
      <c r="C104" s="10" t="s">
        <v>1332</v>
      </c>
      <c r="D104" s="13" t="s">
        <v>1333</v>
      </c>
      <c r="E104" s="14" t="s">
        <v>33</v>
      </c>
      <c r="F104" s="14" t="s">
        <v>35</v>
      </c>
      <c r="G104" s="13">
        <v>1</v>
      </c>
      <c r="H104" s="14">
        <f t="shared" si="5"/>
        <v>1</v>
      </c>
      <c r="J104" s="14">
        <v>1</v>
      </c>
      <c r="K104" s="13" t="s">
        <v>1329</v>
      </c>
      <c r="L104" s="15" t="s">
        <v>114</v>
      </c>
      <c r="M104" s="15">
        <v>4407</v>
      </c>
      <c r="N104" s="15">
        <v>1116</v>
      </c>
      <c r="O104" s="15">
        <v>344070</v>
      </c>
      <c r="P104" s="15">
        <v>1011160</v>
      </c>
    </row>
    <row r="105" spans="1:16" ht="25.5" customHeight="1" x14ac:dyDescent="0.25">
      <c r="A105" s="11" t="s">
        <v>1274</v>
      </c>
      <c r="B105" s="14" t="s">
        <v>34</v>
      </c>
      <c r="C105" s="10" t="s">
        <v>1334</v>
      </c>
      <c r="D105" s="13" t="s">
        <v>41</v>
      </c>
      <c r="E105" s="14" t="s">
        <v>620</v>
      </c>
      <c r="F105" s="14" t="s">
        <v>35</v>
      </c>
      <c r="G105" s="13">
        <v>1</v>
      </c>
      <c r="H105" s="14">
        <f t="shared" si="5"/>
        <v>1</v>
      </c>
      <c r="J105" s="14">
        <v>1</v>
      </c>
      <c r="K105" s="13" t="s">
        <v>1329</v>
      </c>
      <c r="L105" s="15" t="s">
        <v>114</v>
      </c>
      <c r="M105" s="15">
        <v>4389</v>
      </c>
      <c r="N105" s="15">
        <v>4905</v>
      </c>
      <c r="O105" s="15">
        <v>343890</v>
      </c>
      <c r="P105" s="15">
        <v>1049050</v>
      </c>
    </row>
    <row r="106" spans="1:16" ht="25.5" customHeight="1" x14ac:dyDescent="0.25">
      <c r="A106" s="11" t="s">
        <v>1274</v>
      </c>
      <c r="B106" s="14" t="s">
        <v>34</v>
      </c>
      <c r="C106" s="10" t="s">
        <v>457</v>
      </c>
      <c r="D106" s="13" t="s">
        <v>1047</v>
      </c>
      <c r="E106" s="14" t="s">
        <v>33</v>
      </c>
      <c r="F106" s="14" t="s">
        <v>35</v>
      </c>
      <c r="G106" s="13">
        <v>2</v>
      </c>
      <c r="H106" s="14">
        <f t="shared" si="5"/>
        <v>5</v>
      </c>
      <c r="I106" s="14">
        <v>3</v>
      </c>
      <c r="J106" s="14">
        <v>2</v>
      </c>
      <c r="K106" s="13" t="s">
        <v>1067</v>
      </c>
      <c r="L106" s="15" t="s">
        <v>114</v>
      </c>
      <c r="M106" s="15">
        <v>4177</v>
      </c>
      <c r="N106" s="15">
        <v>1292</v>
      </c>
      <c r="O106" s="15">
        <v>341770</v>
      </c>
      <c r="P106" s="15">
        <v>1012920</v>
      </c>
    </row>
    <row r="107" spans="1:16" ht="25.5" customHeight="1" x14ac:dyDescent="0.25">
      <c r="A107" s="11" t="s">
        <v>1274</v>
      </c>
      <c r="B107" s="14" t="s">
        <v>34</v>
      </c>
      <c r="C107" s="10" t="s">
        <v>1037</v>
      </c>
      <c r="D107" s="13" t="s">
        <v>18</v>
      </c>
      <c r="E107" s="14" t="s">
        <v>33</v>
      </c>
      <c r="F107" s="14" t="s">
        <v>35</v>
      </c>
      <c r="G107" s="13"/>
      <c r="H107" s="14">
        <f t="shared" si="5"/>
        <v>2</v>
      </c>
      <c r="I107" s="14">
        <v>2</v>
      </c>
      <c r="J107" s="14">
        <v>1</v>
      </c>
      <c r="K107" s="13" t="s">
        <v>1038</v>
      </c>
      <c r="L107" s="15" t="s">
        <v>114</v>
      </c>
      <c r="M107" s="15">
        <v>2834</v>
      </c>
      <c r="N107" s="15">
        <v>1450</v>
      </c>
      <c r="O107" s="15">
        <v>328340</v>
      </c>
      <c r="P107" s="15">
        <v>1014500</v>
      </c>
    </row>
    <row r="108" spans="1:16" ht="25.5" customHeight="1" x14ac:dyDescent="0.25">
      <c r="A108" s="11" t="s">
        <v>1274</v>
      </c>
      <c r="B108" s="14" t="s">
        <v>34</v>
      </c>
      <c r="C108" s="10" t="s">
        <v>37</v>
      </c>
      <c r="D108" s="13" t="s">
        <v>8</v>
      </c>
      <c r="E108" s="14" t="s">
        <v>33</v>
      </c>
      <c r="F108" s="14" t="s">
        <v>35</v>
      </c>
      <c r="G108" s="13">
        <v>11</v>
      </c>
      <c r="H108" s="14">
        <f t="shared" si="5"/>
        <v>18</v>
      </c>
      <c r="I108" s="14">
        <v>7</v>
      </c>
      <c r="J108" s="14">
        <v>9</v>
      </c>
      <c r="K108" s="13" t="s">
        <v>1303</v>
      </c>
      <c r="L108" s="15" t="s">
        <v>114</v>
      </c>
      <c r="M108" s="15">
        <v>2945</v>
      </c>
      <c r="N108" s="15">
        <v>1335</v>
      </c>
      <c r="O108" s="15">
        <v>329450</v>
      </c>
      <c r="P108" s="15">
        <v>1013350</v>
      </c>
    </row>
    <row r="109" spans="1:16" ht="25.5" customHeight="1" x14ac:dyDescent="0.25">
      <c r="A109" s="11" t="s">
        <v>1274</v>
      </c>
      <c r="B109" s="14" t="s">
        <v>34</v>
      </c>
      <c r="C109" s="10" t="s">
        <v>38</v>
      </c>
      <c r="D109" s="13" t="s">
        <v>39</v>
      </c>
      <c r="E109" s="14" t="s">
        <v>33</v>
      </c>
      <c r="F109" s="14" t="s">
        <v>35</v>
      </c>
      <c r="G109" s="13">
        <v>2</v>
      </c>
      <c r="H109" s="14">
        <f t="shared" si="5"/>
        <v>6</v>
      </c>
      <c r="I109" s="14">
        <v>4</v>
      </c>
      <c r="J109" s="14">
        <v>4</v>
      </c>
      <c r="K109" s="13" t="s">
        <v>1073</v>
      </c>
      <c r="L109" s="15" t="s">
        <v>114</v>
      </c>
      <c r="M109" s="15">
        <v>2312</v>
      </c>
      <c r="N109" s="15">
        <v>1874</v>
      </c>
      <c r="O109" s="15">
        <v>323120</v>
      </c>
      <c r="P109" s="15">
        <v>1018740</v>
      </c>
    </row>
    <row r="110" spans="1:16" ht="25.5" customHeight="1" x14ac:dyDescent="0.25">
      <c r="A110" s="11" t="s">
        <v>1274</v>
      </c>
      <c r="B110" s="14" t="s">
        <v>34</v>
      </c>
      <c r="C110" s="10" t="s">
        <v>36</v>
      </c>
      <c r="D110" s="13" t="s">
        <v>8</v>
      </c>
      <c r="E110" s="14" t="s">
        <v>33</v>
      </c>
      <c r="F110" s="14" t="s">
        <v>35</v>
      </c>
      <c r="G110" s="13">
        <v>12</v>
      </c>
      <c r="H110" s="14">
        <f t="shared" si="5"/>
        <v>21</v>
      </c>
      <c r="I110" s="14">
        <v>9</v>
      </c>
      <c r="J110" s="14">
        <v>8</v>
      </c>
      <c r="K110" s="13" t="s">
        <v>1304</v>
      </c>
      <c r="L110" s="15" t="s">
        <v>114</v>
      </c>
      <c r="M110" s="15">
        <v>3067</v>
      </c>
      <c r="N110" s="15">
        <v>1252</v>
      </c>
      <c r="O110" s="15">
        <v>330670</v>
      </c>
      <c r="P110" s="15">
        <v>1012520</v>
      </c>
    </row>
    <row r="111" spans="1:16" ht="25.5" customHeight="1" x14ac:dyDescent="0.25">
      <c r="A111" s="11" t="s">
        <v>1274</v>
      </c>
      <c r="B111" s="14" t="s">
        <v>34</v>
      </c>
      <c r="C111" s="10" t="s">
        <v>1050</v>
      </c>
      <c r="D111" s="13" t="s">
        <v>1048</v>
      </c>
      <c r="E111" s="14" t="s">
        <v>469</v>
      </c>
      <c r="F111" s="14" t="s">
        <v>35</v>
      </c>
      <c r="G111" s="13"/>
      <c r="H111" s="14">
        <f t="shared" si="5"/>
        <v>2</v>
      </c>
      <c r="I111" s="14">
        <v>2</v>
      </c>
      <c r="J111" s="14">
        <v>2</v>
      </c>
      <c r="K111" s="13" t="s">
        <v>1053</v>
      </c>
      <c r="L111" s="15" t="s">
        <v>114</v>
      </c>
      <c r="M111" s="15">
        <v>4257</v>
      </c>
      <c r="N111" s="15">
        <v>2761</v>
      </c>
      <c r="O111" s="15">
        <v>342570</v>
      </c>
      <c r="P111" s="15">
        <v>1027610</v>
      </c>
    </row>
    <row r="112" spans="1:16" ht="25.5" customHeight="1" x14ac:dyDescent="0.25">
      <c r="A112" s="11" t="s">
        <v>1274</v>
      </c>
      <c r="B112" s="14" t="s">
        <v>34</v>
      </c>
      <c r="C112" s="10" t="s">
        <v>131</v>
      </c>
      <c r="D112" s="13" t="s">
        <v>1065</v>
      </c>
      <c r="E112" s="13" t="s">
        <v>132</v>
      </c>
      <c r="F112" s="14" t="s">
        <v>35</v>
      </c>
      <c r="G112" s="13">
        <v>1</v>
      </c>
      <c r="H112" s="14">
        <f t="shared" si="5"/>
        <v>7</v>
      </c>
      <c r="I112" s="14">
        <v>6</v>
      </c>
      <c r="J112" s="14">
        <v>3</v>
      </c>
      <c r="K112" s="13" t="s">
        <v>1066</v>
      </c>
      <c r="L112" s="15" t="s">
        <v>133</v>
      </c>
      <c r="M112" s="15">
        <v>4704</v>
      </c>
      <c r="N112" s="15">
        <v>8449</v>
      </c>
      <c r="O112" s="15">
        <v>347040</v>
      </c>
      <c r="P112" s="15">
        <v>984490</v>
      </c>
    </row>
    <row r="113" spans="1:16" ht="25.5" customHeight="1" x14ac:dyDescent="0.25">
      <c r="A113" s="11" t="s">
        <v>1274</v>
      </c>
      <c r="B113" s="14" t="s">
        <v>34</v>
      </c>
      <c r="C113" s="10" t="s">
        <v>1039</v>
      </c>
      <c r="D113" s="13" t="s">
        <v>1040</v>
      </c>
      <c r="E113" s="13" t="s">
        <v>33</v>
      </c>
      <c r="F113" s="14" t="s">
        <v>35</v>
      </c>
      <c r="G113" s="13">
        <v>2</v>
      </c>
      <c r="H113" s="14">
        <f t="shared" si="5"/>
        <v>2</v>
      </c>
      <c r="J113" s="14">
        <v>1</v>
      </c>
      <c r="K113" s="13" t="s">
        <v>1038</v>
      </c>
      <c r="L113" s="15" t="s">
        <v>114</v>
      </c>
      <c r="M113" s="15">
        <v>3055</v>
      </c>
      <c r="N113" s="15">
        <v>1264</v>
      </c>
      <c r="O113" s="15">
        <v>330550</v>
      </c>
      <c r="P113" s="15">
        <v>1012640</v>
      </c>
    </row>
    <row r="114" spans="1:16" ht="25.5" customHeight="1" x14ac:dyDescent="0.25">
      <c r="A114" s="11" t="s">
        <v>1274</v>
      </c>
      <c r="B114" s="14" t="s">
        <v>34</v>
      </c>
      <c r="C114" s="10" t="s">
        <v>1049</v>
      </c>
      <c r="D114" s="13" t="s">
        <v>1047</v>
      </c>
      <c r="E114" s="13" t="s">
        <v>33</v>
      </c>
      <c r="F114" s="14" t="s">
        <v>35</v>
      </c>
      <c r="G114" s="13"/>
      <c r="H114" s="14">
        <f t="shared" si="5"/>
        <v>1</v>
      </c>
      <c r="I114" s="14">
        <v>1</v>
      </c>
      <c r="J114" s="14">
        <v>1</v>
      </c>
      <c r="K114" s="13" t="s">
        <v>1043</v>
      </c>
      <c r="L114" s="15" t="s">
        <v>114</v>
      </c>
      <c r="M114" s="15">
        <v>4090</v>
      </c>
      <c r="N114" s="15">
        <v>1211</v>
      </c>
      <c r="O114" s="15">
        <v>340900</v>
      </c>
      <c r="P114" s="15">
        <v>1012110</v>
      </c>
    </row>
    <row r="115" spans="1:16" ht="25.5" customHeight="1" x14ac:dyDescent="0.25">
      <c r="A115" s="11" t="s">
        <v>1274</v>
      </c>
      <c r="B115" s="14" t="s">
        <v>99</v>
      </c>
      <c r="C115" s="10" t="s">
        <v>523</v>
      </c>
      <c r="D115" s="13" t="s">
        <v>524</v>
      </c>
      <c r="E115" s="13" t="s">
        <v>974</v>
      </c>
      <c r="F115" s="14" t="s">
        <v>35</v>
      </c>
      <c r="G115" s="13">
        <v>4</v>
      </c>
      <c r="H115" s="14">
        <f t="shared" si="5"/>
        <v>8</v>
      </c>
      <c r="I115" s="14">
        <v>4</v>
      </c>
      <c r="J115" s="14">
        <v>3</v>
      </c>
      <c r="K115" s="13" t="s">
        <v>1263</v>
      </c>
      <c r="L115" s="15" t="s">
        <v>526</v>
      </c>
      <c r="M115" s="15">
        <v>21300</v>
      </c>
      <c r="N115" s="15">
        <v>33017</v>
      </c>
      <c r="O115" s="15">
        <v>121300</v>
      </c>
      <c r="P115" s="15">
        <v>933017</v>
      </c>
    </row>
    <row r="116" spans="1:16" ht="25.5" customHeight="1" x14ac:dyDescent="0.25">
      <c r="A116" s="11" t="s">
        <v>1274</v>
      </c>
      <c r="B116" s="14" t="s">
        <v>170</v>
      </c>
      <c r="C116" s="10" t="s">
        <v>1008</v>
      </c>
      <c r="D116" s="13" t="s">
        <v>1009</v>
      </c>
      <c r="E116" s="14" t="s">
        <v>1010</v>
      </c>
      <c r="F116" s="14" t="s">
        <v>35</v>
      </c>
      <c r="G116" s="13"/>
      <c r="H116" s="14">
        <f t="shared" si="5"/>
        <v>3</v>
      </c>
      <c r="I116" s="14">
        <v>3</v>
      </c>
      <c r="J116" s="14">
        <v>1</v>
      </c>
      <c r="K116" s="13" t="s">
        <v>958</v>
      </c>
      <c r="L116" s="15" t="s">
        <v>169</v>
      </c>
      <c r="M116" s="15">
        <v>6355</v>
      </c>
      <c r="N116" s="15">
        <v>656</v>
      </c>
      <c r="O116" s="15">
        <v>263550</v>
      </c>
      <c r="P116" s="15">
        <v>706560</v>
      </c>
    </row>
    <row r="117" spans="1:16" ht="25.5" customHeight="1" x14ac:dyDescent="0.25">
      <c r="A117" s="11" t="s">
        <v>1274</v>
      </c>
      <c r="B117" s="14" t="s">
        <v>170</v>
      </c>
      <c r="C117" s="10" t="s">
        <v>972</v>
      </c>
      <c r="D117" s="13" t="s">
        <v>973</v>
      </c>
      <c r="E117" s="14" t="s">
        <v>167</v>
      </c>
      <c r="F117" s="14" t="s">
        <v>35</v>
      </c>
      <c r="G117" s="13">
        <v>1</v>
      </c>
      <c r="H117" s="14">
        <f t="shared" si="5"/>
        <v>12</v>
      </c>
      <c r="I117" s="14">
        <v>11</v>
      </c>
      <c r="J117" s="14">
        <v>3</v>
      </c>
      <c r="K117" s="13" t="s">
        <v>1129</v>
      </c>
      <c r="L117" s="15" t="s">
        <v>130</v>
      </c>
      <c r="M117" s="15">
        <v>1633</v>
      </c>
      <c r="N117" s="15">
        <v>4049</v>
      </c>
      <c r="O117" s="15">
        <v>316330</v>
      </c>
      <c r="P117" s="15">
        <v>740490</v>
      </c>
    </row>
    <row r="118" spans="1:16" ht="25.5" customHeight="1" x14ac:dyDescent="0.25">
      <c r="A118" s="11" t="s">
        <v>1274</v>
      </c>
      <c r="B118" s="14" t="s">
        <v>170</v>
      </c>
      <c r="C118" s="10" t="s">
        <v>1012</v>
      </c>
      <c r="D118" s="13" t="s">
        <v>1009</v>
      </c>
      <c r="E118" s="14" t="s">
        <v>167</v>
      </c>
      <c r="F118" s="14" t="s">
        <v>35</v>
      </c>
      <c r="G118" s="13">
        <v>1</v>
      </c>
      <c r="H118" s="14">
        <f t="shared" si="5"/>
        <v>1</v>
      </c>
      <c r="J118" s="14">
        <v>1</v>
      </c>
      <c r="K118" s="13" t="s">
        <v>958</v>
      </c>
      <c r="L118" s="15" t="s">
        <v>130</v>
      </c>
      <c r="M118" s="15">
        <v>17340</v>
      </c>
      <c r="N118" s="15">
        <v>40245</v>
      </c>
      <c r="O118" s="15">
        <v>317340</v>
      </c>
      <c r="P118" s="15">
        <v>740245</v>
      </c>
    </row>
    <row r="119" spans="1:16" ht="25.5" customHeight="1" x14ac:dyDescent="0.25">
      <c r="A119" s="11" t="s">
        <v>1274</v>
      </c>
      <c r="B119" s="14" t="s">
        <v>170</v>
      </c>
      <c r="C119" s="10" t="s">
        <v>1006</v>
      </c>
      <c r="D119" s="13" t="s">
        <v>1007</v>
      </c>
      <c r="E119" s="14" t="s">
        <v>167</v>
      </c>
      <c r="F119" s="14" t="s">
        <v>35</v>
      </c>
      <c r="G119" s="13"/>
      <c r="H119" s="14">
        <f t="shared" si="5"/>
        <v>2</v>
      </c>
      <c r="I119" s="14">
        <v>2</v>
      </c>
      <c r="J119" s="14">
        <v>1</v>
      </c>
      <c r="K119" s="13" t="s">
        <v>1005</v>
      </c>
      <c r="L119" s="15" t="s">
        <v>169</v>
      </c>
      <c r="M119" s="15">
        <v>9285</v>
      </c>
      <c r="N119" s="15">
        <v>1625</v>
      </c>
      <c r="O119" s="15">
        <v>292850</v>
      </c>
      <c r="P119" s="15">
        <v>716250</v>
      </c>
    </row>
    <row r="120" spans="1:16" ht="25.5" customHeight="1" x14ac:dyDescent="0.25">
      <c r="A120" s="11" t="s">
        <v>1274</v>
      </c>
      <c r="B120" s="14" t="s">
        <v>170</v>
      </c>
      <c r="C120" s="10" t="s">
        <v>275</v>
      </c>
      <c r="D120" s="13" t="s">
        <v>278</v>
      </c>
      <c r="E120" s="14" t="s">
        <v>167</v>
      </c>
      <c r="F120" s="14" t="s">
        <v>35</v>
      </c>
      <c r="G120" s="13">
        <v>2</v>
      </c>
      <c r="H120" s="14">
        <f t="shared" ref="H120:H141" si="6">SUM(G120,I120)</f>
        <v>7</v>
      </c>
      <c r="I120" s="14">
        <v>5</v>
      </c>
      <c r="J120" s="14">
        <v>5</v>
      </c>
      <c r="K120" s="13" t="s">
        <v>971</v>
      </c>
      <c r="L120" s="15" t="s">
        <v>169</v>
      </c>
      <c r="M120" s="15">
        <v>9287</v>
      </c>
      <c r="N120" s="15">
        <v>5337</v>
      </c>
      <c r="O120" s="15">
        <v>292870</v>
      </c>
      <c r="P120" s="15">
        <v>753370</v>
      </c>
    </row>
    <row r="121" spans="1:16" ht="25.5" customHeight="1" x14ac:dyDescent="0.25">
      <c r="A121" s="11" t="s">
        <v>1274</v>
      </c>
      <c r="B121" s="14" t="s">
        <v>1031</v>
      </c>
      <c r="C121" s="10" t="s">
        <v>1032</v>
      </c>
      <c r="D121" s="13" t="s">
        <v>1033</v>
      </c>
      <c r="E121" s="14" t="s">
        <v>236</v>
      </c>
      <c r="F121" s="14" t="s">
        <v>35</v>
      </c>
      <c r="G121" s="13"/>
      <c r="H121" s="14">
        <f t="shared" si="6"/>
        <v>1</v>
      </c>
      <c r="I121" s="14">
        <v>1</v>
      </c>
      <c r="J121" s="14">
        <v>1</v>
      </c>
      <c r="K121" s="13" t="s">
        <v>1029</v>
      </c>
      <c r="L121" s="15" t="s">
        <v>120</v>
      </c>
      <c r="M121" s="15">
        <v>684</v>
      </c>
      <c r="N121" s="15">
        <v>493</v>
      </c>
      <c r="O121" s="15">
        <v>168400</v>
      </c>
      <c r="P121" s="15">
        <v>849300</v>
      </c>
    </row>
    <row r="122" spans="1:16" ht="25.5" customHeight="1" x14ac:dyDescent="0.25">
      <c r="A122" s="11" t="s">
        <v>1274</v>
      </c>
      <c r="B122" s="14" t="s">
        <v>319</v>
      </c>
      <c r="C122" s="10" t="s">
        <v>315</v>
      </c>
      <c r="D122" s="13" t="s">
        <v>1278</v>
      </c>
      <c r="E122" s="14" t="s">
        <v>319</v>
      </c>
      <c r="F122" s="14" t="s">
        <v>35</v>
      </c>
      <c r="G122" s="13">
        <v>2</v>
      </c>
      <c r="H122" s="14">
        <f t="shared" si="6"/>
        <v>2</v>
      </c>
      <c r="J122" s="14">
        <v>2</v>
      </c>
      <c r="K122" s="13" t="s">
        <v>1027</v>
      </c>
      <c r="L122" s="15" t="s">
        <v>318</v>
      </c>
      <c r="M122" s="15">
        <v>42287</v>
      </c>
      <c r="N122" s="15">
        <v>62792</v>
      </c>
      <c r="O122" s="15">
        <v>442287</v>
      </c>
      <c r="P122" s="15">
        <v>1162792</v>
      </c>
    </row>
    <row r="123" spans="1:16" ht="25.5" customHeight="1" x14ac:dyDescent="0.25">
      <c r="A123" s="11" t="s">
        <v>1274</v>
      </c>
      <c r="B123" s="14" t="s">
        <v>55</v>
      </c>
      <c r="C123" s="10" t="s">
        <v>976</v>
      </c>
      <c r="D123" s="13" t="s">
        <v>151</v>
      </c>
      <c r="E123" s="14" t="s">
        <v>58</v>
      </c>
      <c r="F123" s="14" t="s">
        <v>56</v>
      </c>
      <c r="G123" s="13">
        <v>1</v>
      </c>
      <c r="H123" s="14">
        <f t="shared" si="6"/>
        <v>1</v>
      </c>
      <c r="J123" s="14">
        <v>1</v>
      </c>
      <c r="K123" s="13" t="s">
        <v>44</v>
      </c>
      <c r="L123" s="15" t="s">
        <v>153</v>
      </c>
      <c r="M123" s="15">
        <v>145</v>
      </c>
      <c r="N123" s="15">
        <v>325</v>
      </c>
      <c r="O123" s="15">
        <v>214500</v>
      </c>
      <c r="P123" s="15">
        <v>232500</v>
      </c>
    </row>
    <row r="124" spans="1:16" ht="25.5" customHeight="1" x14ac:dyDescent="0.25">
      <c r="A124" s="11" t="s">
        <v>1274</v>
      </c>
      <c r="B124" s="14" t="s">
        <v>55</v>
      </c>
      <c r="C124" s="10" t="s">
        <v>1102</v>
      </c>
      <c r="D124" s="13" t="s">
        <v>220</v>
      </c>
      <c r="E124" s="14" t="s">
        <v>57</v>
      </c>
      <c r="F124" s="14" t="s">
        <v>56</v>
      </c>
      <c r="G124" s="13"/>
      <c r="H124" s="14">
        <f t="shared" si="6"/>
        <v>1</v>
      </c>
      <c r="I124" s="14">
        <v>1</v>
      </c>
      <c r="J124" s="14">
        <v>1</v>
      </c>
      <c r="K124" s="13" t="s">
        <v>322</v>
      </c>
      <c r="L124" s="15" t="s">
        <v>184</v>
      </c>
      <c r="M124" s="15">
        <v>94808</v>
      </c>
      <c r="N124" s="15">
        <v>39042</v>
      </c>
      <c r="O124" s="15">
        <v>194808</v>
      </c>
      <c r="P124" s="15">
        <v>239042</v>
      </c>
    </row>
    <row r="125" spans="1:16" ht="25.5" customHeight="1" x14ac:dyDescent="0.25">
      <c r="A125" s="11" t="s">
        <v>1274</v>
      </c>
      <c r="B125" s="14" t="s">
        <v>55</v>
      </c>
      <c r="C125" s="10" t="s">
        <v>734</v>
      </c>
      <c r="D125" s="13" t="s">
        <v>41</v>
      </c>
      <c r="E125" s="14" t="s">
        <v>57</v>
      </c>
      <c r="F125" s="14" t="s">
        <v>56</v>
      </c>
      <c r="G125" s="13"/>
      <c r="H125" s="14">
        <f t="shared" si="6"/>
        <v>4</v>
      </c>
      <c r="I125" s="14">
        <v>4</v>
      </c>
      <c r="J125" s="14">
        <v>4</v>
      </c>
      <c r="K125" s="13" t="s">
        <v>1106</v>
      </c>
      <c r="L125" s="15" t="s">
        <v>153</v>
      </c>
      <c r="M125" s="15">
        <v>998</v>
      </c>
      <c r="N125" s="15">
        <v>3698</v>
      </c>
      <c r="O125" s="15">
        <v>209980</v>
      </c>
      <c r="P125" s="15">
        <v>236980</v>
      </c>
    </row>
    <row r="126" spans="1:16" ht="25.5" customHeight="1" x14ac:dyDescent="0.25">
      <c r="A126" s="11" t="s">
        <v>1274</v>
      </c>
      <c r="B126" s="14" t="s">
        <v>55</v>
      </c>
      <c r="C126" s="10" t="s">
        <v>58</v>
      </c>
      <c r="D126" s="13" t="s">
        <v>151</v>
      </c>
      <c r="E126" s="14" t="s">
        <v>57</v>
      </c>
      <c r="F126" s="14" t="s">
        <v>56</v>
      </c>
      <c r="G126" s="13">
        <v>3</v>
      </c>
      <c r="H126" s="14">
        <f t="shared" si="6"/>
        <v>4</v>
      </c>
      <c r="I126" s="14">
        <v>1</v>
      </c>
      <c r="J126" s="14">
        <v>3</v>
      </c>
      <c r="K126" s="13" t="s">
        <v>1199</v>
      </c>
      <c r="L126" s="15" t="s">
        <v>153</v>
      </c>
      <c r="M126" s="15">
        <v>211</v>
      </c>
      <c r="N126" s="15">
        <v>326</v>
      </c>
      <c r="O126" s="15">
        <v>211100</v>
      </c>
      <c r="P126" s="15">
        <v>232600</v>
      </c>
    </row>
    <row r="127" spans="1:16" ht="25.5" customHeight="1" x14ac:dyDescent="0.25">
      <c r="A127" s="11" t="s">
        <v>1274</v>
      </c>
      <c r="B127" s="14" t="s">
        <v>593</v>
      </c>
      <c r="C127" s="10" t="s">
        <v>1118</v>
      </c>
      <c r="D127" s="13" t="s">
        <v>41</v>
      </c>
      <c r="E127" s="14" t="s">
        <v>624</v>
      </c>
      <c r="F127" s="14" t="s">
        <v>56</v>
      </c>
      <c r="G127" s="13"/>
      <c r="H127" s="14">
        <f t="shared" si="6"/>
        <v>1</v>
      </c>
      <c r="I127" s="14">
        <v>1</v>
      </c>
      <c r="J127" s="14">
        <v>1</v>
      </c>
      <c r="K127" s="13" t="s">
        <v>358</v>
      </c>
      <c r="L127" s="15" t="s">
        <v>596</v>
      </c>
      <c r="M127" s="15">
        <v>5373</v>
      </c>
      <c r="N127" s="15">
        <v>8982</v>
      </c>
      <c r="O127" s="15">
        <v>253730</v>
      </c>
      <c r="P127" s="15">
        <v>189820</v>
      </c>
    </row>
    <row r="128" spans="1:16" ht="25.5" customHeight="1" x14ac:dyDescent="0.25">
      <c r="A128" s="11" t="s">
        <v>1274</v>
      </c>
      <c r="B128" s="14" t="s">
        <v>161</v>
      </c>
      <c r="C128" s="10" t="s">
        <v>422</v>
      </c>
      <c r="D128" s="13" t="s">
        <v>41</v>
      </c>
      <c r="E128" s="14" t="s">
        <v>301</v>
      </c>
      <c r="F128" s="14" t="s">
        <v>56</v>
      </c>
      <c r="G128" s="13">
        <v>2</v>
      </c>
      <c r="H128" s="14">
        <f t="shared" si="6"/>
        <v>7</v>
      </c>
      <c r="I128" s="14">
        <v>5</v>
      </c>
      <c r="J128" s="14">
        <v>4</v>
      </c>
      <c r="K128" s="13" t="s">
        <v>1324</v>
      </c>
      <c r="L128" s="15" t="s">
        <v>164</v>
      </c>
      <c r="M128" s="15">
        <v>32895</v>
      </c>
      <c r="N128" s="15">
        <v>70723</v>
      </c>
      <c r="O128" s="15">
        <v>232895</v>
      </c>
      <c r="P128" s="15">
        <v>370723</v>
      </c>
    </row>
    <row r="129" spans="1:16" ht="25.5" customHeight="1" x14ac:dyDescent="0.25">
      <c r="A129" s="11" t="s">
        <v>1274</v>
      </c>
      <c r="B129" s="14" t="s">
        <v>161</v>
      </c>
      <c r="C129" s="10" t="s">
        <v>423</v>
      </c>
      <c r="D129" s="13" t="s">
        <v>41</v>
      </c>
      <c r="E129" s="14" t="s">
        <v>301</v>
      </c>
      <c r="F129" s="14" t="s">
        <v>56</v>
      </c>
      <c r="G129" s="13">
        <v>4</v>
      </c>
      <c r="H129" s="14">
        <f t="shared" si="6"/>
        <v>10</v>
      </c>
      <c r="I129" s="14">
        <v>6</v>
      </c>
      <c r="J129" s="14">
        <v>7</v>
      </c>
      <c r="K129" s="13" t="s">
        <v>1323</v>
      </c>
      <c r="L129" s="15" t="s">
        <v>164</v>
      </c>
      <c r="M129" s="15">
        <v>50761</v>
      </c>
      <c r="N129" s="15">
        <v>70185</v>
      </c>
      <c r="O129" s="15">
        <v>250761</v>
      </c>
      <c r="P129" s="15">
        <v>370185</v>
      </c>
    </row>
    <row r="130" spans="1:16" ht="25.5" customHeight="1" x14ac:dyDescent="0.25">
      <c r="A130" s="11" t="s">
        <v>1274</v>
      </c>
      <c r="B130" s="14" t="s">
        <v>161</v>
      </c>
      <c r="C130" s="10" t="s">
        <v>223</v>
      </c>
      <c r="D130" s="13" t="s">
        <v>220</v>
      </c>
      <c r="E130" s="14" t="s">
        <v>225</v>
      </c>
      <c r="F130" s="14" t="s">
        <v>56</v>
      </c>
      <c r="G130" s="13">
        <v>1</v>
      </c>
      <c r="H130" s="14">
        <f t="shared" si="6"/>
        <v>3</v>
      </c>
      <c r="I130" s="14">
        <v>2</v>
      </c>
      <c r="J130" s="14">
        <v>1</v>
      </c>
      <c r="K130" s="13" t="s">
        <v>1103</v>
      </c>
      <c r="L130" s="15" t="s">
        <v>164</v>
      </c>
      <c r="M130" s="15">
        <v>5886</v>
      </c>
      <c r="N130" s="15">
        <v>2284</v>
      </c>
      <c r="O130" s="15">
        <v>258860</v>
      </c>
      <c r="P130" s="15">
        <v>322840</v>
      </c>
    </row>
    <row r="131" spans="1:16" ht="25.5" customHeight="1" x14ac:dyDescent="0.25">
      <c r="A131" s="11" t="s">
        <v>1274</v>
      </c>
      <c r="B131" s="14" t="s">
        <v>161</v>
      </c>
      <c r="C131" s="10" t="s">
        <v>420</v>
      </c>
      <c r="D131" s="13" t="s">
        <v>41</v>
      </c>
      <c r="E131" s="14" t="s">
        <v>301</v>
      </c>
      <c r="F131" s="14" t="s">
        <v>56</v>
      </c>
      <c r="G131" s="13"/>
      <c r="H131" s="14">
        <f t="shared" si="6"/>
        <v>2</v>
      </c>
      <c r="I131" s="14">
        <v>2</v>
      </c>
      <c r="J131" s="14">
        <v>2</v>
      </c>
      <c r="K131" s="13" t="s">
        <v>1114</v>
      </c>
      <c r="L131" s="15" t="s">
        <v>164</v>
      </c>
      <c r="M131" s="15">
        <v>25858</v>
      </c>
      <c r="N131" s="15">
        <v>80546</v>
      </c>
      <c r="O131" s="15">
        <v>225858</v>
      </c>
      <c r="P131" s="15">
        <v>380546</v>
      </c>
    </row>
    <row r="132" spans="1:16" ht="25.5" customHeight="1" x14ac:dyDescent="0.25">
      <c r="A132" s="11" t="s">
        <v>1274</v>
      </c>
      <c r="B132" s="14" t="s">
        <v>66</v>
      </c>
      <c r="C132" s="10" t="s">
        <v>1142</v>
      </c>
      <c r="D132" s="13" t="s">
        <v>17</v>
      </c>
      <c r="E132" s="14" t="s">
        <v>570</v>
      </c>
      <c r="F132" s="14" t="s">
        <v>56</v>
      </c>
      <c r="G132" s="13">
        <v>1</v>
      </c>
      <c r="H132" s="14">
        <f t="shared" si="6"/>
        <v>5</v>
      </c>
      <c r="I132" s="14">
        <v>4</v>
      </c>
      <c r="J132" s="14">
        <v>2</v>
      </c>
      <c r="K132" s="13" t="s">
        <v>769</v>
      </c>
      <c r="L132" s="15" t="s">
        <v>189</v>
      </c>
      <c r="M132" s="15">
        <v>219</v>
      </c>
      <c r="N132" s="15">
        <v>49</v>
      </c>
      <c r="O132" s="15">
        <v>321900</v>
      </c>
      <c r="P132" s="15">
        <v>304900</v>
      </c>
    </row>
    <row r="133" spans="1:16" ht="25.5" customHeight="1" x14ac:dyDescent="0.25">
      <c r="A133" s="11" t="s">
        <v>1274</v>
      </c>
      <c r="B133" s="14" t="s">
        <v>66</v>
      </c>
      <c r="C133" s="10" t="s">
        <v>273</v>
      </c>
      <c r="D133" s="13" t="s">
        <v>41</v>
      </c>
      <c r="E133" s="14" t="s">
        <v>274</v>
      </c>
      <c r="F133" s="14" t="s">
        <v>56</v>
      </c>
      <c r="G133" s="13"/>
      <c r="H133" s="14">
        <f t="shared" si="6"/>
        <v>2</v>
      </c>
      <c r="I133" s="14">
        <v>2</v>
      </c>
      <c r="J133" s="14">
        <v>1</v>
      </c>
      <c r="K133" s="13" t="s">
        <v>396</v>
      </c>
      <c r="L133" s="15" t="s">
        <v>113</v>
      </c>
      <c r="M133" s="15">
        <v>1819</v>
      </c>
      <c r="N133" s="15">
        <v>2905</v>
      </c>
      <c r="O133" s="15">
        <v>318190</v>
      </c>
      <c r="P133" s="15">
        <v>229050</v>
      </c>
    </row>
    <row r="134" spans="1:16" ht="25.5" customHeight="1" x14ac:dyDescent="0.25">
      <c r="A134" s="11" t="s">
        <v>1274</v>
      </c>
      <c r="B134" s="14" t="s">
        <v>778</v>
      </c>
      <c r="C134" s="10" t="s">
        <v>1206</v>
      </c>
      <c r="D134" s="13" t="s">
        <v>1207</v>
      </c>
      <c r="E134" s="14" t="s">
        <v>1208</v>
      </c>
      <c r="F134" s="13" t="s">
        <v>776</v>
      </c>
      <c r="G134" s="13"/>
      <c r="H134" s="14">
        <f t="shared" si="6"/>
        <v>1</v>
      </c>
      <c r="I134" s="14">
        <v>1</v>
      </c>
      <c r="J134" s="14">
        <v>1</v>
      </c>
      <c r="K134" s="13" t="s">
        <v>893</v>
      </c>
      <c r="L134" s="15" t="s">
        <v>782</v>
      </c>
      <c r="M134" s="15">
        <v>463</v>
      </c>
      <c r="N134" s="15">
        <v>979</v>
      </c>
      <c r="O134" s="15">
        <v>346300</v>
      </c>
      <c r="P134" s="15">
        <v>397900</v>
      </c>
    </row>
    <row r="135" spans="1:16" ht="25.5" customHeight="1" x14ac:dyDescent="0.25">
      <c r="A135" s="11" t="s">
        <v>1274</v>
      </c>
      <c r="B135" s="14" t="s">
        <v>778</v>
      </c>
      <c r="C135" s="10" t="s">
        <v>1228</v>
      </c>
      <c r="D135" s="13" t="s">
        <v>780</v>
      </c>
      <c r="E135" s="14" t="s">
        <v>1230</v>
      </c>
      <c r="F135" s="13" t="s">
        <v>776</v>
      </c>
      <c r="G135" s="13"/>
      <c r="H135" s="14">
        <f t="shared" si="6"/>
        <v>1</v>
      </c>
      <c r="I135" s="14">
        <v>1</v>
      </c>
      <c r="J135" s="14">
        <v>1</v>
      </c>
      <c r="K135" s="13" t="s">
        <v>1229</v>
      </c>
      <c r="L135" s="15" t="s">
        <v>781</v>
      </c>
      <c r="M135" s="15">
        <v>141</v>
      </c>
      <c r="N135" s="15">
        <v>18</v>
      </c>
      <c r="O135" s="15">
        <v>314100</v>
      </c>
      <c r="P135" s="15">
        <v>401800</v>
      </c>
    </row>
    <row r="136" spans="1:16" ht="25.5" customHeight="1" x14ac:dyDescent="0.25">
      <c r="A136" s="11" t="s">
        <v>1274</v>
      </c>
      <c r="B136" s="14" t="s">
        <v>778</v>
      </c>
      <c r="C136" s="10" t="s">
        <v>779</v>
      </c>
      <c r="D136" s="13" t="s">
        <v>780</v>
      </c>
      <c r="E136" s="14" t="s">
        <v>1023</v>
      </c>
      <c r="F136" s="13" t="s">
        <v>776</v>
      </c>
      <c r="G136" s="13"/>
      <c r="H136" s="14">
        <f t="shared" si="6"/>
        <v>2</v>
      </c>
      <c r="I136" s="14">
        <v>2</v>
      </c>
      <c r="J136" s="14">
        <v>1</v>
      </c>
      <c r="K136" s="13" t="s">
        <v>1229</v>
      </c>
      <c r="L136" s="15" t="s">
        <v>781</v>
      </c>
      <c r="M136" s="15">
        <v>215</v>
      </c>
      <c r="N136" s="15">
        <v>1830</v>
      </c>
      <c r="O136" s="15">
        <v>302150</v>
      </c>
      <c r="P136" s="15">
        <v>418300</v>
      </c>
    </row>
    <row r="137" spans="1:16" ht="25.5" customHeight="1" x14ac:dyDescent="0.25">
      <c r="A137" s="11" t="s">
        <v>1274</v>
      </c>
      <c r="B137" s="14" t="s">
        <v>778</v>
      </c>
      <c r="C137" s="10" t="s">
        <v>1287</v>
      </c>
      <c r="D137" s="13" t="s">
        <v>151</v>
      </c>
      <c r="E137" s="14" t="s">
        <v>778</v>
      </c>
      <c r="F137" s="13" t="s">
        <v>776</v>
      </c>
      <c r="G137" s="13">
        <v>2</v>
      </c>
      <c r="H137" s="14">
        <f t="shared" si="6"/>
        <v>2</v>
      </c>
      <c r="J137" s="14">
        <v>2</v>
      </c>
      <c r="K137" s="13" t="s">
        <v>1308</v>
      </c>
      <c r="L137" s="15" t="s">
        <v>781</v>
      </c>
      <c r="M137" s="15">
        <v>148</v>
      </c>
      <c r="N137" s="15">
        <v>510</v>
      </c>
      <c r="O137" s="15">
        <v>314800</v>
      </c>
      <c r="P137" s="15">
        <v>451000</v>
      </c>
    </row>
    <row r="138" spans="1:16" ht="25.5" customHeight="1" x14ac:dyDescent="0.25">
      <c r="A138" s="11" t="s">
        <v>1274</v>
      </c>
      <c r="B138" s="14" t="s">
        <v>778</v>
      </c>
      <c r="C138" s="10" t="s">
        <v>943</v>
      </c>
      <c r="D138" s="13" t="s">
        <v>151</v>
      </c>
      <c r="E138" s="14" t="s">
        <v>778</v>
      </c>
      <c r="F138" s="13" t="s">
        <v>776</v>
      </c>
      <c r="G138" s="13">
        <v>2</v>
      </c>
      <c r="H138" s="14">
        <f t="shared" si="6"/>
        <v>2</v>
      </c>
      <c r="J138" s="14">
        <v>2</v>
      </c>
      <c r="K138" s="13" t="s">
        <v>1308</v>
      </c>
      <c r="L138" s="15" t="s">
        <v>781</v>
      </c>
      <c r="M138" s="15">
        <v>193</v>
      </c>
      <c r="N138" s="15">
        <v>268</v>
      </c>
      <c r="O138" s="15">
        <v>319300</v>
      </c>
      <c r="P138" s="15">
        <v>426800</v>
      </c>
    </row>
    <row r="139" spans="1:16" ht="25.5" customHeight="1" x14ac:dyDescent="0.25">
      <c r="A139" s="11" t="s">
        <v>1274</v>
      </c>
      <c r="B139" s="14" t="s">
        <v>1099</v>
      </c>
      <c r="C139" s="10" t="s">
        <v>1291</v>
      </c>
      <c r="D139" s="13" t="s">
        <v>8</v>
      </c>
      <c r="E139" s="14" t="s">
        <v>1292</v>
      </c>
      <c r="F139" s="13" t="s">
        <v>776</v>
      </c>
      <c r="G139" s="13"/>
      <c r="H139" s="14">
        <f t="shared" si="6"/>
        <v>1</v>
      </c>
      <c r="I139" s="14">
        <v>1</v>
      </c>
      <c r="J139" s="14">
        <v>1</v>
      </c>
      <c r="K139" s="13" t="s">
        <v>1286</v>
      </c>
      <c r="L139" s="15" t="s">
        <v>782</v>
      </c>
      <c r="M139" s="15">
        <v>481</v>
      </c>
      <c r="N139" s="15">
        <v>404</v>
      </c>
      <c r="O139" s="15">
        <v>348100</v>
      </c>
      <c r="P139" s="15">
        <v>340400</v>
      </c>
    </row>
    <row r="140" spans="1:16" ht="25.5" customHeight="1" x14ac:dyDescent="0.25">
      <c r="A140" s="11" t="s">
        <v>1274</v>
      </c>
      <c r="B140" s="14" t="s">
        <v>1099</v>
      </c>
      <c r="C140" s="10" t="s">
        <v>1101</v>
      </c>
      <c r="D140" s="13" t="s">
        <v>18</v>
      </c>
      <c r="E140" s="14" t="s">
        <v>1100</v>
      </c>
      <c r="F140" s="13" t="s">
        <v>776</v>
      </c>
      <c r="G140" s="13">
        <v>2</v>
      </c>
      <c r="H140" s="14">
        <f t="shared" si="6"/>
        <v>4</v>
      </c>
      <c r="I140" s="14">
        <v>2</v>
      </c>
      <c r="J140" s="14">
        <v>4</v>
      </c>
      <c r="K140" s="13" t="s">
        <v>1295</v>
      </c>
      <c r="L140" s="15" t="s">
        <v>782</v>
      </c>
      <c r="M140" s="15">
        <v>327</v>
      </c>
      <c r="N140" s="15">
        <v>677</v>
      </c>
      <c r="O140" s="15">
        <v>332700</v>
      </c>
      <c r="P140" s="15">
        <v>367700</v>
      </c>
    </row>
    <row r="141" spans="1:16" ht="25.5" customHeight="1" x14ac:dyDescent="0.25">
      <c r="A141" s="11" t="s">
        <v>1274</v>
      </c>
      <c r="B141" s="14" t="s">
        <v>1264</v>
      </c>
      <c r="C141" s="10" t="s">
        <v>1265</v>
      </c>
      <c r="D141" s="13" t="s">
        <v>1266</v>
      </c>
      <c r="E141" s="14" t="s">
        <v>1264</v>
      </c>
      <c r="F141" s="13" t="s">
        <v>776</v>
      </c>
      <c r="G141" s="13"/>
      <c r="H141" s="14">
        <f t="shared" si="6"/>
        <v>4</v>
      </c>
      <c r="I141" s="14">
        <v>4</v>
      </c>
      <c r="J141" s="14">
        <v>2</v>
      </c>
      <c r="K141" s="13" t="s">
        <v>1285</v>
      </c>
      <c r="L141" s="15" t="s">
        <v>992</v>
      </c>
      <c r="M141" s="15">
        <v>685</v>
      </c>
      <c r="N141" s="15">
        <v>842</v>
      </c>
      <c r="O141" s="15">
        <v>268500</v>
      </c>
      <c r="P141" s="15">
        <v>384200</v>
      </c>
    </row>
    <row r="142" spans="1:16" ht="25.5" customHeight="1" x14ac:dyDescent="0.25">
      <c r="A142" s="11" t="s">
        <v>1274</v>
      </c>
      <c r="B142" s="14" t="s">
        <v>980</v>
      </c>
      <c r="C142" s="10" t="s">
        <v>978</v>
      </c>
      <c r="D142" s="13" t="s">
        <v>41</v>
      </c>
      <c r="E142" s="14" t="s">
        <v>980</v>
      </c>
      <c r="F142" s="13" t="s">
        <v>773</v>
      </c>
      <c r="G142" s="13"/>
      <c r="H142" s="14">
        <f>SUM(G142,I142)</f>
        <v>1</v>
      </c>
      <c r="I142" s="14">
        <v>1</v>
      </c>
      <c r="J142" s="14">
        <v>1</v>
      </c>
      <c r="K142" s="13" t="s">
        <v>979</v>
      </c>
      <c r="L142" s="15" t="s">
        <v>668</v>
      </c>
      <c r="M142" s="15">
        <v>724</v>
      </c>
      <c r="N142" s="15">
        <v>771</v>
      </c>
      <c r="O142" s="15">
        <v>272400</v>
      </c>
      <c r="P142" s="15">
        <v>177100</v>
      </c>
    </row>
    <row r="143" spans="1:16" ht="25.5" customHeight="1" x14ac:dyDescent="0.25">
      <c r="A143" s="11" t="s">
        <v>1274</v>
      </c>
      <c r="B143" s="14" t="s">
        <v>1157</v>
      </c>
      <c r="C143" s="10" t="s">
        <v>1158</v>
      </c>
      <c r="D143" s="13" t="s">
        <v>1159</v>
      </c>
      <c r="E143" s="14" t="s">
        <v>1209</v>
      </c>
      <c r="F143" s="13" t="s">
        <v>773</v>
      </c>
      <c r="G143" s="13"/>
      <c r="H143" s="14">
        <f>SUM(G143,I143)</f>
        <v>5</v>
      </c>
      <c r="I143" s="14">
        <v>5</v>
      </c>
      <c r="J143" s="14">
        <v>3</v>
      </c>
      <c r="K143" s="13" t="s">
        <v>1236</v>
      </c>
      <c r="L143" s="15" t="s">
        <v>1160</v>
      </c>
      <c r="M143" s="15">
        <v>235</v>
      </c>
      <c r="N143" s="15">
        <v>4</v>
      </c>
      <c r="O143" s="15">
        <v>123500</v>
      </c>
      <c r="P143" s="15">
        <v>200400</v>
      </c>
    </row>
    <row r="144" spans="1:16" ht="25.5" customHeight="1" x14ac:dyDescent="0.25">
      <c r="A144" s="11" t="s">
        <v>1274</v>
      </c>
      <c r="B144" s="14" t="s">
        <v>1157</v>
      </c>
      <c r="C144" s="10" t="s">
        <v>1209</v>
      </c>
      <c r="D144" s="13" t="s">
        <v>1210</v>
      </c>
      <c r="E144" s="14" t="s">
        <v>1209</v>
      </c>
      <c r="F144" s="13" t="s">
        <v>773</v>
      </c>
      <c r="G144" s="13"/>
      <c r="H144" s="14">
        <f>SUM(G144,I144)</f>
        <v>3</v>
      </c>
      <c r="I144" s="14">
        <v>3</v>
      </c>
      <c r="J144" s="14">
        <v>1</v>
      </c>
      <c r="K144" s="13" t="s">
        <v>1211</v>
      </c>
      <c r="L144" s="15" t="s">
        <v>1160</v>
      </c>
      <c r="M144" s="15">
        <v>235</v>
      </c>
      <c r="N144" s="15">
        <v>4</v>
      </c>
      <c r="O144" s="15">
        <v>123500</v>
      </c>
      <c r="P144" s="15">
        <v>200400</v>
      </c>
    </row>
    <row r="145" spans="1:16" ht="25.5" customHeight="1" x14ac:dyDescent="0.25">
      <c r="A145" s="11" t="s">
        <v>1274</v>
      </c>
      <c r="B145" s="14" t="s">
        <v>1248</v>
      </c>
      <c r="C145" s="10" t="s">
        <v>1259</v>
      </c>
      <c r="D145" s="13" t="s">
        <v>1260</v>
      </c>
      <c r="E145" s="14" t="s">
        <v>1248</v>
      </c>
      <c r="F145" s="13" t="s">
        <v>773</v>
      </c>
      <c r="G145" s="13"/>
      <c r="H145" s="14">
        <f>SUM(G145,I145)</f>
        <v>2</v>
      </c>
      <c r="I145" s="14">
        <v>2</v>
      </c>
      <c r="J145" s="14">
        <v>1</v>
      </c>
      <c r="K145" s="13" t="s">
        <v>1258</v>
      </c>
      <c r="L145" s="15" t="s">
        <v>670</v>
      </c>
      <c r="M145" s="15">
        <v>246</v>
      </c>
      <c r="N145" s="15">
        <v>351</v>
      </c>
      <c r="O145" s="15">
        <v>124600</v>
      </c>
      <c r="P145" s="15">
        <v>35100</v>
      </c>
    </row>
    <row r="146" spans="1:16" ht="25.5" customHeight="1" x14ac:dyDescent="0.25">
      <c r="A146" s="11" t="s">
        <v>1274</v>
      </c>
      <c r="B146" s="14" t="s">
        <v>1248</v>
      </c>
      <c r="C146" s="10" t="s">
        <v>1251</v>
      </c>
      <c r="D146" s="13" t="s">
        <v>1249</v>
      </c>
      <c r="E146" s="14" t="s">
        <v>1248</v>
      </c>
      <c r="F146" s="13" t="s">
        <v>773</v>
      </c>
      <c r="G146" s="13">
        <v>1</v>
      </c>
      <c r="H146" s="14">
        <f>SUM(G146,I146)</f>
        <v>2</v>
      </c>
      <c r="I146" s="14">
        <v>1</v>
      </c>
      <c r="J146" s="14">
        <v>1</v>
      </c>
      <c r="K146" s="13" t="s">
        <v>1252</v>
      </c>
      <c r="L146" s="15" t="s">
        <v>670</v>
      </c>
      <c r="M146" s="15">
        <v>603</v>
      </c>
      <c r="N146" s="15">
        <v>907</v>
      </c>
      <c r="O146" s="15">
        <v>160300</v>
      </c>
      <c r="P146" s="15">
        <v>90700</v>
      </c>
    </row>
    <row r="147" spans="1:16" ht="25.5" customHeight="1" x14ac:dyDescent="0.25">
      <c r="A147" s="11" t="s">
        <v>1274</v>
      </c>
      <c r="B147" s="14" t="s">
        <v>785</v>
      </c>
      <c r="C147" s="10" t="s">
        <v>1204</v>
      </c>
      <c r="D147" s="13" t="s">
        <v>780</v>
      </c>
      <c r="E147" s="14" t="s">
        <v>1205</v>
      </c>
      <c r="F147" s="13" t="s">
        <v>773</v>
      </c>
      <c r="G147" s="13"/>
      <c r="H147" s="14">
        <f t="shared" ref="H147:H158" si="7">SUM(G147,I147)</f>
        <v>2</v>
      </c>
      <c r="I147" s="14">
        <v>2</v>
      </c>
      <c r="J147" s="14">
        <v>1</v>
      </c>
      <c r="K147" s="13" t="s">
        <v>893</v>
      </c>
      <c r="L147" s="15" t="s">
        <v>802</v>
      </c>
      <c r="M147" s="15">
        <v>97</v>
      </c>
      <c r="N147" s="15">
        <v>381</v>
      </c>
      <c r="O147" s="15">
        <v>109700</v>
      </c>
      <c r="P147" s="15">
        <v>338100</v>
      </c>
    </row>
    <row r="148" spans="1:16" ht="25.5" customHeight="1" x14ac:dyDescent="0.25">
      <c r="A148" s="11" t="s">
        <v>1274</v>
      </c>
      <c r="B148" s="14" t="s">
        <v>795</v>
      </c>
      <c r="C148" s="10" t="s">
        <v>1237</v>
      </c>
      <c r="D148" s="13" t="s">
        <v>1223</v>
      </c>
      <c r="E148" s="14" t="s">
        <v>797</v>
      </c>
      <c r="F148" s="13" t="s">
        <v>773</v>
      </c>
      <c r="G148" s="13">
        <v>2</v>
      </c>
      <c r="H148" s="14">
        <f t="shared" si="7"/>
        <v>8</v>
      </c>
      <c r="I148" s="14">
        <v>6</v>
      </c>
      <c r="J148" s="14">
        <v>5</v>
      </c>
      <c r="K148" s="13" t="s">
        <v>1299</v>
      </c>
      <c r="L148" s="15" t="s">
        <v>798</v>
      </c>
      <c r="M148" s="15">
        <v>24</v>
      </c>
      <c r="N148" s="15">
        <v>737</v>
      </c>
      <c r="O148" s="15">
        <v>302400</v>
      </c>
      <c r="P148" s="15">
        <v>273700</v>
      </c>
    </row>
    <row r="149" spans="1:16" ht="25.5" customHeight="1" x14ac:dyDescent="0.25">
      <c r="A149" s="11" t="s">
        <v>1274</v>
      </c>
      <c r="B149" s="14" t="s">
        <v>795</v>
      </c>
      <c r="C149" s="10" t="s">
        <v>1156</v>
      </c>
      <c r="D149" s="13" t="s">
        <v>41</v>
      </c>
      <c r="E149" s="14" t="s">
        <v>797</v>
      </c>
      <c r="F149" s="13" t="s">
        <v>773</v>
      </c>
      <c r="G149" s="13">
        <v>1</v>
      </c>
      <c r="H149" s="14">
        <f t="shared" si="7"/>
        <v>3</v>
      </c>
      <c r="I149" s="14">
        <v>2</v>
      </c>
      <c r="J149" s="14">
        <v>3</v>
      </c>
      <c r="K149" s="13" t="s">
        <v>1296</v>
      </c>
      <c r="L149" s="15" t="s">
        <v>798</v>
      </c>
      <c r="M149" s="15">
        <v>109</v>
      </c>
      <c r="N149" s="15">
        <v>620</v>
      </c>
      <c r="O149" s="15">
        <v>310900</v>
      </c>
      <c r="P149" s="15">
        <v>262000</v>
      </c>
    </row>
    <row r="150" spans="1:16" ht="25.5" customHeight="1" x14ac:dyDescent="0.25">
      <c r="A150" s="11" t="s">
        <v>1274</v>
      </c>
      <c r="B150" s="14" t="s">
        <v>795</v>
      </c>
      <c r="C150" s="10" t="s">
        <v>983</v>
      </c>
      <c r="D150" s="13" t="s">
        <v>41</v>
      </c>
      <c r="E150" s="14" t="s">
        <v>797</v>
      </c>
      <c r="F150" s="13" t="s">
        <v>773</v>
      </c>
      <c r="G150" s="13">
        <v>5</v>
      </c>
      <c r="H150" s="14">
        <f t="shared" si="7"/>
        <v>28</v>
      </c>
      <c r="I150" s="14">
        <v>23</v>
      </c>
      <c r="J150" s="14">
        <v>11</v>
      </c>
      <c r="K150" s="13" t="s">
        <v>1326</v>
      </c>
      <c r="L150" s="15" t="s">
        <v>667</v>
      </c>
      <c r="M150" s="15">
        <v>996</v>
      </c>
      <c r="N150" s="15">
        <v>735</v>
      </c>
      <c r="O150" s="15">
        <v>299600</v>
      </c>
      <c r="P150" s="15">
        <v>273500</v>
      </c>
    </row>
    <row r="151" spans="1:16" ht="25.5" customHeight="1" x14ac:dyDescent="0.25">
      <c r="A151" s="11" t="s">
        <v>1274</v>
      </c>
      <c r="B151" s="14" t="s">
        <v>795</v>
      </c>
      <c r="C151" s="10" t="s">
        <v>983</v>
      </c>
      <c r="D151" s="13" t="s">
        <v>1212</v>
      </c>
      <c r="E151" s="14" t="s">
        <v>797</v>
      </c>
      <c r="F151" s="13" t="s">
        <v>773</v>
      </c>
      <c r="G151" s="13"/>
      <c r="H151" s="14">
        <f t="shared" si="7"/>
        <v>3</v>
      </c>
      <c r="I151" s="14">
        <v>3</v>
      </c>
      <c r="J151" s="14">
        <v>2</v>
      </c>
      <c r="K151" s="13" t="s">
        <v>1239</v>
      </c>
      <c r="L151" s="15" t="s">
        <v>667</v>
      </c>
      <c r="M151" s="15">
        <v>996</v>
      </c>
      <c r="N151" s="15">
        <v>735</v>
      </c>
      <c r="O151" s="15">
        <v>299600</v>
      </c>
      <c r="P151" s="15">
        <v>273500</v>
      </c>
    </row>
    <row r="152" spans="1:16" ht="25.5" customHeight="1" x14ac:dyDescent="0.25">
      <c r="A152" s="11" t="s">
        <v>1274</v>
      </c>
      <c r="B152" s="14" t="s">
        <v>795</v>
      </c>
      <c r="C152" s="10" t="s">
        <v>799</v>
      </c>
      <c r="D152" s="13" t="s">
        <v>800</v>
      </c>
      <c r="E152" s="14" t="s">
        <v>797</v>
      </c>
      <c r="F152" s="13" t="s">
        <v>773</v>
      </c>
      <c r="G152" s="13">
        <v>2</v>
      </c>
      <c r="H152" s="14">
        <f t="shared" si="7"/>
        <v>3</v>
      </c>
      <c r="I152" s="14">
        <v>1</v>
      </c>
      <c r="J152" s="14">
        <v>2</v>
      </c>
      <c r="K152" s="13" t="s">
        <v>1297</v>
      </c>
      <c r="L152" s="15" t="s">
        <v>667</v>
      </c>
      <c r="M152" s="15">
        <v>585</v>
      </c>
      <c r="N152" s="15">
        <v>775</v>
      </c>
      <c r="O152" s="15">
        <v>258500</v>
      </c>
      <c r="P152" s="15">
        <v>277500</v>
      </c>
    </row>
    <row r="153" spans="1:16" ht="25.5" customHeight="1" x14ac:dyDescent="0.25">
      <c r="A153" s="11" t="s">
        <v>1274</v>
      </c>
      <c r="B153" s="14" t="s">
        <v>795</v>
      </c>
      <c r="C153" s="10" t="s">
        <v>1240</v>
      </c>
      <c r="D153" s="13" t="s">
        <v>18</v>
      </c>
      <c r="E153" s="14" t="s">
        <v>797</v>
      </c>
      <c r="F153" s="13" t="s">
        <v>773</v>
      </c>
      <c r="G153" s="13"/>
      <c r="H153" s="14">
        <f t="shared" si="7"/>
        <v>1</v>
      </c>
      <c r="I153" s="14">
        <v>1</v>
      </c>
      <c r="J153" s="14">
        <v>1</v>
      </c>
      <c r="K153" s="13" t="s">
        <v>1241</v>
      </c>
      <c r="L153" s="15" t="s">
        <v>798</v>
      </c>
      <c r="M153" s="15">
        <v>6</v>
      </c>
      <c r="N153" s="15">
        <v>755</v>
      </c>
      <c r="O153" s="15">
        <v>300600</v>
      </c>
      <c r="P153" s="15">
        <v>275500</v>
      </c>
    </row>
    <row r="154" spans="1:16" ht="25.5" customHeight="1" x14ac:dyDescent="0.25">
      <c r="A154" s="11" t="s">
        <v>1274</v>
      </c>
      <c r="B154" s="14" t="s">
        <v>795</v>
      </c>
      <c r="C154" s="10" t="s">
        <v>796</v>
      </c>
      <c r="D154" s="13" t="s">
        <v>41</v>
      </c>
      <c r="E154" s="14" t="s">
        <v>797</v>
      </c>
      <c r="F154" s="13" t="s">
        <v>773</v>
      </c>
      <c r="G154" s="13">
        <v>15</v>
      </c>
      <c r="H154" s="14">
        <f t="shared" si="7"/>
        <v>47</v>
      </c>
      <c r="I154" s="14">
        <v>32</v>
      </c>
      <c r="J154" s="14">
        <v>26</v>
      </c>
      <c r="K154" s="13" t="s">
        <v>1300</v>
      </c>
      <c r="L154" s="15" t="s">
        <v>798</v>
      </c>
      <c r="M154" s="15">
        <v>6</v>
      </c>
      <c r="N154" s="15">
        <v>727</v>
      </c>
      <c r="O154" s="15">
        <v>300600</v>
      </c>
      <c r="P154" s="15">
        <v>272700</v>
      </c>
    </row>
    <row r="155" spans="1:16" ht="25.5" customHeight="1" x14ac:dyDescent="0.25">
      <c r="A155" s="11" t="s">
        <v>1274</v>
      </c>
      <c r="B155" s="14" t="s">
        <v>795</v>
      </c>
      <c r="C155" s="10" t="s">
        <v>796</v>
      </c>
      <c r="D155" s="13" t="s">
        <v>1212</v>
      </c>
      <c r="E155" s="14" t="s">
        <v>797</v>
      </c>
      <c r="F155" s="13" t="s">
        <v>773</v>
      </c>
      <c r="G155" s="13"/>
      <c r="H155" s="14">
        <f t="shared" si="7"/>
        <v>1</v>
      </c>
      <c r="I155" s="14">
        <v>1</v>
      </c>
      <c r="J155" s="14">
        <v>1</v>
      </c>
      <c r="K155" s="13" t="s">
        <v>1211</v>
      </c>
      <c r="L155" s="15" t="s">
        <v>798</v>
      </c>
      <c r="M155" s="15">
        <v>6</v>
      </c>
      <c r="N155" s="15">
        <v>727</v>
      </c>
      <c r="O155" s="15">
        <v>300600</v>
      </c>
      <c r="P155" s="15">
        <v>272700</v>
      </c>
    </row>
    <row r="156" spans="1:16" ht="25.5" customHeight="1" x14ac:dyDescent="0.25">
      <c r="A156" s="11" t="s">
        <v>1274</v>
      </c>
      <c r="B156" s="14" t="s">
        <v>795</v>
      </c>
      <c r="C156" s="10" t="s">
        <v>1128</v>
      </c>
      <c r="D156" s="13" t="s">
        <v>1278</v>
      </c>
      <c r="E156" s="14" t="s">
        <v>797</v>
      </c>
      <c r="F156" s="13" t="s">
        <v>773</v>
      </c>
      <c r="G156" s="13">
        <v>3</v>
      </c>
      <c r="H156" s="14">
        <f t="shared" si="7"/>
        <v>5</v>
      </c>
      <c r="I156" s="14">
        <v>2</v>
      </c>
      <c r="J156" s="14">
        <v>4</v>
      </c>
      <c r="K156" s="13" t="s">
        <v>1293</v>
      </c>
      <c r="L156" s="15" t="s">
        <v>667</v>
      </c>
      <c r="M156" s="15">
        <v>91917</v>
      </c>
      <c r="N156" s="15">
        <v>59833</v>
      </c>
      <c r="O156" s="15">
        <v>291917</v>
      </c>
      <c r="P156" s="15">
        <v>259833</v>
      </c>
    </row>
    <row r="157" spans="1:16" ht="25.5" customHeight="1" x14ac:dyDescent="0.25">
      <c r="A157" s="11" t="s">
        <v>1274</v>
      </c>
      <c r="B157" s="14" t="s">
        <v>795</v>
      </c>
      <c r="C157" s="10" t="s">
        <v>1213</v>
      </c>
      <c r="D157" s="13" t="s">
        <v>41</v>
      </c>
      <c r="E157" s="14" t="s">
        <v>797</v>
      </c>
      <c r="F157" s="13" t="s">
        <v>773</v>
      </c>
      <c r="G157" s="13"/>
      <c r="H157" s="14">
        <f t="shared" si="7"/>
        <v>1</v>
      </c>
      <c r="I157" s="14">
        <v>1</v>
      </c>
      <c r="J157" s="14">
        <v>1</v>
      </c>
      <c r="K157" s="13" t="s">
        <v>1211</v>
      </c>
      <c r="L157" s="15" t="s">
        <v>798</v>
      </c>
      <c r="M157" s="15">
        <v>23</v>
      </c>
      <c r="N157" s="15">
        <v>758</v>
      </c>
      <c r="O157" s="15">
        <v>302300</v>
      </c>
      <c r="P157" s="15">
        <v>275800</v>
      </c>
    </row>
    <row r="158" spans="1:16" ht="25.5" customHeight="1" x14ac:dyDescent="0.25">
      <c r="A158" s="11" t="s">
        <v>1274</v>
      </c>
      <c r="B158" s="14" t="s">
        <v>989</v>
      </c>
      <c r="C158" s="10" t="s">
        <v>990</v>
      </c>
      <c r="D158" s="13" t="s">
        <v>991</v>
      </c>
      <c r="E158" s="14" t="s">
        <v>984</v>
      </c>
      <c r="F158" s="13" t="s">
        <v>773</v>
      </c>
      <c r="G158" s="13"/>
      <c r="H158" s="14">
        <f t="shared" si="7"/>
        <v>2</v>
      </c>
      <c r="I158" s="14">
        <v>2</v>
      </c>
      <c r="J158" s="14">
        <v>1</v>
      </c>
      <c r="K158" s="13" t="s">
        <v>993</v>
      </c>
      <c r="L158" s="15" t="s">
        <v>992</v>
      </c>
      <c r="M158" s="15">
        <v>938</v>
      </c>
      <c r="N158" s="15">
        <v>47</v>
      </c>
      <c r="O158" s="15">
        <v>293800</v>
      </c>
      <c r="P158" s="15">
        <v>304700</v>
      </c>
    </row>
    <row r="159" spans="1:16" ht="25.5" customHeight="1" x14ac:dyDescent="0.25">
      <c r="A159" s="11" t="s">
        <v>1274</v>
      </c>
      <c r="B159" s="14" t="s">
        <v>772</v>
      </c>
      <c r="C159" s="10" t="s">
        <v>801</v>
      </c>
      <c r="D159" s="13" t="s">
        <v>800</v>
      </c>
      <c r="E159" s="14" t="s">
        <v>772</v>
      </c>
      <c r="F159" s="14" t="s">
        <v>773</v>
      </c>
      <c r="G159" s="13">
        <v>5</v>
      </c>
      <c r="H159" s="14">
        <f t="shared" ref="H159:H167" si="8">SUM(G159,I159)</f>
        <v>7</v>
      </c>
      <c r="I159" s="14">
        <v>2</v>
      </c>
      <c r="J159" s="14">
        <v>6</v>
      </c>
      <c r="K159" s="13" t="s">
        <v>1298</v>
      </c>
      <c r="L159" s="15" t="s">
        <v>802</v>
      </c>
      <c r="M159" s="15">
        <v>755</v>
      </c>
      <c r="N159" s="15">
        <v>115</v>
      </c>
      <c r="O159" s="15">
        <v>175500</v>
      </c>
      <c r="P159" s="15">
        <v>311500</v>
      </c>
    </row>
    <row r="160" spans="1:16" ht="25.5" customHeight="1" x14ac:dyDescent="0.25">
      <c r="A160" s="11" t="s">
        <v>1274</v>
      </c>
      <c r="B160" s="14" t="s">
        <v>772</v>
      </c>
      <c r="C160" s="10" t="s">
        <v>806</v>
      </c>
      <c r="D160" s="13" t="s">
        <v>800</v>
      </c>
      <c r="E160" s="14" t="s">
        <v>1220</v>
      </c>
      <c r="F160" s="14" t="s">
        <v>773</v>
      </c>
      <c r="G160" s="13">
        <v>4</v>
      </c>
      <c r="H160" s="14">
        <f t="shared" si="8"/>
        <v>16</v>
      </c>
      <c r="I160" s="14">
        <v>12</v>
      </c>
      <c r="J160" s="14">
        <v>7</v>
      </c>
      <c r="K160" s="13" t="s">
        <v>1305</v>
      </c>
      <c r="L160" s="15" t="s">
        <v>802</v>
      </c>
      <c r="M160" s="15">
        <v>663</v>
      </c>
      <c r="N160" s="15">
        <v>337</v>
      </c>
      <c r="O160" s="15">
        <v>166300</v>
      </c>
      <c r="P160" s="15">
        <v>333700</v>
      </c>
    </row>
    <row r="161" spans="1:16" ht="25.5" customHeight="1" x14ac:dyDescent="0.25">
      <c r="A161" s="11" t="s">
        <v>1274</v>
      </c>
      <c r="B161" s="14" t="s">
        <v>772</v>
      </c>
      <c r="C161" s="10" t="s">
        <v>1225</v>
      </c>
      <c r="D161" s="13" t="s">
        <v>780</v>
      </c>
      <c r="E161" s="14" t="s">
        <v>1220</v>
      </c>
      <c r="F161" s="14" t="s">
        <v>773</v>
      </c>
      <c r="G161" s="13"/>
      <c r="H161" s="14">
        <f t="shared" si="8"/>
        <v>4</v>
      </c>
      <c r="I161" s="14">
        <v>4</v>
      </c>
      <c r="J161" s="14">
        <v>2</v>
      </c>
      <c r="K161" s="13" t="s">
        <v>1226</v>
      </c>
      <c r="L161" s="15" t="s">
        <v>802</v>
      </c>
      <c r="M161" s="15">
        <v>719</v>
      </c>
      <c r="N161" s="15">
        <v>545</v>
      </c>
      <c r="O161" s="15">
        <v>171900</v>
      </c>
      <c r="P161" s="15">
        <v>354500</v>
      </c>
    </row>
    <row r="162" spans="1:16" ht="25.5" customHeight="1" x14ac:dyDescent="0.25">
      <c r="A162" s="11" t="s">
        <v>1274</v>
      </c>
      <c r="B162" s="14" t="s">
        <v>1245</v>
      </c>
      <c r="C162" s="10" t="s">
        <v>1246</v>
      </c>
      <c r="D162" s="13" t="s">
        <v>1242</v>
      </c>
      <c r="E162" s="14" t="s">
        <v>1344</v>
      </c>
      <c r="F162" s="14" t="s">
        <v>773</v>
      </c>
      <c r="G162" s="13"/>
      <c r="H162" s="14">
        <f t="shared" si="8"/>
        <v>1</v>
      </c>
      <c r="I162" s="14">
        <v>1</v>
      </c>
      <c r="J162" s="14">
        <v>1</v>
      </c>
      <c r="K162" s="13" t="s">
        <v>1243</v>
      </c>
      <c r="L162" s="15" t="s">
        <v>808</v>
      </c>
      <c r="M162" s="15">
        <v>874</v>
      </c>
      <c r="N162" s="15">
        <v>870</v>
      </c>
      <c r="O162" s="15">
        <v>187400</v>
      </c>
      <c r="P162" s="15">
        <v>187000</v>
      </c>
    </row>
    <row r="163" spans="1:16" ht="25.5" customHeight="1" x14ac:dyDescent="0.25">
      <c r="A163" s="11" t="s">
        <v>1274</v>
      </c>
      <c r="C163" s="10" t="s">
        <v>489</v>
      </c>
      <c r="F163" s="14" t="s">
        <v>874</v>
      </c>
      <c r="G163" s="13">
        <v>2</v>
      </c>
      <c r="H163" s="14">
        <f t="shared" si="8"/>
        <v>2</v>
      </c>
      <c r="J163" s="14">
        <v>2</v>
      </c>
      <c r="K163" s="13" t="s">
        <v>1313</v>
      </c>
    </row>
    <row r="164" spans="1:16" ht="25.5" customHeight="1" x14ac:dyDescent="0.25">
      <c r="A164" s="11" t="s">
        <v>1274</v>
      </c>
      <c r="C164" s="10" t="s">
        <v>679</v>
      </c>
      <c r="F164" s="14" t="s">
        <v>11</v>
      </c>
      <c r="G164" s="13">
        <v>14</v>
      </c>
      <c r="H164" s="14">
        <f t="shared" si="8"/>
        <v>17</v>
      </c>
      <c r="I164" s="14">
        <v>3</v>
      </c>
      <c r="J164" s="14">
        <v>14</v>
      </c>
      <c r="K164" s="13" t="s">
        <v>1314</v>
      </c>
    </row>
    <row r="165" spans="1:16" ht="25.5" customHeight="1" x14ac:dyDescent="0.25">
      <c r="A165" s="11" t="s">
        <v>1274</v>
      </c>
      <c r="C165" s="10" t="s">
        <v>265</v>
      </c>
      <c r="F165" s="14" t="s">
        <v>874</v>
      </c>
      <c r="G165" s="13">
        <v>2</v>
      </c>
      <c r="H165" s="14">
        <f t="shared" si="8"/>
        <v>2</v>
      </c>
      <c r="J165" s="14">
        <v>2</v>
      </c>
      <c r="K165" s="13" t="s">
        <v>1109</v>
      </c>
    </row>
    <row r="166" spans="1:16" ht="25.5" customHeight="1" x14ac:dyDescent="0.25">
      <c r="A166" s="11" t="s">
        <v>1274</v>
      </c>
      <c r="C166" s="10" t="s">
        <v>303</v>
      </c>
      <c r="F166" s="14" t="s">
        <v>11</v>
      </c>
      <c r="G166" s="13">
        <v>4</v>
      </c>
      <c r="H166" s="14">
        <f t="shared" si="8"/>
        <v>4</v>
      </c>
      <c r="J166" s="14">
        <v>4</v>
      </c>
      <c r="K166" s="13" t="s">
        <v>1320</v>
      </c>
    </row>
    <row r="167" spans="1:16" ht="25.5" customHeight="1" x14ac:dyDescent="0.25">
      <c r="A167" s="11" t="s">
        <v>1274</v>
      </c>
      <c r="C167" s="10" t="s">
        <v>302</v>
      </c>
      <c r="F167" s="14" t="s">
        <v>35</v>
      </c>
      <c r="G167" s="13">
        <v>1</v>
      </c>
      <c r="H167" s="14">
        <f t="shared" si="8"/>
        <v>1</v>
      </c>
      <c r="J167" s="14">
        <v>1</v>
      </c>
      <c r="K167" s="13" t="s">
        <v>952</v>
      </c>
    </row>
    <row r="168" spans="1:16" ht="25.5" customHeight="1" x14ac:dyDescent="0.25">
      <c r="A168" s="11" t="s">
        <v>1274</v>
      </c>
      <c r="B168" s="14" t="s">
        <v>42</v>
      </c>
      <c r="C168" s="10" t="s">
        <v>42</v>
      </c>
      <c r="F168" s="14" t="s">
        <v>11</v>
      </c>
      <c r="G168" s="13">
        <v>1</v>
      </c>
      <c r="H168" s="14">
        <f t="shared" ref="H168:H173" si="9">SUM(G168,I168)</f>
        <v>1</v>
      </c>
      <c r="J168" s="14">
        <v>1</v>
      </c>
      <c r="K168" s="13" t="s">
        <v>224</v>
      </c>
    </row>
    <row r="169" spans="1:16" ht="25.5" customHeight="1" x14ac:dyDescent="0.25">
      <c r="A169" s="11" t="s">
        <v>1274</v>
      </c>
      <c r="B169" s="14" t="s">
        <v>42</v>
      </c>
      <c r="C169" s="10" t="s">
        <v>299</v>
      </c>
      <c r="E169" s="14" t="s">
        <v>300</v>
      </c>
      <c r="F169" s="14" t="s">
        <v>11</v>
      </c>
      <c r="G169" s="13">
        <v>1</v>
      </c>
      <c r="H169" s="14">
        <f t="shared" si="9"/>
        <v>2</v>
      </c>
      <c r="I169" s="14">
        <v>1</v>
      </c>
      <c r="J169" s="14">
        <v>1</v>
      </c>
      <c r="K169" s="13" t="s">
        <v>516</v>
      </c>
    </row>
    <row r="170" spans="1:16" ht="25.5" customHeight="1" x14ac:dyDescent="0.25">
      <c r="A170" s="11" t="s">
        <v>1274</v>
      </c>
      <c r="B170" s="14" t="s">
        <v>10</v>
      </c>
      <c r="E170" s="14" t="s">
        <v>326</v>
      </c>
      <c r="F170" s="14" t="s">
        <v>11</v>
      </c>
      <c r="G170" s="13">
        <v>5</v>
      </c>
      <c r="H170" s="14">
        <f t="shared" si="9"/>
        <v>7</v>
      </c>
      <c r="I170" s="14">
        <v>2</v>
      </c>
      <c r="J170" s="14">
        <v>4</v>
      </c>
      <c r="K170" s="13" t="s">
        <v>1284</v>
      </c>
    </row>
    <row r="171" spans="1:16" ht="25.5" customHeight="1" x14ac:dyDescent="0.25">
      <c r="A171" s="11" t="s">
        <v>1274</v>
      </c>
      <c r="B171" s="14" t="s">
        <v>126</v>
      </c>
      <c r="F171" s="14" t="s">
        <v>11</v>
      </c>
      <c r="G171" s="13">
        <v>1</v>
      </c>
      <c r="H171" s="14">
        <f t="shared" si="9"/>
        <v>1</v>
      </c>
      <c r="J171" s="14">
        <v>1</v>
      </c>
      <c r="K171" s="13" t="s">
        <v>752</v>
      </c>
    </row>
    <row r="172" spans="1:16" ht="25.5" customHeight="1" x14ac:dyDescent="0.25">
      <c r="A172" s="11" t="s">
        <v>1274</v>
      </c>
      <c r="B172" s="14" t="s">
        <v>126</v>
      </c>
      <c r="E172" s="14" t="s">
        <v>1137</v>
      </c>
      <c r="F172" s="14" t="s">
        <v>11</v>
      </c>
      <c r="G172" s="13">
        <v>2</v>
      </c>
      <c r="H172" s="14">
        <f t="shared" si="9"/>
        <v>2</v>
      </c>
      <c r="J172" s="14">
        <v>1</v>
      </c>
      <c r="K172" s="13" t="s">
        <v>1135</v>
      </c>
    </row>
    <row r="173" spans="1:16" ht="25.5" customHeight="1" x14ac:dyDescent="0.25">
      <c r="A173" s="11" t="s">
        <v>1274</v>
      </c>
      <c r="B173" s="14" t="s">
        <v>68</v>
      </c>
      <c r="C173" s="10" t="s">
        <v>68</v>
      </c>
      <c r="E173" s="14" t="s">
        <v>70</v>
      </c>
      <c r="F173" s="14" t="s">
        <v>11</v>
      </c>
      <c r="G173" s="13">
        <v>1</v>
      </c>
      <c r="H173" s="14">
        <f t="shared" si="9"/>
        <v>1</v>
      </c>
      <c r="J173" s="14">
        <v>1</v>
      </c>
      <c r="K173" s="13" t="s">
        <v>947</v>
      </c>
    </row>
    <row r="174" spans="1:16" ht="25.5" customHeight="1" x14ac:dyDescent="0.25">
      <c r="A174" s="11" t="s">
        <v>1274</v>
      </c>
      <c r="B174" s="14" t="s">
        <v>327</v>
      </c>
      <c r="C174" s="10" t="s">
        <v>282</v>
      </c>
      <c r="E174" s="14" t="s">
        <v>677</v>
      </c>
      <c r="F174" s="14" t="s">
        <v>11</v>
      </c>
      <c r="G174" s="13">
        <v>1</v>
      </c>
      <c r="H174" s="14">
        <f t="shared" ref="H174:H182" si="10">SUM(G174,I174)</f>
        <v>1</v>
      </c>
      <c r="J174" s="14">
        <v>1</v>
      </c>
      <c r="K174" s="13" t="s">
        <v>673</v>
      </c>
    </row>
    <row r="175" spans="1:16" ht="25.5" customHeight="1" x14ac:dyDescent="0.25">
      <c r="A175" s="11" t="s">
        <v>1274</v>
      </c>
      <c r="B175" s="14" t="s">
        <v>283</v>
      </c>
      <c r="F175" s="14" t="s">
        <v>11</v>
      </c>
      <c r="G175" s="13">
        <v>1</v>
      </c>
      <c r="H175" s="14">
        <f t="shared" si="10"/>
        <v>1</v>
      </c>
      <c r="J175" s="14">
        <v>1</v>
      </c>
      <c r="K175" s="13" t="s">
        <v>335</v>
      </c>
    </row>
    <row r="176" spans="1:16" ht="25.5" customHeight="1" x14ac:dyDescent="0.25">
      <c r="A176" s="11" t="s">
        <v>1274</v>
      </c>
      <c r="B176" s="14" t="s">
        <v>24</v>
      </c>
      <c r="C176" s="10" t="s">
        <v>986</v>
      </c>
      <c r="E176" s="14" t="s">
        <v>21</v>
      </c>
      <c r="F176" s="14" t="s">
        <v>11</v>
      </c>
      <c r="G176" s="13">
        <v>1</v>
      </c>
      <c r="H176" s="14">
        <f t="shared" si="10"/>
        <v>3</v>
      </c>
      <c r="I176" s="14">
        <v>2</v>
      </c>
      <c r="J176" s="14">
        <v>2</v>
      </c>
      <c r="K176" s="13" t="s">
        <v>1175</v>
      </c>
    </row>
    <row r="177" spans="1:11" ht="25.5" customHeight="1" x14ac:dyDescent="0.25">
      <c r="A177" s="11" t="s">
        <v>1274</v>
      </c>
      <c r="B177" s="14" t="s">
        <v>24</v>
      </c>
      <c r="C177" s="10" t="s">
        <v>24</v>
      </c>
      <c r="F177" s="14" t="s">
        <v>11</v>
      </c>
      <c r="G177" s="13">
        <v>3</v>
      </c>
      <c r="H177" s="14">
        <f t="shared" si="10"/>
        <v>3</v>
      </c>
      <c r="J177" s="14">
        <v>3</v>
      </c>
      <c r="K177" s="13" t="s">
        <v>1126</v>
      </c>
    </row>
    <row r="178" spans="1:11" ht="25.5" customHeight="1" x14ac:dyDescent="0.25">
      <c r="A178" s="11" t="s">
        <v>1274</v>
      </c>
      <c r="C178" s="10" t="s">
        <v>1182</v>
      </c>
      <c r="E178" s="14" t="s">
        <v>21</v>
      </c>
      <c r="F178" s="14" t="s">
        <v>11</v>
      </c>
      <c r="G178" s="13">
        <v>1</v>
      </c>
      <c r="H178" s="14">
        <f t="shared" si="10"/>
        <v>1</v>
      </c>
      <c r="J178" s="14">
        <v>1</v>
      </c>
      <c r="K178" s="13" t="s">
        <v>559</v>
      </c>
    </row>
    <row r="179" spans="1:11" ht="25.5" customHeight="1" x14ac:dyDescent="0.25">
      <c r="A179" s="11" t="s">
        <v>1274</v>
      </c>
      <c r="C179" s="10" t="s">
        <v>1181</v>
      </c>
      <c r="E179" s="14" t="s">
        <v>21</v>
      </c>
      <c r="F179" s="14" t="s">
        <v>11</v>
      </c>
      <c r="G179" s="13">
        <v>1</v>
      </c>
      <c r="H179" s="14">
        <f t="shared" si="10"/>
        <v>1</v>
      </c>
      <c r="J179" s="14">
        <v>1</v>
      </c>
      <c r="K179" s="13" t="s">
        <v>1180</v>
      </c>
    </row>
    <row r="180" spans="1:11" ht="25.5" customHeight="1" x14ac:dyDescent="0.25">
      <c r="A180" s="11" t="s">
        <v>1274</v>
      </c>
      <c r="B180" s="14" t="s">
        <v>269</v>
      </c>
      <c r="F180" s="14" t="s">
        <v>11</v>
      </c>
      <c r="G180" s="13">
        <v>2</v>
      </c>
      <c r="H180" s="14">
        <f t="shared" si="10"/>
        <v>2</v>
      </c>
      <c r="J180" s="14">
        <v>1</v>
      </c>
      <c r="K180" s="13" t="s">
        <v>486</v>
      </c>
    </row>
    <row r="181" spans="1:11" ht="25.5" customHeight="1" x14ac:dyDescent="0.25">
      <c r="A181" s="11" t="s">
        <v>1274</v>
      </c>
      <c r="B181" s="14" t="s">
        <v>139</v>
      </c>
      <c r="F181" s="14" t="s">
        <v>11</v>
      </c>
      <c r="G181" s="13">
        <v>1</v>
      </c>
      <c r="H181" s="14">
        <f t="shared" si="10"/>
        <v>1</v>
      </c>
      <c r="J181" s="14">
        <v>1</v>
      </c>
      <c r="K181" s="13" t="s">
        <v>476</v>
      </c>
    </row>
    <row r="182" spans="1:11" ht="25.5" customHeight="1" x14ac:dyDescent="0.25">
      <c r="A182" s="11" t="s">
        <v>1274</v>
      </c>
      <c r="C182" s="10" t="s">
        <v>416</v>
      </c>
      <c r="F182" s="14" t="s">
        <v>11</v>
      </c>
      <c r="G182" s="13">
        <v>3</v>
      </c>
      <c r="H182" s="14">
        <f t="shared" si="10"/>
        <v>3</v>
      </c>
      <c r="J182" s="14">
        <v>3</v>
      </c>
      <c r="K182" s="13" t="s">
        <v>1144</v>
      </c>
    </row>
    <row r="183" spans="1:11" ht="25.5" customHeight="1" x14ac:dyDescent="0.25">
      <c r="A183" s="11" t="s">
        <v>1274</v>
      </c>
      <c r="C183" s="10" t="s">
        <v>48</v>
      </c>
      <c r="F183" s="14" t="s">
        <v>11</v>
      </c>
      <c r="G183" s="13">
        <v>2</v>
      </c>
      <c r="H183" s="14">
        <f>SUM(G183,I183)</f>
        <v>2</v>
      </c>
      <c r="J183" s="14">
        <v>2</v>
      </c>
      <c r="K183" s="13" t="s">
        <v>1123</v>
      </c>
    </row>
    <row r="184" spans="1:11" ht="25.5" customHeight="1" x14ac:dyDescent="0.25">
      <c r="A184" s="11" t="s">
        <v>1274</v>
      </c>
      <c r="C184" s="10" t="s">
        <v>1111</v>
      </c>
      <c r="E184" s="14" t="s">
        <v>282</v>
      </c>
      <c r="F184" s="14" t="s">
        <v>11</v>
      </c>
      <c r="G184" s="13">
        <v>1</v>
      </c>
      <c r="H184" s="14">
        <f>SUM(G184,I184)</f>
        <v>1</v>
      </c>
      <c r="J184" s="14">
        <v>1</v>
      </c>
      <c r="K184" s="13" t="s">
        <v>1108</v>
      </c>
    </row>
    <row r="185" spans="1:11" ht="25.5" customHeight="1" x14ac:dyDescent="0.25">
      <c r="A185" s="11" t="s">
        <v>1274</v>
      </c>
      <c r="C185" s="10" t="s">
        <v>11</v>
      </c>
      <c r="E185" s="14" t="s">
        <v>851</v>
      </c>
      <c r="F185" s="14" t="s">
        <v>11</v>
      </c>
      <c r="G185" s="13">
        <v>8</v>
      </c>
      <c r="H185" s="14">
        <f>SUM(G185,I185)</f>
        <v>8</v>
      </c>
      <c r="J185" s="14">
        <v>7</v>
      </c>
      <c r="K185" s="13" t="s">
        <v>1132</v>
      </c>
    </row>
    <row r="186" spans="1:11" ht="25.5" customHeight="1" x14ac:dyDescent="0.25">
      <c r="A186" s="11" t="s">
        <v>1274</v>
      </c>
      <c r="E186" s="14" t="s">
        <v>852</v>
      </c>
      <c r="F186" s="14" t="s">
        <v>11</v>
      </c>
      <c r="G186" s="13">
        <v>2</v>
      </c>
      <c r="H186" s="14">
        <f>SUM(G186,I186)</f>
        <v>2</v>
      </c>
      <c r="J186" s="14">
        <v>2</v>
      </c>
      <c r="K186" s="13" t="s">
        <v>1131</v>
      </c>
    </row>
    <row r="187" spans="1:11" ht="25.5" customHeight="1" x14ac:dyDescent="0.25">
      <c r="A187" s="11" t="s">
        <v>1274</v>
      </c>
      <c r="C187" s="10" t="s">
        <v>844</v>
      </c>
      <c r="F187" s="14" t="s">
        <v>11</v>
      </c>
      <c r="G187" s="13">
        <v>1</v>
      </c>
      <c r="H187" s="14">
        <f t="shared" ref="H187:H202" si="11">SUM(G187,I187)</f>
        <v>1</v>
      </c>
      <c r="J187" s="14">
        <v>1</v>
      </c>
      <c r="K187" s="13" t="s">
        <v>1309</v>
      </c>
    </row>
    <row r="188" spans="1:11" ht="25.5" customHeight="1" x14ac:dyDescent="0.25">
      <c r="A188" s="11" t="s">
        <v>1274</v>
      </c>
      <c r="C188" s="10" t="s">
        <v>255</v>
      </c>
      <c r="F188" s="14" t="s">
        <v>11</v>
      </c>
      <c r="G188" s="13"/>
      <c r="H188" s="14">
        <f t="shared" si="11"/>
        <v>1</v>
      </c>
      <c r="I188" s="14">
        <v>1</v>
      </c>
      <c r="J188" s="14">
        <v>1</v>
      </c>
      <c r="K188" s="13" t="s">
        <v>476</v>
      </c>
    </row>
    <row r="189" spans="1:11" ht="25.5" customHeight="1" x14ac:dyDescent="0.25">
      <c r="A189" s="11" t="s">
        <v>1274</v>
      </c>
      <c r="C189" s="10" t="s">
        <v>296</v>
      </c>
      <c r="F189" s="14" t="s">
        <v>11</v>
      </c>
      <c r="G189" s="13"/>
      <c r="H189" s="14">
        <f t="shared" si="11"/>
        <v>2</v>
      </c>
      <c r="I189" s="14">
        <v>2</v>
      </c>
      <c r="J189" s="14">
        <v>2</v>
      </c>
      <c r="K189" s="13" t="s">
        <v>1202</v>
      </c>
    </row>
    <row r="190" spans="1:11" ht="25.5" customHeight="1" x14ac:dyDescent="0.25">
      <c r="A190" s="11" t="s">
        <v>1274</v>
      </c>
      <c r="C190" s="10" t="s">
        <v>765</v>
      </c>
      <c r="F190" s="14" t="s">
        <v>11</v>
      </c>
      <c r="G190" s="13">
        <v>2</v>
      </c>
      <c r="H190" s="14">
        <f t="shared" si="11"/>
        <v>2</v>
      </c>
      <c r="J190" s="14">
        <v>1</v>
      </c>
      <c r="K190" s="13" t="s">
        <v>414</v>
      </c>
    </row>
    <row r="191" spans="1:11" ht="25.5" customHeight="1" x14ac:dyDescent="0.25">
      <c r="A191" s="11" t="s">
        <v>1274</v>
      </c>
      <c r="C191" s="10" t="s">
        <v>259</v>
      </c>
      <c r="F191" s="14" t="s">
        <v>11</v>
      </c>
      <c r="G191" s="13"/>
      <c r="H191" s="14">
        <f t="shared" si="11"/>
        <v>1</v>
      </c>
      <c r="I191" s="14">
        <v>1</v>
      </c>
      <c r="J191" s="14">
        <v>1</v>
      </c>
      <c r="K191" s="13" t="s">
        <v>224</v>
      </c>
    </row>
    <row r="192" spans="1:11" ht="25.5" customHeight="1" x14ac:dyDescent="0.25">
      <c r="A192" s="11" t="s">
        <v>1274</v>
      </c>
      <c r="C192" s="10" t="s">
        <v>266</v>
      </c>
      <c r="F192" s="14" t="s">
        <v>11</v>
      </c>
      <c r="G192" s="13">
        <v>5</v>
      </c>
      <c r="H192" s="14">
        <f t="shared" si="11"/>
        <v>7</v>
      </c>
      <c r="I192" s="14">
        <v>2</v>
      </c>
      <c r="J192" s="14">
        <v>7</v>
      </c>
      <c r="K192" s="13" t="s">
        <v>1315</v>
      </c>
    </row>
    <row r="193" spans="1:11" ht="25.5" customHeight="1" x14ac:dyDescent="0.25">
      <c r="A193" s="11" t="s">
        <v>1274</v>
      </c>
      <c r="C193" s="10" t="s">
        <v>682</v>
      </c>
      <c r="E193" s="14" t="s">
        <v>683</v>
      </c>
      <c r="F193" s="14" t="s">
        <v>11</v>
      </c>
      <c r="G193" s="13">
        <v>1</v>
      </c>
      <c r="H193" s="14">
        <f t="shared" si="11"/>
        <v>1</v>
      </c>
      <c r="J193" s="14">
        <v>1</v>
      </c>
      <c r="K193" s="13" t="s">
        <v>1309</v>
      </c>
    </row>
    <row r="194" spans="1:11" ht="25.5" customHeight="1" x14ac:dyDescent="0.25">
      <c r="A194" s="11" t="s">
        <v>1274</v>
      </c>
      <c r="C194" s="10" t="s">
        <v>770</v>
      </c>
      <c r="F194" s="14" t="s">
        <v>11</v>
      </c>
      <c r="G194" s="13">
        <v>1</v>
      </c>
      <c r="H194" s="14">
        <f t="shared" si="11"/>
        <v>1</v>
      </c>
      <c r="J194" s="14">
        <v>1</v>
      </c>
      <c r="K194" s="13" t="s">
        <v>1309</v>
      </c>
    </row>
    <row r="195" spans="1:11" ht="25.5" customHeight="1" x14ac:dyDescent="0.25">
      <c r="A195" s="11" t="s">
        <v>1274</v>
      </c>
      <c r="B195" s="14" t="s">
        <v>76</v>
      </c>
      <c r="E195" s="14" t="s">
        <v>281</v>
      </c>
      <c r="F195" s="14" t="s">
        <v>11</v>
      </c>
      <c r="G195" s="13">
        <v>2</v>
      </c>
      <c r="H195" s="14">
        <f t="shared" si="11"/>
        <v>2</v>
      </c>
      <c r="J195" s="14">
        <v>1</v>
      </c>
      <c r="K195" s="13" t="s">
        <v>456</v>
      </c>
    </row>
    <row r="196" spans="1:11" ht="25.5" customHeight="1" x14ac:dyDescent="0.25">
      <c r="A196" s="11" t="s">
        <v>1274</v>
      </c>
      <c r="C196" s="10" t="s">
        <v>678</v>
      </c>
      <c r="F196" s="14" t="s">
        <v>11</v>
      </c>
      <c r="G196" s="13">
        <v>5</v>
      </c>
      <c r="H196" s="14">
        <f t="shared" si="11"/>
        <v>6</v>
      </c>
      <c r="I196" s="14">
        <v>1</v>
      </c>
      <c r="J196" s="14">
        <v>4</v>
      </c>
      <c r="K196" s="13" t="s">
        <v>1311</v>
      </c>
    </row>
    <row r="197" spans="1:11" ht="25.5" customHeight="1" x14ac:dyDescent="0.25">
      <c r="A197" s="11" t="s">
        <v>1274</v>
      </c>
      <c r="C197" s="10" t="s">
        <v>321</v>
      </c>
      <c r="F197" s="14" t="s">
        <v>11</v>
      </c>
      <c r="G197" s="13"/>
      <c r="H197" s="14">
        <f t="shared" si="11"/>
        <v>1</v>
      </c>
      <c r="I197" s="14">
        <v>1</v>
      </c>
      <c r="J197" s="14">
        <v>1</v>
      </c>
      <c r="K197" s="13" t="s">
        <v>224</v>
      </c>
    </row>
    <row r="198" spans="1:11" ht="25.5" customHeight="1" x14ac:dyDescent="0.25">
      <c r="A198" s="11" t="s">
        <v>1274</v>
      </c>
      <c r="D198" s="13" t="s">
        <v>969</v>
      </c>
      <c r="F198" s="14" t="s">
        <v>11</v>
      </c>
      <c r="G198" s="13">
        <v>1</v>
      </c>
      <c r="H198" s="14">
        <f t="shared" si="11"/>
        <v>1</v>
      </c>
      <c r="J198" s="14">
        <v>1</v>
      </c>
      <c r="K198" s="13" t="s">
        <v>224</v>
      </c>
    </row>
    <row r="199" spans="1:11" ht="25.5" customHeight="1" x14ac:dyDescent="0.25">
      <c r="A199" s="11" t="s">
        <v>1274</v>
      </c>
      <c r="C199" s="10" t="s">
        <v>21</v>
      </c>
      <c r="E199" s="14" t="s">
        <v>21</v>
      </c>
      <c r="F199" s="14" t="s">
        <v>11</v>
      </c>
      <c r="G199" s="13">
        <v>5</v>
      </c>
      <c r="H199" s="14">
        <f t="shared" si="11"/>
        <v>6</v>
      </c>
      <c r="I199" s="14">
        <v>1</v>
      </c>
      <c r="J199" s="14">
        <v>6</v>
      </c>
      <c r="K199" s="13" t="s">
        <v>1283</v>
      </c>
    </row>
    <row r="200" spans="1:11" ht="25.5" customHeight="1" x14ac:dyDescent="0.25">
      <c r="A200" s="11" t="s">
        <v>1274</v>
      </c>
      <c r="D200" s="13" t="s">
        <v>1105</v>
      </c>
      <c r="F200" s="13" t="s">
        <v>1104</v>
      </c>
      <c r="G200" s="13">
        <v>6</v>
      </c>
      <c r="H200" s="14">
        <f t="shared" si="11"/>
        <v>8</v>
      </c>
      <c r="I200" s="14">
        <v>2</v>
      </c>
      <c r="J200" s="14">
        <v>3</v>
      </c>
      <c r="K200" s="13" t="s">
        <v>1110</v>
      </c>
    </row>
    <row r="201" spans="1:11" ht="25.5" customHeight="1" x14ac:dyDescent="0.25">
      <c r="A201" s="11" t="s">
        <v>1274</v>
      </c>
      <c r="C201" s="10" t="s">
        <v>719</v>
      </c>
      <c r="F201" s="13" t="s">
        <v>1341</v>
      </c>
      <c r="G201" s="13">
        <v>1</v>
      </c>
      <c r="H201" s="14">
        <f t="shared" si="11"/>
        <v>1</v>
      </c>
      <c r="J201" s="14">
        <v>1</v>
      </c>
      <c r="K201" s="13" t="s">
        <v>513</v>
      </c>
    </row>
    <row r="202" spans="1:11" ht="25.5" customHeight="1" x14ac:dyDescent="0.25">
      <c r="A202" s="11" t="s">
        <v>1274</v>
      </c>
      <c r="C202" s="10" t="s">
        <v>351</v>
      </c>
      <c r="F202" s="13" t="s">
        <v>1104</v>
      </c>
      <c r="G202" s="13">
        <v>9</v>
      </c>
      <c r="H202" s="14">
        <f t="shared" si="11"/>
        <v>15</v>
      </c>
      <c r="I202" s="14">
        <v>6</v>
      </c>
      <c r="J202" s="14">
        <v>6</v>
      </c>
      <c r="K202" s="13" t="s">
        <v>1318</v>
      </c>
    </row>
    <row r="203" spans="1:11" ht="25.5" customHeight="1" x14ac:dyDescent="0.25">
      <c r="A203" s="11" t="s">
        <v>1274</v>
      </c>
      <c r="C203" s="10" t="s">
        <v>56</v>
      </c>
      <c r="F203" s="14" t="s">
        <v>56</v>
      </c>
      <c r="G203" s="13">
        <v>9</v>
      </c>
      <c r="H203" s="14">
        <f t="shared" ref="H203:H222" si="12">SUM(G203,I203)</f>
        <v>12</v>
      </c>
      <c r="I203" s="14">
        <v>3</v>
      </c>
      <c r="J203" s="14">
        <v>8</v>
      </c>
      <c r="K203" s="13" t="s">
        <v>1201</v>
      </c>
    </row>
    <row r="204" spans="1:11" ht="25.5" customHeight="1" x14ac:dyDescent="0.25">
      <c r="A204" s="11" t="s">
        <v>1274</v>
      </c>
      <c r="C204" s="10" t="s">
        <v>629</v>
      </c>
      <c r="E204" s="14" t="s">
        <v>1143</v>
      </c>
      <c r="F204" s="14" t="s">
        <v>56</v>
      </c>
      <c r="G204" s="13">
        <v>2</v>
      </c>
      <c r="H204" s="14">
        <f t="shared" si="12"/>
        <v>2</v>
      </c>
      <c r="J204" s="14">
        <v>1</v>
      </c>
      <c r="K204" s="13" t="s">
        <v>763</v>
      </c>
    </row>
    <row r="205" spans="1:11" ht="25.5" customHeight="1" x14ac:dyDescent="0.25">
      <c r="A205" s="11" t="s">
        <v>1274</v>
      </c>
      <c r="C205" s="10" t="s">
        <v>253</v>
      </c>
      <c r="F205" s="14" t="s">
        <v>56</v>
      </c>
      <c r="G205" s="13">
        <v>1</v>
      </c>
      <c r="H205" s="14">
        <f t="shared" si="12"/>
        <v>1</v>
      </c>
      <c r="J205" s="14">
        <v>1</v>
      </c>
      <c r="K205" s="13" t="s">
        <v>673</v>
      </c>
    </row>
    <row r="206" spans="1:11" ht="25.5" customHeight="1" x14ac:dyDescent="0.25">
      <c r="A206" s="11" t="s">
        <v>1274</v>
      </c>
      <c r="C206" s="10" t="s">
        <v>254</v>
      </c>
      <c r="F206" s="14" t="s">
        <v>56</v>
      </c>
      <c r="G206" s="13">
        <v>2</v>
      </c>
      <c r="H206" s="14">
        <f t="shared" si="12"/>
        <v>2</v>
      </c>
      <c r="J206" s="14">
        <v>1</v>
      </c>
      <c r="K206" s="13" t="s">
        <v>1322</v>
      </c>
    </row>
    <row r="207" spans="1:11" ht="25.5" customHeight="1" x14ac:dyDescent="0.25">
      <c r="A207" s="11" t="s">
        <v>1274</v>
      </c>
      <c r="C207" s="10" t="s">
        <v>451</v>
      </c>
      <c r="F207" s="14" t="s">
        <v>56</v>
      </c>
      <c r="G207" s="13">
        <v>3</v>
      </c>
      <c r="H207" s="14">
        <f t="shared" si="12"/>
        <v>3</v>
      </c>
      <c r="J207" s="14">
        <v>2</v>
      </c>
      <c r="K207" s="13" t="s">
        <v>1115</v>
      </c>
    </row>
    <row r="208" spans="1:11" ht="25.5" customHeight="1" x14ac:dyDescent="0.25">
      <c r="A208" s="11" t="s">
        <v>1274</v>
      </c>
      <c r="C208" s="10" t="s">
        <v>305</v>
      </c>
      <c r="E208" s="13"/>
      <c r="F208" s="14" t="s">
        <v>56</v>
      </c>
      <c r="G208" s="13">
        <v>1</v>
      </c>
      <c r="H208" s="14">
        <f t="shared" si="12"/>
        <v>1</v>
      </c>
      <c r="J208" s="14">
        <v>1</v>
      </c>
      <c r="K208" s="13" t="s">
        <v>224</v>
      </c>
    </row>
    <row r="209" spans="1:11" ht="25.5" customHeight="1" x14ac:dyDescent="0.25">
      <c r="A209" s="11" t="s">
        <v>1274</v>
      </c>
      <c r="C209" s="10" t="s">
        <v>950</v>
      </c>
      <c r="E209" s="13"/>
      <c r="F209" s="14" t="s">
        <v>56</v>
      </c>
      <c r="G209" s="13">
        <v>6</v>
      </c>
      <c r="H209" s="14">
        <f t="shared" si="12"/>
        <v>6</v>
      </c>
      <c r="J209" s="14">
        <v>4</v>
      </c>
      <c r="K209" s="13" t="s">
        <v>1176</v>
      </c>
    </row>
    <row r="210" spans="1:11" ht="25.5" customHeight="1" x14ac:dyDescent="0.25">
      <c r="A210" s="11" t="s">
        <v>1274</v>
      </c>
      <c r="D210" s="13" t="s">
        <v>981</v>
      </c>
      <c r="E210" s="13" t="s">
        <v>1096</v>
      </c>
      <c r="F210" s="14" t="s">
        <v>56</v>
      </c>
      <c r="G210" s="13"/>
      <c r="H210" s="14">
        <f t="shared" si="12"/>
        <v>1</v>
      </c>
      <c r="I210" s="14">
        <v>1</v>
      </c>
      <c r="J210" s="14">
        <v>1</v>
      </c>
      <c r="K210" s="13" t="s">
        <v>224</v>
      </c>
    </row>
    <row r="211" spans="1:11" ht="25.5" customHeight="1" x14ac:dyDescent="0.25">
      <c r="A211" s="11" t="s">
        <v>1274</v>
      </c>
      <c r="B211" s="14" t="s">
        <v>161</v>
      </c>
      <c r="C211" s="10" t="s">
        <v>301</v>
      </c>
      <c r="E211" s="14" t="s">
        <v>254</v>
      </c>
      <c r="F211" s="14" t="s">
        <v>56</v>
      </c>
      <c r="G211" s="13">
        <v>1</v>
      </c>
      <c r="H211" s="14">
        <f t="shared" si="12"/>
        <v>1</v>
      </c>
      <c r="J211" s="14">
        <v>1</v>
      </c>
      <c r="K211" s="13" t="s">
        <v>335</v>
      </c>
    </row>
    <row r="212" spans="1:11" ht="25.5" customHeight="1" x14ac:dyDescent="0.25">
      <c r="A212" s="11" t="s">
        <v>1274</v>
      </c>
      <c r="C212" s="10" t="s">
        <v>35</v>
      </c>
      <c r="F212" s="14" t="s">
        <v>35</v>
      </c>
      <c r="G212" s="13">
        <v>18</v>
      </c>
      <c r="H212" s="14">
        <f t="shared" si="12"/>
        <v>20</v>
      </c>
      <c r="I212" s="14">
        <v>2</v>
      </c>
      <c r="J212" s="14">
        <v>13</v>
      </c>
      <c r="K212" s="13" t="s">
        <v>1232</v>
      </c>
    </row>
    <row r="213" spans="1:11" ht="25.5" customHeight="1" x14ac:dyDescent="0.25">
      <c r="A213" s="11" t="s">
        <v>1274</v>
      </c>
      <c r="C213" s="10" t="s">
        <v>1028</v>
      </c>
      <c r="F213" s="14" t="s">
        <v>35</v>
      </c>
      <c r="G213" s="13">
        <v>6</v>
      </c>
      <c r="H213" s="14">
        <f t="shared" si="12"/>
        <v>6</v>
      </c>
      <c r="J213" s="14">
        <v>3</v>
      </c>
      <c r="K213" s="13" t="s">
        <v>1074</v>
      </c>
    </row>
    <row r="214" spans="1:11" ht="25.5" customHeight="1" x14ac:dyDescent="0.25">
      <c r="A214" s="11" t="s">
        <v>1274</v>
      </c>
      <c r="C214" s="10" t="s">
        <v>744</v>
      </c>
      <c r="E214" s="14" t="s">
        <v>744</v>
      </c>
      <c r="F214" s="14" t="s">
        <v>35</v>
      </c>
      <c r="G214" s="13">
        <v>1</v>
      </c>
      <c r="H214" s="14">
        <f t="shared" si="12"/>
        <v>1</v>
      </c>
      <c r="J214" s="14">
        <v>1</v>
      </c>
      <c r="K214" s="13" t="s">
        <v>951</v>
      </c>
    </row>
    <row r="215" spans="1:11" ht="25.5" customHeight="1" x14ac:dyDescent="0.25">
      <c r="A215" s="11" t="s">
        <v>1274</v>
      </c>
      <c r="C215" s="10" t="s">
        <v>758</v>
      </c>
      <c r="E215" s="14" t="s">
        <v>759</v>
      </c>
      <c r="F215" s="14" t="s">
        <v>35</v>
      </c>
      <c r="G215" s="13">
        <v>1</v>
      </c>
      <c r="H215" s="14">
        <f t="shared" si="12"/>
        <v>1</v>
      </c>
      <c r="J215" s="14">
        <v>1</v>
      </c>
      <c r="K215" s="13" t="s">
        <v>1036</v>
      </c>
    </row>
    <row r="216" spans="1:11" ht="25.5" customHeight="1" x14ac:dyDescent="0.25">
      <c r="A216" s="11" t="s">
        <v>1274</v>
      </c>
      <c r="B216" s="14" t="s">
        <v>953</v>
      </c>
      <c r="D216" s="13" t="s">
        <v>1015</v>
      </c>
      <c r="F216" s="13" t="s">
        <v>35</v>
      </c>
      <c r="G216" s="13">
        <v>2</v>
      </c>
      <c r="H216" s="14">
        <f t="shared" si="12"/>
        <v>5</v>
      </c>
      <c r="I216" s="14">
        <v>3</v>
      </c>
      <c r="J216" s="14">
        <v>2</v>
      </c>
      <c r="K216" s="13" t="s">
        <v>1018</v>
      </c>
    </row>
    <row r="217" spans="1:11" ht="25.5" customHeight="1" x14ac:dyDescent="0.25">
      <c r="A217" s="11" t="s">
        <v>1274</v>
      </c>
      <c r="C217" s="10" t="s">
        <v>256</v>
      </c>
      <c r="D217" s="13" t="s">
        <v>813</v>
      </c>
      <c r="E217" s="13" t="s">
        <v>258</v>
      </c>
      <c r="F217" s="14" t="s">
        <v>35</v>
      </c>
      <c r="G217" s="13">
        <v>10</v>
      </c>
      <c r="H217" s="14">
        <f t="shared" si="12"/>
        <v>11</v>
      </c>
      <c r="I217" s="14">
        <v>1</v>
      </c>
      <c r="J217" s="14">
        <v>7</v>
      </c>
      <c r="K217" s="13" t="s">
        <v>1336</v>
      </c>
    </row>
    <row r="218" spans="1:11" ht="25.5" customHeight="1" x14ac:dyDescent="0.25">
      <c r="A218" s="11" t="s">
        <v>1274</v>
      </c>
      <c r="C218" s="10" t="s">
        <v>307</v>
      </c>
      <c r="E218" s="13"/>
      <c r="F218" s="14" t="s">
        <v>35</v>
      </c>
      <c r="G218" s="13">
        <v>8</v>
      </c>
      <c r="H218" s="14">
        <f t="shared" si="12"/>
        <v>9</v>
      </c>
      <c r="I218" s="14">
        <v>1</v>
      </c>
      <c r="J218" s="14">
        <v>7</v>
      </c>
      <c r="K218" s="13" t="s">
        <v>1307</v>
      </c>
    </row>
    <row r="219" spans="1:11" ht="25.5" customHeight="1" x14ac:dyDescent="0.25">
      <c r="A219" s="11" t="s">
        <v>1274</v>
      </c>
      <c r="C219" s="10" t="s">
        <v>257</v>
      </c>
      <c r="F219" s="14" t="s">
        <v>35</v>
      </c>
      <c r="G219" s="13">
        <v>6</v>
      </c>
      <c r="H219" s="14">
        <f t="shared" si="12"/>
        <v>6</v>
      </c>
      <c r="J219" s="14">
        <v>4</v>
      </c>
      <c r="K219" s="13" t="s">
        <v>1312</v>
      </c>
    </row>
    <row r="220" spans="1:11" ht="25.5" customHeight="1" x14ac:dyDescent="0.25">
      <c r="A220" s="11" t="s">
        <v>1274</v>
      </c>
      <c r="C220" s="10" t="s">
        <v>471</v>
      </c>
      <c r="E220" s="14" t="s">
        <v>86</v>
      </c>
      <c r="F220" s="14" t="s">
        <v>35</v>
      </c>
      <c r="G220" s="13">
        <v>2</v>
      </c>
      <c r="H220" s="14">
        <f t="shared" si="12"/>
        <v>3</v>
      </c>
      <c r="I220" s="14">
        <v>1</v>
      </c>
      <c r="J220" s="14">
        <v>3</v>
      </c>
      <c r="K220" s="13" t="s">
        <v>1098</v>
      </c>
    </row>
    <row r="221" spans="1:11" ht="25.5" customHeight="1" x14ac:dyDescent="0.25">
      <c r="A221" s="11" t="s">
        <v>1274</v>
      </c>
      <c r="C221" s="10" t="s">
        <v>260</v>
      </c>
      <c r="F221" s="14" t="s">
        <v>35</v>
      </c>
      <c r="G221" s="13">
        <v>4</v>
      </c>
      <c r="H221" s="14">
        <f t="shared" si="12"/>
        <v>5</v>
      </c>
      <c r="I221" s="14">
        <v>1</v>
      </c>
      <c r="J221" s="14">
        <v>5</v>
      </c>
      <c r="K221" s="13" t="s">
        <v>1146</v>
      </c>
    </row>
    <row r="222" spans="1:11" ht="25.5" customHeight="1" x14ac:dyDescent="0.25">
      <c r="A222" s="11" t="s">
        <v>1274</v>
      </c>
      <c r="C222" s="10" t="s">
        <v>821</v>
      </c>
      <c r="F222" s="14" t="s">
        <v>35</v>
      </c>
      <c r="G222" s="13">
        <v>1</v>
      </c>
      <c r="H222" s="14">
        <f t="shared" si="12"/>
        <v>1</v>
      </c>
      <c r="J222" s="14">
        <v>1</v>
      </c>
      <c r="K222" s="13" t="s">
        <v>951</v>
      </c>
    </row>
    <row r="223" spans="1:11" ht="25.5" customHeight="1" x14ac:dyDescent="0.25">
      <c r="A223" s="11" t="s">
        <v>1274</v>
      </c>
      <c r="B223" s="14" t="s">
        <v>953</v>
      </c>
      <c r="F223" s="14" t="s">
        <v>35</v>
      </c>
      <c r="G223" s="13">
        <v>4</v>
      </c>
      <c r="H223" s="14">
        <f t="shared" ref="H223:H244" si="13">SUM(G223,I223)</f>
        <v>4</v>
      </c>
      <c r="J223" s="14">
        <v>3</v>
      </c>
      <c r="K223" s="13" t="s">
        <v>1026</v>
      </c>
    </row>
    <row r="224" spans="1:11" ht="25.5" customHeight="1" x14ac:dyDescent="0.25">
      <c r="A224" s="11" t="s">
        <v>1274</v>
      </c>
      <c r="B224" s="14" t="s">
        <v>953</v>
      </c>
      <c r="E224" s="14" t="s">
        <v>1017</v>
      </c>
      <c r="F224" s="14" t="s">
        <v>35</v>
      </c>
      <c r="G224" s="13">
        <v>2</v>
      </c>
      <c r="H224" s="14">
        <f t="shared" si="13"/>
        <v>2</v>
      </c>
      <c r="J224" s="14">
        <v>1</v>
      </c>
      <c r="K224" s="13" t="s">
        <v>1016</v>
      </c>
    </row>
    <row r="225" spans="1:11" ht="25.5" customHeight="1" x14ac:dyDescent="0.25">
      <c r="A225" s="11" t="s">
        <v>1274</v>
      </c>
      <c r="B225" s="14" t="s">
        <v>238</v>
      </c>
      <c r="E225" s="14" t="s">
        <v>236</v>
      </c>
      <c r="F225" s="14" t="s">
        <v>35</v>
      </c>
      <c r="G225" s="13">
        <v>4</v>
      </c>
      <c r="H225" s="14">
        <f t="shared" si="13"/>
        <v>5</v>
      </c>
      <c r="I225" s="14">
        <v>1</v>
      </c>
      <c r="J225" s="14">
        <v>4</v>
      </c>
      <c r="K225" s="13" t="s">
        <v>1085</v>
      </c>
    </row>
    <row r="226" spans="1:11" ht="25.5" customHeight="1" x14ac:dyDescent="0.25">
      <c r="A226" s="11" t="s">
        <v>1274</v>
      </c>
      <c r="C226" s="10" t="s">
        <v>726</v>
      </c>
      <c r="D226" s="13" t="s">
        <v>736</v>
      </c>
      <c r="E226" s="14" t="s">
        <v>256</v>
      </c>
      <c r="F226" s="13" t="s">
        <v>35</v>
      </c>
      <c r="G226" s="13">
        <v>7</v>
      </c>
      <c r="H226" s="14">
        <f t="shared" si="13"/>
        <v>9</v>
      </c>
      <c r="I226" s="14">
        <v>2</v>
      </c>
      <c r="J226" s="14">
        <v>4</v>
      </c>
      <c r="K226" s="13" t="s">
        <v>1231</v>
      </c>
    </row>
    <row r="227" spans="1:11" ht="25.5" customHeight="1" x14ac:dyDescent="0.25">
      <c r="A227" s="11" t="s">
        <v>1274</v>
      </c>
      <c r="B227" s="14" t="s">
        <v>676</v>
      </c>
      <c r="F227" s="14" t="s">
        <v>35</v>
      </c>
      <c r="G227" s="13">
        <v>1</v>
      </c>
      <c r="H227" s="14">
        <f t="shared" si="13"/>
        <v>2</v>
      </c>
      <c r="I227" s="14">
        <v>1</v>
      </c>
      <c r="J227" s="14">
        <v>2</v>
      </c>
      <c r="K227" s="13" t="s">
        <v>1020</v>
      </c>
    </row>
    <row r="228" spans="1:11" ht="25.5" customHeight="1" x14ac:dyDescent="0.25">
      <c r="A228" s="11" t="s">
        <v>1274</v>
      </c>
      <c r="B228" s="14" t="s">
        <v>676</v>
      </c>
      <c r="E228" s="14" t="s">
        <v>428</v>
      </c>
      <c r="F228" s="14" t="s">
        <v>35</v>
      </c>
      <c r="G228" s="13">
        <v>8</v>
      </c>
      <c r="H228" s="14">
        <f t="shared" si="13"/>
        <v>16</v>
      </c>
      <c r="I228" s="14">
        <v>8</v>
      </c>
      <c r="J228" s="14">
        <v>6</v>
      </c>
      <c r="K228" s="13" t="s">
        <v>1068</v>
      </c>
    </row>
    <row r="229" spans="1:11" ht="25.5" customHeight="1" x14ac:dyDescent="0.25">
      <c r="A229" s="11" t="s">
        <v>1274</v>
      </c>
      <c r="B229" s="14" t="s">
        <v>676</v>
      </c>
      <c r="E229" s="14" t="s">
        <v>728</v>
      </c>
      <c r="F229" s="14" t="s">
        <v>35</v>
      </c>
      <c r="G229" s="13">
        <v>2</v>
      </c>
      <c r="H229" s="14">
        <f t="shared" si="13"/>
        <v>2</v>
      </c>
      <c r="J229" s="14">
        <v>1</v>
      </c>
      <c r="K229" s="13" t="s">
        <v>1016</v>
      </c>
    </row>
    <row r="230" spans="1:11" ht="25.5" customHeight="1" x14ac:dyDescent="0.25">
      <c r="A230" s="11" t="s">
        <v>1274</v>
      </c>
      <c r="B230" s="14" t="s">
        <v>676</v>
      </c>
      <c r="E230" s="14" t="s">
        <v>729</v>
      </c>
      <c r="F230" s="14" t="s">
        <v>35</v>
      </c>
      <c r="G230" s="13">
        <v>4</v>
      </c>
      <c r="H230" s="14">
        <f t="shared" si="13"/>
        <v>4</v>
      </c>
      <c r="J230" s="14">
        <v>2</v>
      </c>
      <c r="K230" s="13" t="s">
        <v>1025</v>
      </c>
    </row>
    <row r="231" spans="1:11" ht="25.5" customHeight="1" x14ac:dyDescent="0.25">
      <c r="A231" s="11" t="s">
        <v>1274</v>
      </c>
      <c r="B231" s="14" t="s">
        <v>676</v>
      </c>
      <c r="E231" s="14" t="s">
        <v>1030</v>
      </c>
      <c r="F231" s="14" t="s">
        <v>35</v>
      </c>
      <c r="G231" s="13"/>
      <c r="H231" s="14">
        <f t="shared" si="13"/>
        <v>1</v>
      </c>
      <c r="I231" s="14">
        <v>1</v>
      </c>
      <c r="J231" s="14">
        <v>1</v>
      </c>
      <c r="K231" s="13" t="s">
        <v>1029</v>
      </c>
    </row>
    <row r="232" spans="1:11" ht="25.5" customHeight="1" x14ac:dyDescent="0.25">
      <c r="A232" s="11" t="s">
        <v>1274</v>
      </c>
      <c r="B232" s="14" t="s">
        <v>676</v>
      </c>
      <c r="E232" s="14" t="s">
        <v>732</v>
      </c>
      <c r="F232" s="14" t="s">
        <v>35</v>
      </c>
      <c r="G232" s="13"/>
      <c r="H232" s="14">
        <f t="shared" si="13"/>
        <v>1</v>
      </c>
      <c r="I232" s="14">
        <v>1</v>
      </c>
      <c r="J232" s="14">
        <v>1</v>
      </c>
      <c r="K232" s="13" t="s">
        <v>1029</v>
      </c>
    </row>
    <row r="233" spans="1:11" ht="25.5" customHeight="1" x14ac:dyDescent="0.25">
      <c r="A233" s="11" t="s">
        <v>1274</v>
      </c>
      <c r="B233" s="14" t="s">
        <v>676</v>
      </c>
      <c r="E233" s="14" t="s">
        <v>746</v>
      </c>
      <c r="F233" s="14" t="s">
        <v>35</v>
      </c>
      <c r="G233" s="13">
        <v>1</v>
      </c>
      <c r="H233" s="14">
        <f t="shared" si="13"/>
        <v>2</v>
      </c>
      <c r="I233" s="14">
        <v>1</v>
      </c>
      <c r="J233" s="14">
        <v>1</v>
      </c>
      <c r="K233" s="13" t="s">
        <v>1029</v>
      </c>
    </row>
    <row r="234" spans="1:11" ht="25.5" customHeight="1" x14ac:dyDescent="0.25">
      <c r="A234" s="11" t="s">
        <v>1274</v>
      </c>
      <c r="B234" s="14" t="s">
        <v>249</v>
      </c>
      <c r="F234" s="14" t="s">
        <v>35</v>
      </c>
      <c r="G234" s="13">
        <v>2</v>
      </c>
      <c r="H234" s="14">
        <f t="shared" si="13"/>
        <v>2</v>
      </c>
      <c r="J234" s="14">
        <v>2</v>
      </c>
      <c r="K234" s="13" t="s">
        <v>1087</v>
      </c>
    </row>
    <row r="235" spans="1:11" ht="25.5" customHeight="1" x14ac:dyDescent="0.25">
      <c r="A235" s="11" t="s">
        <v>1274</v>
      </c>
      <c r="B235" s="14" t="s">
        <v>249</v>
      </c>
      <c r="E235" s="13" t="s">
        <v>1088</v>
      </c>
      <c r="F235" s="14" t="s">
        <v>35</v>
      </c>
      <c r="G235" s="13">
        <v>1</v>
      </c>
      <c r="H235" s="14">
        <f t="shared" si="13"/>
        <v>1</v>
      </c>
      <c r="J235" s="14">
        <v>1</v>
      </c>
      <c r="K235" s="13" t="s">
        <v>1086</v>
      </c>
    </row>
    <row r="236" spans="1:11" ht="25.5" customHeight="1" x14ac:dyDescent="0.25">
      <c r="A236" s="11" t="s">
        <v>1274</v>
      </c>
      <c r="B236" s="14" t="s">
        <v>249</v>
      </c>
      <c r="D236" s="13" t="s">
        <v>465</v>
      </c>
      <c r="E236" s="14" t="s">
        <v>464</v>
      </c>
      <c r="F236" s="14" t="s">
        <v>35</v>
      </c>
      <c r="G236" s="13">
        <v>5</v>
      </c>
      <c r="H236" s="14">
        <f t="shared" si="13"/>
        <v>10</v>
      </c>
      <c r="I236" s="14">
        <v>5</v>
      </c>
      <c r="J236" s="14">
        <v>5</v>
      </c>
      <c r="K236" s="13" t="s">
        <v>1250</v>
      </c>
    </row>
    <row r="237" spans="1:11" ht="25.5" customHeight="1" x14ac:dyDescent="0.25">
      <c r="A237" s="11" t="s">
        <v>1274</v>
      </c>
      <c r="B237" s="14" t="s">
        <v>34</v>
      </c>
      <c r="D237" s="13" t="s">
        <v>1057</v>
      </c>
      <c r="F237" s="14" t="s">
        <v>35</v>
      </c>
      <c r="G237" s="13">
        <v>3</v>
      </c>
      <c r="H237" s="14">
        <f t="shared" si="13"/>
        <v>3</v>
      </c>
      <c r="J237" s="14">
        <v>3</v>
      </c>
      <c r="K237" s="13" t="s">
        <v>1055</v>
      </c>
    </row>
    <row r="238" spans="1:11" ht="25.5" customHeight="1" x14ac:dyDescent="0.25">
      <c r="A238" s="11" t="s">
        <v>1274</v>
      </c>
      <c r="B238" s="14" t="s">
        <v>34</v>
      </c>
      <c r="D238" s="13" t="s">
        <v>1034</v>
      </c>
      <c r="E238" s="14" t="s">
        <v>1048</v>
      </c>
      <c r="F238" s="14" t="s">
        <v>35</v>
      </c>
      <c r="G238" s="13"/>
      <c r="H238" s="14">
        <f t="shared" si="13"/>
        <v>2</v>
      </c>
      <c r="I238" s="14">
        <v>2</v>
      </c>
      <c r="J238" s="14">
        <v>1</v>
      </c>
      <c r="K238" s="13" t="s">
        <v>1043</v>
      </c>
    </row>
    <row r="239" spans="1:11" ht="25.5" customHeight="1" x14ac:dyDescent="0.25">
      <c r="A239" s="11" t="s">
        <v>1274</v>
      </c>
      <c r="B239" s="14" t="s">
        <v>34</v>
      </c>
      <c r="D239" s="13" t="s">
        <v>1034</v>
      </c>
      <c r="E239" s="14" t="s">
        <v>1047</v>
      </c>
      <c r="F239" s="14" t="s">
        <v>35</v>
      </c>
      <c r="G239" s="13">
        <v>6</v>
      </c>
      <c r="H239" s="14">
        <f t="shared" si="13"/>
        <v>8</v>
      </c>
      <c r="I239" s="14">
        <v>2</v>
      </c>
      <c r="J239" s="14">
        <v>4</v>
      </c>
      <c r="K239" s="13" t="s">
        <v>1064</v>
      </c>
    </row>
    <row r="240" spans="1:11" ht="25.5" customHeight="1" x14ac:dyDescent="0.25">
      <c r="A240" s="11" t="s">
        <v>1274</v>
      </c>
      <c r="B240" s="14" t="s">
        <v>34</v>
      </c>
      <c r="D240" s="13" t="s">
        <v>753</v>
      </c>
      <c r="E240" s="13" t="s">
        <v>1042</v>
      </c>
      <c r="F240" s="14" t="s">
        <v>35</v>
      </c>
      <c r="G240" s="13">
        <v>5</v>
      </c>
      <c r="H240" s="14">
        <f t="shared" si="13"/>
        <v>5</v>
      </c>
      <c r="J240" s="14">
        <v>1</v>
      </c>
      <c r="K240" s="13" t="s">
        <v>1043</v>
      </c>
    </row>
    <row r="241" spans="1:11" ht="25.5" customHeight="1" x14ac:dyDescent="0.25">
      <c r="A241" s="11" t="s">
        <v>1274</v>
      </c>
      <c r="B241" s="14" t="s">
        <v>34</v>
      </c>
      <c r="E241" s="13" t="s">
        <v>469</v>
      </c>
      <c r="F241" s="14" t="s">
        <v>35</v>
      </c>
      <c r="G241" s="13">
        <v>2</v>
      </c>
      <c r="H241" s="14">
        <f t="shared" si="13"/>
        <v>4</v>
      </c>
      <c r="I241" s="14">
        <v>2</v>
      </c>
      <c r="J241" s="14">
        <v>3</v>
      </c>
      <c r="K241" s="13" t="s">
        <v>1069</v>
      </c>
    </row>
    <row r="242" spans="1:11" ht="25.5" customHeight="1" x14ac:dyDescent="0.25">
      <c r="A242" s="11" t="s">
        <v>1274</v>
      </c>
      <c r="B242" s="14" t="s">
        <v>99</v>
      </c>
      <c r="E242" s="13"/>
      <c r="F242" s="14" t="s">
        <v>35</v>
      </c>
      <c r="G242" s="13">
        <v>9</v>
      </c>
      <c r="H242" s="14">
        <f t="shared" si="13"/>
        <v>10</v>
      </c>
      <c r="I242" s="14">
        <v>1</v>
      </c>
      <c r="J242" s="14">
        <v>5</v>
      </c>
      <c r="K242" s="13" t="s">
        <v>1342</v>
      </c>
    </row>
    <row r="243" spans="1:11" ht="25.5" customHeight="1" x14ac:dyDescent="0.25">
      <c r="A243" s="11" t="s">
        <v>1274</v>
      </c>
      <c r="B243" s="14" t="s">
        <v>975</v>
      </c>
      <c r="F243" s="14" t="s">
        <v>35</v>
      </c>
      <c r="G243" s="13">
        <v>4</v>
      </c>
      <c r="H243" s="14">
        <f t="shared" si="13"/>
        <v>4</v>
      </c>
      <c r="J243" s="14">
        <v>3</v>
      </c>
      <c r="K243" s="13" t="s">
        <v>1071</v>
      </c>
    </row>
    <row r="244" spans="1:11" ht="25.5" customHeight="1" x14ac:dyDescent="0.25">
      <c r="A244" s="11" t="s">
        <v>1274</v>
      </c>
      <c r="B244" s="14" t="s">
        <v>99</v>
      </c>
      <c r="C244" s="10" t="s">
        <v>745</v>
      </c>
      <c r="D244" s="13" t="s">
        <v>1034</v>
      </c>
      <c r="E244" s="14" t="s">
        <v>249</v>
      </c>
      <c r="F244" s="14" t="s">
        <v>35</v>
      </c>
      <c r="G244" s="13">
        <v>3</v>
      </c>
      <c r="H244" s="14">
        <f t="shared" si="13"/>
        <v>3</v>
      </c>
      <c r="J244" s="14">
        <v>1</v>
      </c>
      <c r="K244" s="13" t="s">
        <v>1035</v>
      </c>
    </row>
    <row r="245" spans="1:11" ht="25.5" customHeight="1" x14ac:dyDescent="0.25">
      <c r="A245" s="11" t="s">
        <v>1274</v>
      </c>
      <c r="C245" s="10" t="s">
        <v>771</v>
      </c>
      <c r="F245" s="14" t="s">
        <v>771</v>
      </c>
      <c r="G245" s="13">
        <v>59</v>
      </c>
      <c r="H245" s="14">
        <f t="shared" ref="H245:H255" si="14">SUM(G245,I245)</f>
        <v>74</v>
      </c>
      <c r="I245" s="14">
        <v>15</v>
      </c>
      <c r="J245" s="14">
        <v>36</v>
      </c>
      <c r="K245" s="13" t="s">
        <v>1335</v>
      </c>
    </row>
    <row r="246" spans="1:11" ht="25.5" customHeight="1" x14ac:dyDescent="0.25">
      <c r="A246" s="11" t="s">
        <v>1274</v>
      </c>
      <c r="B246" s="14" t="s">
        <v>775</v>
      </c>
      <c r="F246" s="13" t="s">
        <v>776</v>
      </c>
      <c r="G246" s="13">
        <v>1</v>
      </c>
      <c r="H246" s="14">
        <f t="shared" si="14"/>
        <v>1</v>
      </c>
      <c r="J246" s="14">
        <v>1</v>
      </c>
      <c r="K246" s="13" t="s">
        <v>1234</v>
      </c>
    </row>
    <row r="247" spans="1:11" ht="25.5" customHeight="1" x14ac:dyDescent="0.25">
      <c r="A247" s="11" t="s">
        <v>1274</v>
      </c>
      <c r="B247" s="14" t="s">
        <v>778</v>
      </c>
      <c r="F247" s="13" t="s">
        <v>776</v>
      </c>
      <c r="G247" s="13">
        <v>3</v>
      </c>
      <c r="H247" s="14">
        <f t="shared" si="14"/>
        <v>3</v>
      </c>
      <c r="J247" s="14">
        <v>3</v>
      </c>
      <c r="K247" s="13" t="s">
        <v>1227</v>
      </c>
    </row>
    <row r="248" spans="1:11" ht="25.5" customHeight="1" x14ac:dyDescent="0.25">
      <c r="A248" s="11" t="s">
        <v>1274</v>
      </c>
      <c r="B248" s="14" t="s">
        <v>1157</v>
      </c>
      <c r="F248" s="13" t="s">
        <v>773</v>
      </c>
      <c r="G248" s="13"/>
      <c r="H248" s="14">
        <f t="shared" si="14"/>
        <v>1</v>
      </c>
      <c r="I248" s="14">
        <v>1</v>
      </c>
      <c r="J248" s="14">
        <v>1</v>
      </c>
      <c r="K248" s="13" t="s">
        <v>1211</v>
      </c>
    </row>
    <row r="249" spans="1:11" ht="25.5" customHeight="1" x14ac:dyDescent="0.25">
      <c r="A249" s="11" t="s">
        <v>1274</v>
      </c>
      <c r="B249" s="14" t="s">
        <v>1157</v>
      </c>
      <c r="E249" s="14" t="s">
        <v>1233</v>
      </c>
      <c r="F249" s="13" t="s">
        <v>773</v>
      </c>
      <c r="G249" s="13">
        <v>3</v>
      </c>
      <c r="H249" s="14">
        <f t="shared" si="14"/>
        <v>4</v>
      </c>
      <c r="I249" s="14">
        <v>1</v>
      </c>
      <c r="J249" s="14">
        <v>2</v>
      </c>
      <c r="K249" s="13" t="s">
        <v>1235</v>
      </c>
    </row>
    <row r="250" spans="1:11" ht="25.5" customHeight="1" x14ac:dyDescent="0.25">
      <c r="A250" s="11" t="s">
        <v>1274</v>
      </c>
      <c r="D250" s="13" t="s">
        <v>969</v>
      </c>
      <c r="F250" s="14" t="s">
        <v>771</v>
      </c>
      <c r="G250" s="13">
        <v>8</v>
      </c>
      <c r="H250" s="14">
        <f t="shared" si="14"/>
        <v>14</v>
      </c>
      <c r="I250" s="14">
        <v>6</v>
      </c>
      <c r="J250" s="14">
        <v>4</v>
      </c>
      <c r="K250" s="13" t="s">
        <v>1254</v>
      </c>
    </row>
    <row r="251" spans="1:11" ht="25.5" customHeight="1" x14ac:dyDescent="0.25">
      <c r="A251" s="11" t="s">
        <v>1274</v>
      </c>
      <c r="D251" s="13" t="s">
        <v>1107</v>
      </c>
      <c r="F251" s="14" t="s">
        <v>771</v>
      </c>
      <c r="G251" s="13">
        <v>10</v>
      </c>
      <c r="H251" s="14">
        <f t="shared" si="14"/>
        <v>13</v>
      </c>
      <c r="I251" s="14">
        <v>3</v>
      </c>
      <c r="J251" s="14">
        <v>7</v>
      </c>
      <c r="K251" s="13" t="s">
        <v>1321</v>
      </c>
    </row>
    <row r="252" spans="1:11" ht="25.5" customHeight="1" x14ac:dyDescent="0.25">
      <c r="A252" s="11" t="s">
        <v>1274</v>
      </c>
      <c r="D252" s="13" t="s">
        <v>1219</v>
      </c>
      <c r="F252" s="14" t="s">
        <v>771</v>
      </c>
      <c r="G252" s="13">
        <v>10</v>
      </c>
      <c r="H252" s="14">
        <f t="shared" si="14"/>
        <v>12</v>
      </c>
      <c r="I252" s="14">
        <v>2</v>
      </c>
      <c r="J252" s="14">
        <v>5</v>
      </c>
      <c r="K252" s="13" t="s">
        <v>1247</v>
      </c>
    </row>
    <row r="253" spans="1:11" ht="25.5" customHeight="1" x14ac:dyDescent="0.25">
      <c r="A253" s="11" t="s">
        <v>1274</v>
      </c>
      <c r="D253" s="13" t="s">
        <v>1094</v>
      </c>
      <c r="E253" s="14" t="s">
        <v>982</v>
      </c>
      <c r="F253" s="14" t="s">
        <v>771</v>
      </c>
      <c r="G253" s="13">
        <v>11</v>
      </c>
      <c r="H253" s="14">
        <f t="shared" si="14"/>
        <v>16</v>
      </c>
      <c r="I253" s="14">
        <v>5</v>
      </c>
      <c r="J253" s="14">
        <v>7</v>
      </c>
      <c r="K253" s="13" t="s">
        <v>1261</v>
      </c>
    </row>
    <row r="254" spans="1:11" ht="25.5" customHeight="1" x14ac:dyDescent="0.25">
      <c r="A254" s="11" t="s">
        <v>1274</v>
      </c>
      <c r="B254" s="14" t="s">
        <v>980</v>
      </c>
      <c r="C254" s="10" t="s">
        <v>1216</v>
      </c>
      <c r="D254" s="13" t="s">
        <v>1217</v>
      </c>
      <c r="E254" s="14" t="s">
        <v>980</v>
      </c>
      <c r="F254" s="14" t="s">
        <v>771</v>
      </c>
      <c r="G254" s="13">
        <v>1</v>
      </c>
      <c r="H254" s="14">
        <f t="shared" si="14"/>
        <v>1</v>
      </c>
      <c r="J254" s="14">
        <v>1</v>
      </c>
      <c r="K254" s="13" t="s">
        <v>1218</v>
      </c>
    </row>
    <row r="255" spans="1:11" ht="25.5" customHeight="1" x14ac:dyDescent="0.25">
      <c r="A255" s="11" t="s">
        <v>1274</v>
      </c>
      <c r="D255" s="13" t="s">
        <v>981</v>
      </c>
      <c r="E255" s="13" t="s">
        <v>879</v>
      </c>
      <c r="F255" s="14" t="s">
        <v>771</v>
      </c>
      <c r="G255" s="13">
        <v>6</v>
      </c>
      <c r="H255" s="14">
        <f t="shared" si="14"/>
        <v>9</v>
      </c>
      <c r="I255" s="14">
        <v>3</v>
      </c>
      <c r="J255" s="14">
        <v>6</v>
      </c>
      <c r="K255" s="13" t="s">
        <v>1256</v>
      </c>
    </row>
    <row r="256" spans="1:11" ht="25.5" customHeight="1" x14ac:dyDescent="0.25">
      <c r="A256" s="11" t="s">
        <v>1274</v>
      </c>
      <c r="B256" s="14" t="s">
        <v>1248</v>
      </c>
      <c r="D256" s="13" t="s">
        <v>1249</v>
      </c>
      <c r="E256" s="14" t="s">
        <v>1220</v>
      </c>
      <c r="F256" s="13" t="s">
        <v>773</v>
      </c>
      <c r="G256" s="13">
        <v>3</v>
      </c>
      <c r="H256" s="14">
        <f t="shared" ref="H256:H268" si="15">SUM(G256,I256)</f>
        <v>3</v>
      </c>
      <c r="J256" s="14">
        <v>1</v>
      </c>
      <c r="K256" s="13" t="s">
        <v>1243</v>
      </c>
    </row>
    <row r="257" spans="1:11" ht="25.5" customHeight="1" x14ac:dyDescent="0.25">
      <c r="A257" s="11" t="s">
        <v>1274</v>
      </c>
      <c r="B257" s="14" t="s">
        <v>1248</v>
      </c>
      <c r="D257" s="13" t="s">
        <v>1255</v>
      </c>
      <c r="F257" s="13" t="s">
        <v>773</v>
      </c>
      <c r="G257" s="13">
        <v>1</v>
      </c>
      <c r="H257" s="14">
        <f t="shared" si="15"/>
        <v>1</v>
      </c>
      <c r="J257" s="14">
        <v>1</v>
      </c>
      <c r="K257" s="13" t="s">
        <v>1252</v>
      </c>
    </row>
    <row r="258" spans="1:11" ht="25.5" customHeight="1" x14ac:dyDescent="0.25">
      <c r="A258" s="11" t="s">
        <v>1274</v>
      </c>
      <c r="B258" s="14" t="s">
        <v>1248</v>
      </c>
      <c r="D258" s="13" t="s">
        <v>1257</v>
      </c>
      <c r="F258" s="13" t="s">
        <v>773</v>
      </c>
      <c r="G258" s="13">
        <v>1</v>
      </c>
      <c r="H258" s="14">
        <f t="shared" si="15"/>
        <v>1</v>
      </c>
      <c r="J258" s="14">
        <v>1</v>
      </c>
      <c r="K258" s="13" t="s">
        <v>1258</v>
      </c>
    </row>
    <row r="259" spans="1:11" ht="25.5" customHeight="1" x14ac:dyDescent="0.25">
      <c r="A259" s="11" t="s">
        <v>1274</v>
      </c>
      <c r="B259" s="14" t="s">
        <v>793</v>
      </c>
      <c r="E259" s="14" t="s">
        <v>793</v>
      </c>
      <c r="F259" s="13" t="s">
        <v>773</v>
      </c>
      <c r="G259" s="13">
        <v>4</v>
      </c>
      <c r="H259" s="14">
        <f t="shared" si="15"/>
        <v>4</v>
      </c>
      <c r="J259" s="14">
        <v>4</v>
      </c>
      <c r="K259" s="13" t="s">
        <v>1294</v>
      </c>
    </row>
    <row r="260" spans="1:11" ht="25.5" customHeight="1" x14ac:dyDescent="0.25">
      <c r="A260" s="11" t="s">
        <v>1274</v>
      </c>
      <c r="B260" s="14" t="s">
        <v>793</v>
      </c>
      <c r="D260" s="13" t="s">
        <v>1242</v>
      </c>
      <c r="E260" s="14" t="s">
        <v>793</v>
      </c>
      <c r="F260" s="13" t="s">
        <v>773</v>
      </c>
      <c r="G260" s="13">
        <v>3</v>
      </c>
      <c r="H260" s="14">
        <f t="shared" si="15"/>
        <v>6</v>
      </c>
      <c r="I260" s="14">
        <v>3</v>
      </c>
      <c r="J260" s="14">
        <v>1</v>
      </c>
      <c r="K260" s="13" t="s">
        <v>1243</v>
      </c>
    </row>
    <row r="261" spans="1:11" ht="25.5" customHeight="1" x14ac:dyDescent="0.25">
      <c r="A261" s="11" t="s">
        <v>1274</v>
      </c>
      <c r="B261" s="14" t="s">
        <v>878</v>
      </c>
      <c r="D261" s="13" t="s">
        <v>1249</v>
      </c>
      <c r="E261" s="14" t="s">
        <v>1220</v>
      </c>
      <c r="F261" s="13" t="s">
        <v>773</v>
      </c>
      <c r="G261" s="13">
        <v>1</v>
      </c>
      <c r="H261" s="14">
        <f t="shared" si="15"/>
        <v>1</v>
      </c>
      <c r="J261" s="14">
        <v>1</v>
      </c>
      <c r="K261" s="13" t="s">
        <v>1243</v>
      </c>
    </row>
    <row r="262" spans="1:11" ht="25.5" customHeight="1" x14ac:dyDescent="0.25">
      <c r="A262" s="11" t="s">
        <v>1274</v>
      </c>
      <c r="B262" s="14" t="s">
        <v>878</v>
      </c>
      <c r="D262" s="13" t="s">
        <v>1255</v>
      </c>
      <c r="F262" s="13" t="s">
        <v>773</v>
      </c>
      <c r="G262" s="13">
        <v>1</v>
      </c>
      <c r="H262" s="14">
        <f t="shared" si="15"/>
        <v>1</v>
      </c>
      <c r="J262" s="14">
        <v>1</v>
      </c>
      <c r="K262" s="13" t="s">
        <v>1252</v>
      </c>
    </row>
    <row r="263" spans="1:11" ht="25.5" customHeight="1" x14ac:dyDescent="0.25">
      <c r="A263" s="11" t="s">
        <v>1274</v>
      </c>
      <c r="B263" s="14" t="s">
        <v>878</v>
      </c>
      <c r="D263" s="13" t="s">
        <v>1257</v>
      </c>
      <c r="F263" s="13" t="s">
        <v>773</v>
      </c>
      <c r="G263" s="13">
        <v>1</v>
      </c>
      <c r="H263" s="14">
        <f t="shared" si="15"/>
        <v>1</v>
      </c>
      <c r="J263" s="14">
        <v>1</v>
      </c>
      <c r="K263" s="13" t="s">
        <v>1258</v>
      </c>
    </row>
    <row r="264" spans="1:11" ht="25.5" customHeight="1" x14ac:dyDescent="0.25">
      <c r="A264" s="11" t="s">
        <v>1274</v>
      </c>
      <c r="B264" s="14" t="s">
        <v>804</v>
      </c>
      <c r="F264" s="13" t="s">
        <v>773</v>
      </c>
      <c r="G264" s="13">
        <v>1</v>
      </c>
      <c r="H264" s="14">
        <f t="shared" si="15"/>
        <v>1</v>
      </c>
      <c r="J264" s="14">
        <v>1</v>
      </c>
      <c r="K264" s="13" t="s">
        <v>1243</v>
      </c>
    </row>
    <row r="265" spans="1:11" ht="25.5" customHeight="1" x14ac:dyDescent="0.25">
      <c r="A265" s="11" t="s">
        <v>1274</v>
      </c>
      <c r="B265" s="14" t="s">
        <v>984</v>
      </c>
      <c r="C265" s="10" t="s">
        <v>985</v>
      </c>
      <c r="F265" s="13" t="s">
        <v>773</v>
      </c>
      <c r="G265" s="13">
        <v>2</v>
      </c>
      <c r="H265" s="14">
        <f t="shared" si="15"/>
        <v>2</v>
      </c>
      <c r="J265" s="14">
        <v>2</v>
      </c>
      <c r="K265" s="13" t="s">
        <v>1238</v>
      </c>
    </row>
    <row r="266" spans="1:11" ht="25.5" customHeight="1" x14ac:dyDescent="0.25">
      <c r="A266" s="11" t="s">
        <v>1274</v>
      </c>
      <c r="B266" s="14" t="s">
        <v>785</v>
      </c>
      <c r="D266" s="13" t="s">
        <v>977</v>
      </c>
      <c r="E266" s="14" t="s">
        <v>786</v>
      </c>
      <c r="F266" s="13" t="s">
        <v>773</v>
      </c>
      <c r="G266" s="13"/>
      <c r="H266" s="14">
        <f t="shared" si="15"/>
        <v>2</v>
      </c>
      <c r="I266" s="14">
        <v>2</v>
      </c>
      <c r="J266" s="14">
        <v>2</v>
      </c>
      <c r="K266" s="13" t="s">
        <v>1214</v>
      </c>
    </row>
    <row r="267" spans="1:11" ht="25.5" customHeight="1" x14ac:dyDescent="0.25">
      <c r="A267" s="11" t="s">
        <v>1274</v>
      </c>
      <c r="B267" s="14" t="s">
        <v>795</v>
      </c>
      <c r="C267" s="10" t="s">
        <v>944</v>
      </c>
      <c r="D267" s="13" t="s">
        <v>1223</v>
      </c>
      <c r="E267" s="14" t="s">
        <v>797</v>
      </c>
      <c r="F267" s="13" t="s">
        <v>773</v>
      </c>
      <c r="G267" s="13">
        <v>15</v>
      </c>
      <c r="H267" s="14">
        <f t="shared" si="15"/>
        <v>29</v>
      </c>
      <c r="I267" s="14">
        <v>14</v>
      </c>
      <c r="J267" s="14">
        <v>14</v>
      </c>
      <c r="K267" s="13" t="s">
        <v>1337</v>
      </c>
    </row>
    <row r="268" spans="1:11" ht="25.5" customHeight="1" x14ac:dyDescent="0.25">
      <c r="A268" s="11" t="s">
        <v>1274</v>
      </c>
      <c r="B268" s="14" t="s">
        <v>772</v>
      </c>
      <c r="E268" s="14" t="s">
        <v>786</v>
      </c>
      <c r="F268" s="14" t="s">
        <v>773</v>
      </c>
      <c r="G268" s="13">
        <v>1</v>
      </c>
      <c r="H268" s="14">
        <f t="shared" si="15"/>
        <v>1</v>
      </c>
      <c r="J268" s="14">
        <v>1</v>
      </c>
      <c r="K268" s="13" t="s">
        <v>1234</v>
      </c>
    </row>
    <row r="269" spans="1:11" ht="25.5" customHeight="1" x14ac:dyDescent="0.25">
      <c r="A269" s="11" t="s">
        <v>1274</v>
      </c>
      <c r="E269" s="13" t="s">
        <v>982</v>
      </c>
      <c r="F269" s="14" t="s">
        <v>771</v>
      </c>
      <c r="G269" s="13">
        <v>4</v>
      </c>
      <c r="H269" s="14">
        <f t="shared" ref="H269:H278" si="16">SUM(G269,I269)</f>
        <v>6</v>
      </c>
      <c r="I269" s="14">
        <v>2</v>
      </c>
      <c r="J269" s="14">
        <v>3</v>
      </c>
      <c r="K269" s="13" t="s">
        <v>1215</v>
      </c>
    </row>
    <row r="270" spans="1:11" ht="25.5" customHeight="1" x14ac:dyDescent="0.25">
      <c r="A270" s="11" t="s">
        <v>1274</v>
      </c>
      <c r="E270" s="13" t="s">
        <v>1221</v>
      </c>
      <c r="F270" s="14" t="s">
        <v>771</v>
      </c>
      <c r="G270" s="13">
        <v>2</v>
      </c>
      <c r="H270" s="14">
        <f t="shared" si="16"/>
        <v>2</v>
      </c>
      <c r="J270" s="14">
        <v>2</v>
      </c>
      <c r="K270" s="13" t="s">
        <v>1253</v>
      </c>
    </row>
    <row r="271" spans="1:11" ht="25.5" customHeight="1" x14ac:dyDescent="0.25">
      <c r="A271" s="11" t="s">
        <v>1274</v>
      </c>
      <c r="E271" s="13" t="s">
        <v>1224</v>
      </c>
      <c r="F271" s="14" t="s">
        <v>771</v>
      </c>
      <c r="G271" s="13">
        <v>1</v>
      </c>
      <c r="H271" s="14">
        <f t="shared" si="16"/>
        <v>1</v>
      </c>
      <c r="J271" s="14">
        <v>1</v>
      </c>
      <c r="K271" s="13" t="s">
        <v>1222</v>
      </c>
    </row>
    <row r="272" spans="1:11" ht="25.5" customHeight="1" x14ac:dyDescent="0.25">
      <c r="A272" s="11" t="s">
        <v>1274</v>
      </c>
      <c r="E272" s="14" t="s">
        <v>776</v>
      </c>
      <c r="F272" s="14" t="s">
        <v>771</v>
      </c>
      <c r="G272" s="13">
        <v>5</v>
      </c>
      <c r="H272" s="14">
        <f t="shared" si="16"/>
        <v>5</v>
      </c>
      <c r="J272" s="14">
        <v>4</v>
      </c>
      <c r="K272" s="13" t="s">
        <v>1306</v>
      </c>
    </row>
    <row r="273" spans="1:11" ht="25.5" customHeight="1" x14ac:dyDescent="0.25">
      <c r="A273" s="11" t="s">
        <v>1274</v>
      </c>
      <c r="E273" s="14" t="s">
        <v>1023</v>
      </c>
      <c r="F273" s="14" t="s">
        <v>771</v>
      </c>
      <c r="G273" s="13">
        <v>3</v>
      </c>
      <c r="H273" s="14">
        <f t="shared" si="16"/>
        <v>3</v>
      </c>
      <c r="J273" s="14">
        <v>3</v>
      </c>
      <c r="K273" s="13" t="s">
        <v>1288</v>
      </c>
    </row>
    <row r="274" spans="1:11" ht="25.5" customHeight="1" x14ac:dyDescent="0.25">
      <c r="A274" s="11" t="s">
        <v>1274</v>
      </c>
      <c r="E274" s="14" t="s">
        <v>1203</v>
      </c>
      <c r="F274" s="14" t="s">
        <v>771</v>
      </c>
      <c r="G274" s="13">
        <v>1</v>
      </c>
      <c r="H274" s="14">
        <f t="shared" si="16"/>
        <v>1</v>
      </c>
      <c r="J274" s="14">
        <v>1</v>
      </c>
      <c r="K274" s="13" t="s">
        <v>893</v>
      </c>
    </row>
    <row r="275" spans="1:11" ht="25.5" customHeight="1" x14ac:dyDescent="0.25">
      <c r="A275" s="11" t="s">
        <v>1274</v>
      </c>
      <c r="E275" s="14" t="s">
        <v>879</v>
      </c>
      <c r="F275" s="14" t="s">
        <v>771</v>
      </c>
      <c r="G275" s="13">
        <v>2</v>
      </c>
      <c r="H275" s="14">
        <f t="shared" si="16"/>
        <v>2</v>
      </c>
      <c r="J275" s="14">
        <v>1</v>
      </c>
      <c r="K275" s="13" t="s">
        <v>1262</v>
      </c>
    </row>
    <row r="276" spans="1:11" ht="25.5" customHeight="1" x14ac:dyDescent="0.25">
      <c r="A276" s="11" t="s">
        <v>1274</v>
      </c>
      <c r="C276" s="10" t="s">
        <v>774</v>
      </c>
      <c r="E276" s="14" t="s">
        <v>1221</v>
      </c>
      <c r="F276" s="14" t="s">
        <v>771</v>
      </c>
      <c r="G276" s="13">
        <v>7</v>
      </c>
      <c r="H276" s="14">
        <f t="shared" si="16"/>
        <v>7</v>
      </c>
      <c r="J276" s="14">
        <v>6</v>
      </c>
      <c r="K276" s="13" t="s">
        <v>1325</v>
      </c>
    </row>
    <row r="277" spans="1:11" ht="25.5" customHeight="1" x14ac:dyDescent="0.25">
      <c r="A277" s="11" t="s">
        <v>1274</v>
      </c>
      <c r="B277" s="14" t="s">
        <v>875</v>
      </c>
      <c r="C277" s="10" t="s">
        <v>875</v>
      </c>
      <c r="D277" s="13" t="s">
        <v>1289</v>
      </c>
      <c r="E277" s="14" t="s">
        <v>1290</v>
      </c>
      <c r="F277" s="14" t="s">
        <v>773</v>
      </c>
      <c r="G277" s="14">
        <v>2</v>
      </c>
      <c r="H277" s="14">
        <f t="shared" si="16"/>
        <v>3</v>
      </c>
      <c r="I277" s="14">
        <v>1</v>
      </c>
      <c r="J277" s="14">
        <v>3</v>
      </c>
      <c r="K277" s="13" t="s">
        <v>1244</v>
      </c>
    </row>
    <row r="278" spans="1:11" ht="25.5" customHeight="1" x14ac:dyDescent="0.25">
      <c r="A278" s="15" t="s">
        <v>1274</v>
      </c>
      <c r="B278" s="14" t="s">
        <v>875</v>
      </c>
      <c r="C278" s="10" t="s">
        <v>875</v>
      </c>
      <c r="D278" s="13" t="s">
        <v>1257</v>
      </c>
      <c r="E278" s="14" t="s">
        <v>1290</v>
      </c>
      <c r="F278" s="14" t="s">
        <v>773</v>
      </c>
      <c r="G278" s="14">
        <v>1</v>
      </c>
      <c r="H278" s="14">
        <f t="shared" si="16"/>
        <v>1</v>
      </c>
      <c r="J278" s="14">
        <v>1</v>
      </c>
      <c r="K278" s="13" t="s">
        <v>1286</v>
      </c>
    </row>
    <row r="281" spans="1:11" ht="25.5" customHeight="1" x14ac:dyDescent="0.25">
      <c r="B281" s="23" t="s">
        <v>532</v>
      </c>
      <c r="C281" s="10">
        <f>H2</f>
        <v>4</v>
      </c>
    </row>
    <row r="282" spans="1:11" ht="25.5" customHeight="1" x14ac:dyDescent="0.25">
      <c r="B282" s="23" t="s">
        <v>411</v>
      </c>
      <c r="C282" s="10">
        <v>0</v>
      </c>
    </row>
    <row r="283" spans="1:11" ht="25.5" customHeight="1" x14ac:dyDescent="0.25">
      <c r="B283" s="23" t="s">
        <v>297</v>
      </c>
      <c r="C283" s="10">
        <v>0</v>
      </c>
    </row>
    <row r="284" spans="1:11" ht="25.5" customHeight="1" x14ac:dyDescent="0.25">
      <c r="B284" s="24" t="s">
        <v>76</v>
      </c>
      <c r="C284" s="10">
        <f>H3+H195</f>
        <v>8</v>
      </c>
    </row>
    <row r="285" spans="1:11" ht="25.5" customHeight="1" x14ac:dyDescent="0.25">
      <c r="B285" s="25" t="s">
        <v>213</v>
      </c>
      <c r="C285" s="10">
        <f>H4</f>
        <v>4</v>
      </c>
      <c r="D285" s="15"/>
      <c r="E285" s="15"/>
      <c r="F285" s="15"/>
      <c r="G285" s="15"/>
      <c r="I285" s="15"/>
      <c r="J285" s="15"/>
      <c r="K285" s="16"/>
    </row>
    <row r="286" spans="1:11" ht="25.5" customHeight="1" x14ac:dyDescent="0.25">
      <c r="B286" s="24" t="s">
        <v>42</v>
      </c>
      <c r="C286" s="10">
        <f>H5+SUM(H168:H169)</f>
        <v>6</v>
      </c>
      <c r="D286" s="15"/>
      <c r="E286" s="15"/>
      <c r="F286" s="15"/>
      <c r="G286" s="15"/>
      <c r="I286" s="15"/>
      <c r="J286" s="15"/>
      <c r="K286" s="16"/>
    </row>
    <row r="287" spans="1:11" ht="25.5" customHeight="1" x14ac:dyDescent="0.25">
      <c r="B287" s="26" t="s">
        <v>10</v>
      </c>
      <c r="C287" s="10">
        <f>SUM(H6:H9)+H170</f>
        <v>15</v>
      </c>
      <c r="D287" s="15"/>
      <c r="E287" s="15"/>
      <c r="F287" s="15"/>
      <c r="G287" s="15"/>
      <c r="I287" s="15"/>
      <c r="J287" s="15"/>
      <c r="K287" s="16"/>
    </row>
    <row r="288" spans="1:11" ht="25.5" customHeight="1" x14ac:dyDescent="0.25">
      <c r="B288" s="26" t="s">
        <v>126</v>
      </c>
      <c r="C288" s="10">
        <f>H10+SUM(H171:H172)</f>
        <v>5</v>
      </c>
      <c r="D288" s="15"/>
      <c r="E288" s="15"/>
      <c r="F288" s="15"/>
      <c r="G288" s="15"/>
      <c r="I288" s="15"/>
      <c r="J288" s="15"/>
      <c r="K288" s="16"/>
    </row>
    <row r="289" spans="2:3" ht="25.5" customHeight="1" x14ac:dyDescent="0.25">
      <c r="B289" s="23" t="s">
        <v>191</v>
      </c>
      <c r="C289" s="10">
        <f>H11</f>
        <v>2</v>
      </c>
    </row>
    <row r="290" spans="2:3" ht="25.5" customHeight="1" x14ac:dyDescent="0.25">
      <c r="B290" s="23" t="s">
        <v>68</v>
      </c>
      <c r="C290" s="10">
        <f>SUM(H12:H16)+H173</f>
        <v>8</v>
      </c>
    </row>
    <row r="291" spans="2:3" ht="25.5" customHeight="1" x14ac:dyDescent="0.25">
      <c r="B291" s="26" t="s">
        <v>674</v>
      </c>
      <c r="C291" s="10">
        <v>0</v>
      </c>
    </row>
    <row r="292" spans="2:3" ht="25.5" customHeight="1" x14ac:dyDescent="0.25">
      <c r="B292" s="23" t="s">
        <v>209</v>
      </c>
      <c r="C292" s="10">
        <v>0</v>
      </c>
    </row>
    <row r="293" spans="2:3" ht="25.5" customHeight="1" x14ac:dyDescent="0.25">
      <c r="B293" s="23" t="s">
        <v>64</v>
      </c>
      <c r="C293" s="10">
        <f>SUM(H17:H20)</f>
        <v>15</v>
      </c>
    </row>
    <row r="294" spans="2:3" ht="25.5" customHeight="1" x14ac:dyDescent="0.25">
      <c r="B294" s="23" t="s">
        <v>261</v>
      </c>
      <c r="C294" s="10">
        <v>0</v>
      </c>
    </row>
    <row r="295" spans="2:3" customFormat="1" ht="25.5" customHeight="1" x14ac:dyDescent="0.25">
      <c r="B295" s="23" t="s">
        <v>1346</v>
      </c>
      <c r="C295" s="21">
        <v>0</v>
      </c>
    </row>
    <row r="296" spans="2:3" ht="25.5" customHeight="1" x14ac:dyDescent="0.25">
      <c r="B296" s="23" t="s">
        <v>283</v>
      </c>
      <c r="C296" s="10">
        <f>H175</f>
        <v>1</v>
      </c>
    </row>
    <row r="297" spans="2:3" ht="25.5" customHeight="1" x14ac:dyDescent="0.25">
      <c r="B297" s="26" t="s">
        <v>430</v>
      </c>
      <c r="C297" s="10">
        <v>0</v>
      </c>
    </row>
    <row r="298" spans="2:3" ht="25.5" customHeight="1" x14ac:dyDescent="0.25">
      <c r="B298" s="26" t="s">
        <v>328</v>
      </c>
      <c r="C298" s="10">
        <v>0</v>
      </c>
    </row>
    <row r="299" spans="2:3" ht="25.5" customHeight="1" x14ac:dyDescent="0.25">
      <c r="B299" s="26" t="s">
        <v>483</v>
      </c>
      <c r="C299" s="10">
        <f>H21</f>
        <v>1</v>
      </c>
    </row>
    <row r="300" spans="2:3" ht="25.5" customHeight="1" x14ac:dyDescent="0.25">
      <c r="B300" s="23" t="s">
        <v>78</v>
      </c>
      <c r="C300" s="10">
        <f>H22</f>
        <v>1</v>
      </c>
    </row>
    <row r="301" spans="2:3" ht="25.5" customHeight="1" x14ac:dyDescent="0.25">
      <c r="B301" s="23" t="s">
        <v>206</v>
      </c>
      <c r="C301" s="10">
        <v>0</v>
      </c>
    </row>
    <row r="302" spans="2:3" ht="25.5" customHeight="1" x14ac:dyDescent="0.25">
      <c r="B302" s="26" t="s">
        <v>46</v>
      </c>
      <c r="C302" s="10">
        <v>0</v>
      </c>
    </row>
    <row r="303" spans="2:3" ht="25.5" customHeight="1" x14ac:dyDescent="0.25">
      <c r="B303" s="23" t="s">
        <v>62</v>
      </c>
      <c r="C303" s="10">
        <f>SUM(H23:H25)</f>
        <v>10</v>
      </c>
    </row>
    <row r="304" spans="2:3" ht="25.5" customHeight="1" x14ac:dyDescent="0.25">
      <c r="B304" s="23" t="s">
        <v>82</v>
      </c>
      <c r="C304" s="10">
        <v>0</v>
      </c>
    </row>
    <row r="305" spans="2:4" ht="25.5" customHeight="1" x14ac:dyDescent="0.25">
      <c r="B305" s="23" t="s">
        <v>22</v>
      </c>
      <c r="C305" s="10">
        <v>0</v>
      </c>
    </row>
    <row r="306" spans="2:4" ht="25.5" customHeight="1" x14ac:dyDescent="0.25">
      <c r="B306" s="23" t="s">
        <v>446</v>
      </c>
      <c r="C306" s="10">
        <v>0</v>
      </c>
    </row>
    <row r="307" spans="2:4" ht="25.5" customHeight="1" x14ac:dyDescent="0.25">
      <c r="B307" s="23" t="s">
        <v>609</v>
      </c>
      <c r="C307" s="10">
        <v>0</v>
      </c>
    </row>
    <row r="308" spans="2:4" ht="25.5" customHeight="1" x14ac:dyDescent="0.25">
      <c r="B308" s="23" t="s">
        <v>699</v>
      </c>
      <c r="C308" s="10">
        <v>0</v>
      </c>
    </row>
    <row r="309" spans="2:4" ht="25.5" customHeight="1" x14ac:dyDescent="0.25">
      <c r="B309" s="23" t="s">
        <v>93</v>
      </c>
      <c r="C309" s="10">
        <v>0</v>
      </c>
    </row>
    <row r="310" spans="2:4" ht="25.5" customHeight="1" x14ac:dyDescent="0.25">
      <c r="B310" s="23" t="s">
        <v>50</v>
      </c>
      <c r="C310" s="10">
        <v>0</v>
      </c>
    </row>
    <row r="311" spans="2:4" ht="25.5" customHeight="1" x14ac:dyDescent="0.25">
      <c r="B311" s="23" t="s">
        <v>24</v>
      </c>
      <c r="C311" s="10">
        <f>SUM(H26:H57)+SUM(H176:H177)</f>
        <v>272</v>
      </c>
    </row>
    <row r="312" spans="2:4" ht="25.5" customHeight="1" x14ac:dyDescent="0.25">
      <c r="B312" s="26" t="s">
        <v>139</v>
      </c>
      <c r="C312" s="10">
        <f>SUM(H58:H59)+H181</f>
        <v>4</v>
      </c>
    </row>
    <row r="313" spans="2:4" ht="25.5" customHeight="1" x14ac:dyDescent="0.25">
      <c r="B313" s="26" t="s">
        <v>269</v>
      </c>
      <c r="C313" s="10">
        <f>SUM(H60:H61)+H180</f>
        <v>24</v>
      </c>
    </row>
    <row r="314" spans="2:4" ht="39" customHeight="1" x14ac:dyDescent="0.25">
      <c r="B314" s="13" t="s">
        <v>1350</v>
      </c>
      <c r="C314" s="10">
        <f>H198+SUM(H200:H202)/2+SUM(H185:H186)</f>
        <v>23</v>
      </c>
      <c r="D314" s="13" t="s">
        <v>5759</v>
      </c>
    </row>
    <row r="315" spans="2:4" ht="25.5" customHeight="1" x14ac:dyDescent="0.25">
      <c r="B315" s="14" t="s">
        <v>718</v>
      </c>
      <c r="C315" s="10">
        <v>0</v>
      </c>
      <c r="D315" s="13">
        <f>SUM(C281:C313)</f>
        <v>380</v>
      </c>
    </row>
    <row r="316" spans="2:4" ht="25.5" customHeight="1" x14ac:dyDescent="0.25">
      <c r="B316" s="12" t="s">
        <v>11</v>
      </c>
      <c r="C316" s="10">
        <f>SUM(C317:C321)+C314</f>
        <v>554</v>
      </c>
    </row>
    <row r="317" spans="2:4" ht="25.5" customHeight="1" x14ac:dyDescent="0.25">
      <c r="B317" s="13" t="s">
        <v>663</v>
      </c>
      <c r="C317" s="10">
        <f>C285+SUM(C312:C313)+H182+H188+SUM(H189/2)+SUM(H190:H191)/2+SUM(H194/2)</f>
        <v>39</v>
      </c>
    </row>
    <row r="318" spans="2:4" ht="25.5" customHeight="1" x14ac:dyDescent="0.25">
      <c r="B318" s="13" t="s">
        <v>664</v>
      </c>
      <c r="C318" s="10">
        <f>C287+C299+H187+SUM(H189/2)+SUM(H197/2)</f>
        <v>18.5</v>
      </c>
    </row>
    <row r="319" spans="2:4" ht="25.5" customHeight="1" x14ac:dyDescent="0.25">
      <c r="B319" s="13" t="s">
        <v>271</v>
      </c>
      <c r="C319" s="10">
        <f>C296+C300+SUM(H164/2)+H174+H183+SUM(H190:H193)/2+SUM(H194/2)+SUM(200/2)+SUM(H178:H179)/2</f>
        <v>120.5</v>
      </c>
    </row>
    <row r="320" spans="2:4" ht="25.5" customHeight="1" x14ac:dyDescent="0.25">
      <c r="B320" s="13" t="s">
        <v>144</v>
      </c>
      <c r="C320" s="10">
        <f>C281+C286+SUM(C289:C290)+C293+C311+SUM(H164/2)+H166+H196+SUM(H197/2)+SUM(H199/2)+SUM(H178:H179)/2</f>
        <v>330</v>
      </c>
    </row>
    <row r="321" spans="2:3" ht="25.5" customHeight="1" x14ac:dyDescent="0.25">
      <c r="B321" s="13" t="s">
        <v>666</v>
      </c>
      <c r="C321" s="10">
        <f>C284+C288+C303</f>
        <v>23</v>
      </c>
    </row>
    <row r="322" spans="2:3" ht="25.5" customHeight="1" x14ac:dyDescent="0.25">
      <c r="B322" s="13"/>
    </row>
    <row r="323" spans="2:3" ht="25.5" customHeight="1" x14ac:dyDescent="0.25">
      <c r="B323" s="13" t="s">
        <v>231</v>
      </c>
      <c r="C323" s="10">
        <f>SUM(H62:H66)</f>
        <v>12</v>
      </c>
    </row>
    <row r="324" spans="2:3" ht="25.5" customHeight="1" x14ac:dyDescent="0.25">
      <c r="B324" s="13" t="s">
        <v>995</v>
      </c>
      <c r="C324" s="10">
        <f>H67</f>
        <v>2</v>
      </c>
    </row>
    <row r="325" spans="2:3" ht="25.5" customHeight="1" x14ac:dyDescent="0.25">
      <c r="B325" s="13" t="s">
        <v>953</v>
      </c>
      <c r="C325" s="10">
        <f>SUM(H68:H71)+SUM(H223:H224)</f>
        <v>16</v>
      </c>
    </row>
    <row r="326" spans="2:3" ht="25.5" customHeight="1" x14ac:dyDescent="0.25">
      <c r="B326" s="13" t="s">
        <v>394</v>
      </c>
      <c r="C326" s="10">
        <f>H72</f>
        <v>1</v>
      </c>
    </row>
    <row r="327" spans="2:3" ht="25.5" customHeight="1" x14ac:dyDescent="0.25">
      <c r="B327" s="13" t="s">
        <v>238</v>
      </c>
      <c r="C327" s="10">
        <f>SUM(H73:H80)+H225</f>
        <v>32</v>
      </c>
    </row>
    <row r="328" spans="2:3" ht="25.5" customHeight="1" x14ac:dyDescent="0.25">
      <c r="B328" s="13" t="s">
        <v>226</v>
      </c>
      <c r="C328" s="10">
        <f>SUM(H81:H84)</f>
        <v>13</v>
      </c>
    </row>
    <row r="329" spans="2:3" ht="25.5" customHeight="1" x14ac:dyDescent="0.25">
      <c r="B329" s="13" t="s">
        <v>998</v>
      </c>
      <c r="C329" s="10">
        <f>H85</f>
        <v>1</v>
      </c>
    </row>
    <row r="330" spans="2:3" ht="25.5" customHeight="1" x14ac:dyDescent="0.25">
      <c r="B330" s="13" t="s">
        <v>407</v>
      </c>
      <c r="C330" s="10">
        <f>H86</f>
        <v>3</v>
      </c>
    </row>
    <row r="331" spans="2:3" ht="25.5" customHeight="1" x14ac:dyDescent="0.25">
      <c r="B331" s="13" t="s">
        <v>86</v>
      </c>
      <c r="C331" s="10">
        <v>0</v>
      </c>
    </row>
    <row r="332" spans="2:3" ht="25.5" customHeight="1" x14ac:dyDescent="0.25">
      <c r="B332" s="13" t="s">
        <v>676</v>
      </c>
      <c r="C332" s="10">
        <f>SUM(H87:H88)+SUM(H227:H233)</f>
        <v>36</v>
      </c>
    </row>
    <row r="333" spans="2:3" ht="25.5" customHeight="1" x14ac:dyDescent="0.25">
      <c r="B333" s="13" t="s">
        <v>975</v>
      </c>
      <c r="C333" s="10">
        <f>H243</f>
        <v>4</v>
      </c>
    </row>
    <row r="334" spans="2:3" ht="25.5" customHeight="1" x14ac:dyDescent="0.25">
      <c r="B334" s="13" t="s">
        <v>249</v>
      </c>
      <c r="C334" s="10">
        <f>SUM(H89:H90)+SUM(H234:H236)</f>
        <v>22</v>
      </c>
    </row>
    <row r="335" spans="2:3" ht="25.5" customHeight="1" x14ac:dyDescent="0.25">
      <c r="B335" s="13" t="s">
        <v>34</v>
      </c>
      <c r="C335" s="10">
        <f>SUM(H91:H114)+SUM(H237:H241)</f>
        <v>215</v>
      </c>
    </row>
    <row r="336" spans="2:3" ht="25.5" customHeight="1" x14ac:dyDescent="0.25">
      <c r="B336" s="13" t="s">
        <v>99</v>
      </c>
      <c r="C336" s="10">
        <f>H115+H242+H244</f>
        <v>21</v>
      </c>
    </row>
    <row r="337" spans="2:3" ht="25.5" customHeight="1" x14ac:dyDescent="0.25">
      <c r="B337" s="13" t="s">
        <v>170</v>
      </c>
      <c r="C337" s="10">
        <f>SUM(H116:H120)</f>
        <v>25</v>
      </c>
    </row>
    <row r="338" spans="2:3" ht="25.5" customHeight="1" x14ac:dyDescent="0.25">
      <c r="B338" s="13" t="s">
        <v>1031</v>
      </c>
      <c r="C338" s="10">
        <f>H121</f>
        <v>1</v>
      </c>
    </row>
    <row r="339" spans="2:3" ht="25.5" customHeight="1" x14ac:dyDescent="0.25">
      <c r="B339" s="13" t="s">
        <v>319</v>
      </c>
      <c r="C339" s="10">
        <f>H122</f>
        <v>2</v>
      </c>
    </row>
    <row r="340" spans="2:3" customFormat="1" ht="25.5" customHeight="1" x14ac:dyDescent="0.25">
      <c r="B340" s="13" t="s">
        <v>709</v>
      </c>
      <c r="C340" s="21">
        <v>0</v>
      </c>
    </row>
    <row r="341" spans="2:3" customFormat="1" ht="25.5" customHeight="1" x14ac:dyDescent="0.25">
      <c r="B341" s="13" t="s">
        <v>167</v>
      </c>
      <c r="C341" s="21">
        <v>0</v>
      </c>
    </row>
    <row r="342" spans="2:3" customFormat="1" ht="25.5" customHeight="1" x14ac:dyDescent="0.25">
      <c r="B342" s="13" t="s">
        <v>1347</v>
      </c>
      <c r="C342" s="21">
        <f>H167</f>
        <v>1</v>
      </c>
    </row>
    <row r="343" spans="2:3" ht="25.5" customHeight="1" x14ac:dyDescent="0.25">
      <c r="B343" s="12" t="s">
        <v>35</v>
      </c>
      <c r="C343" s="10">
        <f>SUM(C344:C348)+C342</f>
        <v>449</v>
      </c>
    </row>
    <row r="344" spans="2:3" ht="25.5" customHeight="1" x14ac:dyDescent="0.25">
      <c r="B344" s="13" t="s">
        <v>667</v>
      </c>
      <c r="C344" s="10">
        <f>C327+C332+C335+SUM(C338:C339)+H215+H219+SUM(H220/2)</f>
        <v>294.5</v>
      </c>
    </row>
    <row r="345" spans="2:3" ht="25.5" customHeight="1" x14ac:dyDescent="0.25">
      <c r="B345" s="13" t="s">
        <v>668</v>
      </c>
      <c r="C345" s="10">
        <f>C326+C328+SUM(H218/2)+H222</f>
        <v>19.5</v>
      </c>
    </row>
    <row r="346" spans="2:3" ht="25.5" customHeight="1" x14ac:dyDescent="0.25">
      <c r="B346" s="13" t="s">
        <v>669</v>
      </c>
      <c r="C346" s="10">
        <f>SUM(C323:C324)+SUM(C329:C330)+SUM(H220/2)+H221</f>
        <v>24.5</v>
      </c>
    </row>
    <row r="347" spans="2:3" ht="25.5" customHeight="1" x14ac:dyDescent="0.25">
      <c r="B347" s="13" t="s">
        <v>670</v>
      </c>
      <c r="C347" s="10">
        <f>C325+SUM(C333:C334)+C336+SUM(H216:H217)/2+SUM(H218/2)+H226</f>
        <v>84.5</v>
      </c>
    </row>
    <row r="348" spans="2:3" ht="25.5" customHeight="1" x14ac:dyDescent="0.25">
      <c r="B348" s="13" t="s">
        <v>666</v>
      </c>
      <c r="C348" s="10">
        <f>C337</f>
        <v>25</v>
      </c>
    </row>
    <row r="349" spans="2:3" ht="25.5" customHeight="1" x14ac:dyDescent="0.25">
      <c r="B349" s="15"/>
    </row>
    <row r="350" spans="2:3" ht="25.5" customHeight="1" x14ac:dyDescent="0.25">
      <c r="B350" s="13" t="s">
        <v>186</v>
      </c>
      <c r="C350" s="10">
        <v>0</v>
      </c>
    </row>
    <row r="351" spans="2:3" ht="25.5" customHeight="1" x14ac:dyDescent="0.25">
      <c r="B351" s="13" t="s">
        <v>55</v>
      </c>
      <c r="C351" s="10">
        <f>SUM(H123:H126)</f>
        <v>10</v>
      </c>
    </row>
    <row r="352" spans="2:3" ht="25.5" customHeight="1" x14ac:dyDescent="0.25">
      <c r="B352" s="13" t="s">
        <v>593</v>
      </c>
      <c r="C352" s="10">
        <f>H127</f>
        <v>1</v>
      </c>
    </row>
    <row r="353" spans="2:3" ht="25.5" customHeight="1" x14ac:dyDescent="0.25">
      <c r="B353" s="13" t="s">
        <v>161</v>
      </c>
      <c r="C353" s="10">
        <f>SUM(H128:H131)</f>
        <v>22</v>
      </c>
    </row>
    <row r="354" spans="2:3" ht="25.5" customHeight="1" x14ac:dyDescent="0.25">
      <c r="B354" s="13" t="s">
        <v>66</v>
      </c>
      <c r="C354" s="10">
        <f>SUM(H132:H133)</f>
        <v>7</v>
      </c>
    </row>
    <row r="355" spans="2:3" ht="25.5" customHeight="1" x14ac:dyDescent="0.25">
      <c r="B355" s="13" t="s">
        <v>1347</v>
      </c>
      <c r="C355" s="10">
        <f>SUM(H200:H202)/2+H203</f>
        <v>24</v>
      </c>
    </row>
    <row r="356" spans="2:3" ht="25.5" customHeight="1" x14ac:dyDescent="0.25">
      <c r="B356" s="12" t="s">
        <v>56</v>
      </c>
      <c r="C356" s="10">
        <f>SUM(C357:C361)+C355</f>
        <v>81</v>
      </c>
    </row>
    <row r="357" spans="2:3" ht="25.5" customHeight="1" x14ac:dyDescent="0.25">
      <c r="B357" s="13" t="s">
        <v>663</v>
      </c>
      <c r="C357" s="10">
        <f>C350+SUM(H206/2)</f>
        <v>1</v>
      </c>
    </row>
    <row r="358" spans="2:3" ht="25.5" customHeight="1" x14ac:dyDescent="0.25">
      <c r="B358" s="13" t="s">
        <v>664</v>
      </c>
      <c r="C358" s="10">
        <f>C353+SUM(H206/2)+H207+SUM(H208/2)+H211</f>
        <v>27.5</v>
      </c>
    </row>
    <row r="359" spans="2:3" ht="25.5" customHeight="1" x14ac:dyDescent="0.25">
      <c r="B359" s="13" t="s">
        <v>271</v>
      </c>
      <c r="C359" s="10">
        <f>C352+SUM(H205/2)</f>
        <v>1.5</v>
      </c>
    </row>
    <row r="360" spans="2:3" ht="25.5" customHeight="1" x14ac:dyDescent="0.25">
      <c r="B360" s="13" t="s">
        <v>144</v>
      </c>
      <c r="C360" s="10">
        <f>C351+SUM(H205/2)+SUM(H208/2)+SUM(H209:H210)</f>
        <v>18</v>
      </c>
    </row>
    <row r="361" spans="2:3" ht="25.5" customHeight="1" x14ac:dyDescent="0.25">
      <c r="B361" s="13" t="s">
        <v>666</v>
      </c>
      <c r="C361" s="10">
        <f>C354+H204</f>
        <v>9</v>
      </c>
    </row>
    <row r="362" spans="2:3" ht="25.5" customHeight="1" x14ac:dyDescent="0.25">
      <c r="B362" s="13"/>
    </row>
    <row r="363" spans="2:3" ht="25.5" customHeight="1" x14ac:dyDescent="0.25">
      <c r="B363" s="13" t="s">
        <v>778</v>
      </c>
      <c r="C363" s="10">
        <f>SUM(H134:H138)</f>
        <v>8</v>
      </c>
    </row>
    <row r="364" spans="2:3" ht="25.5" customHeight="1" x14ac:dyDescent="0.25">
      <c r="B364" s="13" t="s">
        <v>1099</v>
      </c>
      <c r="C364" s="10">
        <f>SUM(H139:H140)</f>
        <v>5</v>
      </c>
    </row>
    <row r="365" spans="2:3" ht="25.5" customHeight="1" x14ac:dyDescent="0.25">
      <c r="B365" s="13" t="s">
        <v>1264</v>
      </c>
      <c r="C365" s="10">
        <f>H141</f>
        <v>4</v>
      </c>
    </row>
    <row r="366" spans="2:3" ht="25.5" customHeight="1" x14ac:dyDescent="0.25">
      <c r="B366" s="13" t="s">
        <v>980</v>
      </c>
      <c r="C366" s="10">
        <f>H142+H254</f>
        <v>2</v>
      </c>
    </row>
    <row r="367" spans="2:3" ht="25.5" customHeight="1" x14ac:dyDescent="0.25">
      <c r="B367" s="13" t="s">
        <v>1157</v>
      </c>
      <c r="C367" s="10">
        <f>SUM(H143:H144)+SUM(H248:H249)</f>
        <v>13</v>
      </c>
    </row>
    <row r="368" spans="2:3" ht="25.5" customHeight="1" x14ac:dyDescent="0.25">
      <c r="B368" s="15" t="s">
        <v>1248</v>
      </c>
      <c r="C368" s="10">
        <f>SUM(H145:H146)+SUM(H256:H258)</f>
        <v>9</v>
      </c>
    </row>
    <row r="369" spans="2:3" ht="25.5" customHeight="1" x14ac:dyDescent="0.25">
      <c r="B369" s="14" t="s">
        <v>793</v>
      </c>
      <c r="C369" s="10">
        <f>SUM(H259:H260)</f>
        <v>10</v>
      </c>
    </row>
    <row r="370" spans="2:3" ht="25.5" customHeight="1" x14ac:dyDescent="0.25">
      <c r="B370" s="14" t="s">
        <v>878</v>
      </c>
      <c r="C370" s="10">
        <f>SUM(H261:H263)</f>
        <v>3</v>
      </c>
    </row>
    <row r="371" spans="2:3" ht="25.5" customHeight="1" x14ac:dyDescent="0.25">
      <c r="B371" s="14" t="s">
        <v>804</v>
      </c>
      <c r="C371" s="10">
        <f>H264</f>
        <v>1</v>
      </c>
    </row>
    <row r="372" spans="2:3" ht="25.5" customHeight="1" x14ac:dyDescent="0.25">
      <c r="B372" s="14" t="s">
        <v>984</v>
      </c>
      <c r="C372" s="10">
        <f>H265</f>
        <v>2</v>
      </c>
    </row>
    <row r="373" spans="2:3" ht="25.5" customHeight="1" x14ac:dyDescent="0.25">
      <c r="B373" s="14" t="s">
        <v>785</v>
      </c>
      <c r="C373" s="10">
        <f>H147+H266</f>
        <v>4</v>
      </c>
    </row>
    <row r="374" spans="2:3" ht="25.5" customHeight="1" x14ac:dyDescent="0.25">
      <c r="B374" s="14" t="s">
        <v>795</v>
      </c>
      <c r="C374" s="10">
        <f>SUM(H148:H157)+H267</f>
        <v>129</v>
      </c>
    </row>
    <row r="375" spans="2:3" ht="25.5" customHeight="1" x14ac:dyDescent="0.25">
      <c r="B375" s="14" t="s">
        <v>989</v>
      </c>
      <c r="C375" s="10">
        <f>H158</f>
        <v>2</v>
      </c>
    </row>
    <row r="376" spans="2:3" ht="25.5" customHeight="1" x14ac:dyDescent="0.25">
      <c r="B376" s="14" t="s">
        <v>772</v>
      </c>
      <c r="C376" s="10">
        <f>SUM(H159:H161)+H268</f>
        <v>28</v>
      </c>
    </row>
    <row r="377" spans="2:3" ht="25.5" customHeight="1" x14ac:dyDescent="0.25">
      <c r="B377" s="14" t="s">
        <v>1245</v>
      </c>
      <c r="C377" s="10">
        <f>H162</f>
        <v>1</v>
      </c>
    </row>
    <row r="378" spans="2:3" ht="25.5" customHeight="1" x14ac:dyDescent="0.25">
      <c r="B378" s="14" t="s">
        <v>789</v>
      </c>
      <c r="C378" s="10">
        <v>0</v>
      </c>
    </row>
    <row r="379" spans="2:3" ht="25.5" customHeight="1" x14ac:dyDescent="0.25">
      <c r="B379" s="14" t="s">
        <v>875</v>
      </c>
      <c r="C379" s="10">
        <f>SUM(H277:H278)</f>
        <v>4</v>
      </c>
    </row>
    <row r="380" spans="2:3" ht="25.5" customHeight="1" x14ac:dyDescent="0.25">
      <c r="B380" s="14" t="s">
        <v>1347</v>
      </c>
      <c r="C380" s="10">
        <f>H245+SUM(H250:H252)</f>
        <v>113</v>
      </c>
    </row>
    <row r="381" spans="2:3" ht="25.5" customHeight="1" x14ac:dyDescent="0.25">
      <c r="B381" s="11" t="s">
        <v>771</v>
      </c>
      <c r="C381" s="10">
        <f>SUM(C382:C387)+C380</f>
        <v>395</v>
      </c>
    </row>
    <row r="382" spans="2:3" ht="25.5" customHeight="1" x14ac:dyDescent="0.25">
      <c r="B382" s="13" t="s">
        <v>776</v>
      </c>
      <c r="C382" s="10">
        <f>SUM(C363:C365)+SUM(H246:H247)+H272+H273</f>
        <v>29</v>
      </c>
    </row>
    <row r="383" spans="2:3" ht="25.5" customHeight="1" x14ac:dyDescent="0.25">
      <c r="B383" s="14" t="s">
        <v>1351</v>
      </c>
      <c r="C383" s="10">
        <f>C369+C372+SUM(C374:C375)+SUM(H270/2)+SUM(H276/2)</f>
        <v>147.5</v>
      </c>
    </row>
    <row r="384" spans="2:3" ht="25.5" customHeight="1" x14ac:dyDescent="0.25">
      <c r="B384" s="14" t="s">
        <v>1352</v>
      </c>
      <c r="C384" s="10">
        <f>C373+C376+SUM(H253/2)+SUM(H269/2)+H275</f>
        <v>45</v>
      </c>
    </row>
    <row r="385" spans="2:3" ht="25.5" customHeight="1" x14ac:dyDescent="0.25">
      <c r="B385" s="14" t="s">
        <v>1353</v>
      </c>
      <c r="C385" s="10">
        <f>C366+C379+SUM(H270/2)+SUM(H276/2)</f>
        <v>10.5</v>
      </c>
    </row>
    <row r="386" spans="2:3" ht="25.5" customHeight="1" x14ac:dyDescent="0.25">
      <c r="B386" s="14" t="s">
        <v>1354</v>
      </c>
      <c r="C386" s="10">
        <f>SUM(C367:C368)+SUM(C370:C371)+SUM(H253/2)+H255+SUM(H269/2)+H275</f>
        <v>48</v>
      </c>
    </row>
    <row r="387" spans="2:3" ht="25.5" customHeight="1" x14ac:dyDescent="0.25">
      <c r="B387" s="14" t="s">
        <v>1355</v>
      </c>
      <c r="C387" s="10">
        <f>C377+H271</f>
        <v>2</v>
      </c>
    </row>
    <row r="389" spans="2:3" ht="25.5" customHeight="1" x14ac:dyDescent="0.25">
      <c r="B389" s="14" t="s">
        <v>11</v>
      </c>
      <c r="C389" s="10">
        <f>C316</f>
        <v>554</v>
      </c>
    </row>
    <row r="390" spans="2:3" ht="25.5" customHeight="1" x14ac:dyDescent="0.25">
      <c r="B390" s="14" t="s">
        <v>35</v>
      </c>
      <c r="C390" s="10">
        <f>C343</f>
        <v>449</v>
      </c>
    </row>
    <row r="391" spans="2:3" ht="25.5" customHeight="1" x14ac:dyDescent="0.25">
      <c r="B391" s="14" t="s">
        <v>56</v>
      </c>
      <c r="C391" s="10">
        <f>C356</f>
        <v>81</v>
      </c>
    </row>
    <row r="392" spans="2:3" ht="25.5" customHeight="1" x14ac:dyDescent="0.25">
      <c r="B392" s="14" t="s">
        <v>771</v>
      </c>
      <c r="C392" s="10">
        <f>C381</f>
        <v>395</v>
      </c>
    </row>
    <row r="393" spans="2:3" ht="25.5" customHeight="1" x14ac:dyDescent="0.25">
      <c r="B393" s="14" t="s">
        <v>1273</v>
      </c>
      <c r="C393" s="10">
        <f>SUM(C389:C392)</f>
        <v>1479</v>
      </c>
    </row>
    <row r="395" spans="2:3" ht="25.5" customHeight="1" x14ac:dyDescent="0.25">
      <c r="B395" s="14" t="s">
        <v>1356</v>
      </c>
      <c r="C395" s="10">
        <f>C285+SUM(C287:C288)+C291+SUM(C297:C299)+C302+SUM(C312:C313)</f>
        <v>53</v>
      </c>
    </row>
    <row r="396" spans="2:3" ht="25.5" customHeight="1" x14ac:dyDescent="0.25">
      <c r="B396" s="14" t="s">
        <v>1357</v>
      </c>
      <c r="C396" s="10">
        <f>SUM(C281:C284)+C286+SUM(C289:C290)+SUM(C292:C296)+SUM(C300:C301)+SUM(C303:C311)</f>
        <v>327</v>
      </c>
    </row>
    <row r="398" spans="2:3" ht="25.5" customHeight="1" x14ac:dyDescent="0.25">
      <c r="B398" s="22" t="s">
        <v>5756</v>
      </c>
      <c r="C398" s="10">
        <f>C285+C287+C291+C302+C313</f>
        <v>43</v>
      </c>
    </row>
    <row r="399" spans="2:3" ht="25.5" customHeight="1" x14ac:dyDescent="0.25">
      <c r="B399" s="14" t="s">
        <v>1272</v>
      </c>
      <c r="C399" s="10">
        <f>C316-C398</f>
        <v>511</v>
      </c>
    </row>
    <row r="401" spans="2:17" ht="25.5" customHeight="1" x14ac:dyDescent="0.25">
      <c r="B401" s="22" t="s">
        <v>5756</v>
      </c>
      <c r="C401" s="10">
        <f>C398</f>
        <v>43</v>
      </c>
    </row>
    <row r="402" spans="2:17" ht="25.5" customHeight="1" x14ac:dyDescent="0.25">
      <c r="B402" s="13" t="s">
        <v>1358</v>
      </c>
      <c r="C402" s="10">
        <f>C393-C401</f>
        <v>1436</v>
      </c>
    </row>
    <row r="404" spans="2:17" ht="41.25" customHeight="1" thickBot="1" x14ac:dyDescent="0.3">
      <c r="B404" s="14" t="s">
        <v>5757</v>
      </c>
      <c r="C404" s="10" t="s">
        <v>2633</v>
      </c>
      <c r="D404" s="14"/>
      <c r="J404" s="13"/>
      <c r="K404" s="15"/>
      <c r="P404" s="13"/>
      <c r="Q404" s="15"/>
    </row>
    <row r="405" spans="2:17" ht="25.5" customHeight="1" x14ac:dyDescent="0.25">
      <c r="B405" s="85" t="s">
        <v>5449</v>
      </c>
      <c r="C405" s="88">
        <v>39</v>
      </c>
      <c r="D405" s="14"/>
      <c r="J405" s="13"/>
      <c r="K405" s="15"/>
      <c r="P405" s="13"/>
      <c r="Q405" s="15"/>
    </row>
    <row r="406" spans="2:17" ht="25.5" customHeight="1" x14ac:dyDescent="0.25">
      <c r="B406" s="86" t="s">
        <v>5450</v>
      </c>
      <c r="C406" s="89">
        <v>18.5</v>
      </c>
      <c r="D406" s="14"/>
      <c r="J406" s="13"/>
      <c r="K406" s="15"/>
      <c r="P406" s="13"/>
      <c r="Q406" s="15"/>
    </row>
    <row r="407" spans="2:17" ht="25.5" customHeight="1" x14ac:dyDescent="0.25">
      <c r="B407" s="86" t="s">
        <v>5451</v>
      </c>
      <c r="C407" s="89">
        <v>120.5</v>
      </c>
      <c r="D407" s="14"/>
      <c r="J407" s="13"/>
      <c r="K407" s="15"/>
      <c r="P407" s="13"/>
      <c r="Q407" s="15"/>
    </row>
    <row r="408" spans="2:17" ht="25.5" customHeight="1" x14ac:dyDescent="0.25">
      <c r="B408" s="86" t="s">
        <v>5452</v>
      </c>
      <c r="C408" s="89">
        <v>330</v>
      </c>
      <c r="D408" s="14"/>
      <c r="J408" s="13"/>
      <c r="K408" s="15"/>
      <c r="P408" s="13"/>
      <c r="Q408" s="15"/>
    </row>
    <row r="409" spans="2:17" ht="25.5" customHeight="1" thickBot="1" x14ac:dyDescent="0.3">
      <c r="B409" s="87" t="s">
        <v>5453</v>
      </c>
      <c r="C409" s="90">
        <v>23</v>
      </c>
      <c r="D409" s="14"/>
      <c r="J409" s="13"/>
      <c r="K409" s="15"/>
      <c r="P409" s="13"/>
      <c r="Q409" s="15"/>
    </row>
    <row r="410" spans="2:17" ht="25.5" customHeight="1" x14ac:dyDescent="0.25">
      <c r="B410" s="85" t="s">
        <v>5454</v>
      </c>
      <c r="C410" s="88">
        <v>294.5</v>
      </c>
      <c r="D410" s="14"/>
      <c r="J410" s="13"/>
      <c r="K410" s="15"/>
      <c r="P410" s="13"/>
      <c r="Q410" s="15"/>
    </row>
    <row r="411" spans="2:17" ht="25.5" customHeight="1" x14ac:dyDescent="0.25">
      <c r="B411" s="86" t="s">
        <v>5455</v>
      </c>
      <c r="C411" s="89">
        <v>19.5</v>
      </c>
      <c r="D411" s="14"/>
      <c r="J411" s="13"/>
      <c r="K411" s="15"/>
      <c r="P411" s="13"/>
      <c r="Q411" s="15"/>
    </row>
    <row r="412" spans="2:17" ht="25.5" customHeight="1" x14ac:dyDescent="0.25">
      <c r="B412" s="86" t="s">
        <v>5456</v>
      </c>
      <c r="C412" s="89">
        <v>24.5</v>
      </c>
      <c r="D412" s="14"/>
      <c r="J412" s="13"/>
      <c r="K412" s="15"/>
      <c r="P412" s="13"/>
      <c r="Q412" s="15"/>
    </row>
    <row r="413" spans="2:17" ht="25.5" customHeight="1" x14ac:dyDescent="0.25">
      <c r="B413" s="86" t="s">
        <v>5457</v>
      </c>
      <c r="C413" s="89">
        <v>84.5</v>
      </c>
      <c r="D413" s="14"/>
      <c r="J413" s="13"/>
      <c r="K413" s="15"/>
      <c r="P413" s="13"/>
      <c r="Q413" s="15"/>
    </row>
    <row r="414" spans="2:17" ht="25.5" customHeight="1" thickBot="1" x14ac:dyDescent="0.3">
      <c r="B414" s="87" t="s">
        <v>5458</v>
      </c>
      <c r="C414" s="90">
        <v>25</v>
      </c>
      <c r="D414" s="14"/>
      <c r="J414" s="13"/>
      <c r="K414" s="15"/>
      <c r="P414" s="13"/>
      <c r="Q414" s="15"/>
    </row>
    <row r="415" spans="2:17" ht="25.5" customHeight="1" x14ac:dyDescent="0.25">
      <c r="B415" s="85" t="s">
        <v>923</v>
      </c>
      <c r="C415" s="88">
        <v>1</v>
      </c>
      <c r="D415" s="14"/>
      <c r="J415" s="13"/>
      <c r="K415" s="15"/>
      <c r="P415" s="13"/>
      <c r="Q415" s="15"/>
    </row>
    <row r="416" spans="2:17" ht="25.5" customHeight="1" x14ac:dyDescent="0.25">
      <c r="B416" s="86" t="s">
        <v>924</v>
      </c>
      <c r="C416" s="89">
        <v>27.5</v>
      </c>
      <c r="D416" s="14"/>
      <c r="J416" s="13"/>
      <c r="K416" s="15"/>
      <c r="P416" s="13"/>
      <c r="Q416" s="15"/>
    </row>
    <row r="417" spans="2:17" ht="25.5" customHeight="1" x14ac:dyDescent="0.25">
      <c r="B417" s="86" t="s">
        <v>925</v>
      </c>
      <c r="C417" s="89">
        <v>1.5</v>
      </c>
      <c r="D417" s="14"/>
      <c r="J417" s="13"/>
      <c r="K417" s="15"/>
      <c r="P417" s="13"/>
      <c r="Q417" s="15"/>
    </row>
    <row r="418" spans="2:17" ht="25.5" customHeight="1" x14ac:dyDescent="0.25">
      <c r="B418" s="86" t="s">
        <v>926</v>
      </c>
      <c r="C418" s="89">
        <v>18</v>
      </c>
      <c r="D418" s="14"/>
      <c r="J418" s="13"/>
      <c r="K418" s="15"/>
      <c r="P418" s="13"/>
      <c r="Q418" s="15"/>
    </row>
    <row r="419" spans="2:17" ht="25.5" customHeight="1" thickBot="1" x14ac:dyDescent="0.3">
      <c r="B419" s="87" t="s">
        <v>629</v>
      </c>
      <c r="C419" s="90">
        <v>9</v>
      </c>
      <c r="D419" s="14"/>
      <c r="J419" s="13"/>
      <c r="K419" s="15"/>
      <c r="P419" s="13"/>
      <c r="Q419" s="15"/>
    </row>
    <row r="420" spans="2:17" ht="25.5" customHeight="1" x14ac:dyDescent="0.25">
      <c r="B420" s="85" t="s">
        <v>776</v>
      </c>
      <c r="C420" s="88">
        <v>29</v>
      </c>
      <c r="D420" s="14"/>
      <c r="J420" s="13"/>
      <c r="K420" s="15"/>
      <c r="P420" s="13"/>
      <c r="Q420" s="15"/>
    </row>
    <row r="421" spans="2:17" ht="25.5" customHeight="1" x14ac:dyDescent="0.25">
      <c r="B421" s="86" t="s">
        <v>1351</v>
      </c>
      <c r="C421" s="89">
        <v>147.5</v>
      </c>
      <c r="D421" s="14"/>
      <c r="J421" s="13"/>
      <c r="K421" s="15"/>
      <c r="P421" s="13"/>
      <c r="Q421" s="15"/>
    </row>
    <row r="422" spans="2:17" ht="25.5" customHeight="1" x14ac:dyDescent="0.25">
      <c r="B422" s="86" t="s">
        <v>1352</v>
      </c>
      <c r="C422" s="89">
        <v>45</v>
      </c>
      <c r="D422" s="14"/>
      <c r="J422" s="13"/>
      <c r="K422" s="15"/>
      <c r="P422" s="13"/>
      <c r="Q422" s="15"/>
    </row>
    <row r="423" spans="2:17" ht="25.5" customHeight="1" x14ac:dyDescent="0.25">
      <c r="B423" s="86" t="s">
        <v>1353</v>
      </c>
      <c r="C423" s="89">
        <v>10.5</v>
      </c>
      <c r="D423" s="14"/>
      <c r="J423" s="13"/>
      <c r="K423" s="15"/>
      <c r="P423" s="13"/>
      <c r="Q423" s="15"/>
    </row>
    <row r="424" spans="2:17" ht="25.5" customHeight="1" x14ac:dyDescent="0.25">
      <c r="B424" s="86" t="s">
        <v>1354</v>
      </c>
      <c r="C424" s="89">
        <v>48</v>
      </c>
      <c r="D424" s="14"/>
      <c r="J424" s="13"/>
      <c r="K424" s="15"/>
      <c r="P424" s="13"/>
      <c r="Q424" s="15"/>
    </row>
    <row r="425" spans="2:17" ht="25.5" customHeight="1" thickBot="1" x14ac:dyDescent="0.3">
      <c r="B425" s="87" t="s">
        <v>1880</v>
      </c>
      <c r="C425" s="90">
        <v>2</v>
      </c>
      <c r="D425" s="14"/>
      <c r="J425" s="13"/>
      <c r="K425" s="15"/>
      <c r="P425" s="13"/>
      <c r="Q425" s="15"/>
    </row>
    <row r="426" spans="2:17" ht="25.5" customHeight="1" x14ac:dyDescent="0.25">
      <c r="D426" s="14"/>
      <c r="J426" s="13"/>
      <c r="K426" s="15"/>
      <c r="P426" s="13"/>
      <c r="Q426" s="15"/>
    </row>
    <row r="427" spans="2:17" ht="25.5" customHeight="1" x14ac:dyDescent="0.25">
      <c r="D427" s="14"/>
      <c r="J427" s="13"/>
      <c r="K427" s="15"/>
      <c r="P427" s="13"/>
      <c r="Q427" s="15"/>
    </row>
    <row r="428" spans="2:17" ht="25.5" customHeight="1" x14ac:dyDescent="0.25">
      <c r="D428" s="14"/>
      <c r="J428" s="13"/>
      <c r="K428" s="15"/>
      <c r="P428" s="13"/>
      <c r="Q428" s="15"/>
    </row>
  </sheetData>
  <pageMargins left="3.937007874015748E-2" right="0" top="0.15748031496062992" bottom="0.15748031496062992" header="0" footer="0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1"/>
  <sheetViews>
    <sheetView zoomScale="97" zoomScaleNormal="97" workbookViewId="0">
      <pane ySplit="1" topLeftCell="A465" activePane="bottomLeft" state="frozen"/>
      <selection activeCell="A680" sqref="A680"/>
      <selection pane="bottomLeft" activeCell="E408" sqref="E408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19.140625" style="10" customWidth="1"/>
    <col min="4" max="4" width="11.5703125" style="13" customWidth="1"/>
    <col min="5" max="5" width="11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6.7109375" style="14" customWidth="1"/>
    <col min="11" max="11" width="31.14062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4" customFormat="1" ht="26.25" customHeight="1" x14ac:dyDescent="0.25">
      <c r="A2" s="11" t="s">
        <v>1349</v>
      </c>
      <c r="B2" s="13" t="s">
        <v>532</v>
      </c>
      <c r="C2" s="10" t="s">
        <v>1651</v>
      </c>
      <c r="D2" s="13" t="s">
        <v>90</v>
      </c>
      <c r="E2" s="14" t="s">
        <v>1385</v>
      </c>
      <c r="F2" s="14" t="s">
        <v>11</v>
      </c>
      <c r="G2" s="13">
        <v>1</v>
      </c>
      <c r="H2" s="14">
        <f>G2+I2</f>
        <v>2</v>
      </c>
      <c r="I2" s="13">
        <v>1</v>
      </c>
      <c r="J2" s="13">
        <v>2</v>
      </c>
      <c r="K2" s="13" t="s">
        <v>1681</v>
      </c>
      <c r="L2" s="14" t="s">
        <v>119</v>
      </c>
      <c r="M2" s="14">
        <v>681</v>
      </c>
      <c r="N2" s="14">
        <v>578</v>
      </c>
      <c r="O2" s="14">
        <v>368100</v>
      </c>
      <c r="P2" s="14">
        <v>157800</v>
      </c>
      <c r="Q2" s="13"/>
      <c r="R2" s="13"/>
      <c r="S2" s="13"/>
    </row>
    <row r="3" spans="1:19" s="14" customFormat="1" ht="25.5" customHeight="1" x14ac:dyDescent="0.25">
      <c r="A3" s="11" t="s">
        <v>1349</v>
      </c>
      <c r="B3" s="13" t="s">
        <v>297</v>
      </c>
      <c r="C3" s="10" t="s">
        <v>539</v>
      </c>
      <c r="D3" s="13" t="s">
        <v>540</v>
      </c>
      <c r="E3" s="14" t="s">
        <v>311</v>
      </c>
      <c r="F3" s="14" t="s">
        <v>11</v>
      </c>
      <c r="G3" s="13">
        <v>1</v>
      </c>
      <c r="H3" s="14">
        <f t="shared" ref="H3:H35" si="0">G3+I3</f>
        <v>5</v>
      </c>
      <c r="I3" s="13">
        <v>4</v>
      </c>
      <c r="J3" s="13">
        <v>5</v>
      </c>
      <c r="K3" s="13" t="s">
        <v>1467</v>
      </c>
      <c r="L3" s="14" t="s">
        <v>110</v>
      </c>
      <c r="M3" s="14">
        <v>32759</v>
      </c>
      <c r="N3" s="14">
        <v>82668</v>
      </c>
      <c r="O3" s="14">
        <v>432759</v>
      </c>
      <c r="P3" s="14">
        <v>182668</v>
      </c>
    </row>
    <row r="4" spans="1:19" s="14" customFormat="1" ht="25.5" customHeight="1" x14ac:dyDescent="0.25">
      <c r="A4" s="11" t="s">
        <v>1349</v>
      </c>
      <c r="B4" s="13" t="s">
        <v>1654</v>
      </c>
      <c r="C4" s="10" t="s">
        <v>557</v>
      </c>
      <c r="D4" s="13" t="s">
        <v>90</v>
      </c>
      <c r="E4" s="14" t="s">
        <v>1655</v>
      </c>
      <c r="F4" s="14" t="s">
        <v>11</v>
      </c>
      <c r="G4" s="13">
        <v>1</v>
      </c>
      <c r="H4" s="14">
        <f t="shared" si="0"/>
        <v>1</v>
      </c>
      <c r="I4" s="13"/>
      <c r="J4" s="13">
        <v>1</v>
      </c>
      <c r="K4" s="13" t="s">
        <v>1656</v>
      </c>
      <c r="L4" s="14" t="s">
        <v>108</v>
      </c>
      <c r="M4" s="14">
        <v>2680</v>
      </c>
      <c r="N4" s="14">
        <v>843</v>
      </c>
      <c r="O4" s="14">
        <v>526800</v>
      </c>
      <c r="P4" s="14">
        <v>108430</v>
      </c>
    </row>
    <row r="5" spans="1:19" s="14" customFormat="1" ht="25.5" customHeight="1" x14ac:dyDescent="0.25">
      <c r="A5" s="11" t="s">
        <v>1349</v>
      </c>
      <c r="B5" s="13" t="s">
        <v>76</v>
      </c>
      <c r="C5" s="10" t="s">
        <v>330</v>
      </c>
      <c r="D5" s="13" t="s">
        <v>39</v>
      </c>
      <c r="E5" s="14" t="s">
        <v>1281</v>
      </c>
      <c r="F5" s="14" t="s">
        <v>11</v>
      </c>
      <c r="G5" s="13">
        <v>18</v>
      </c>
      <c r="H5" s="14">
        <f t="shared" si="0"/>
        <v>18</v>
      </c>
      <c r="I5" s="13"/>
      <c r="J5" s="13">
        <v>10</v>
      </c>
      <c r="K5" s="13" t="s">
        <v>1605</v>
      </c>
      <c r="L5" s="14" t="s">
        <v>177</v>
      </c>
      <c r="M5" s="14">
        <v>193</v>
      </c>
      <c r="N5" s="14">
        <v>983</v>
      </c>
      <c r="O5" s="14">
        <v>519300</v>
      </c>
      <c r="P5" s="14">
        <v>298300</v>
      </c>
    </row>
    <row r="6" spans="1:19" ht="25.5" customHeight="1" x14ac:dyDescent="0.25">
      <c r="A6" s="11" t="s">
        <v>1349</v>
      </c>
      <c r="B6" s="13" t="s">
        <v>76</v>
      </c>
      <c r="C6" s="10" t="s">
        <v>179</v>
      </c>
      <c r="D6" s="13" t="s">
        <v>39</v>
      </c>
      <c r="E6" s="13" t="s">
        <v>176</v>
      </c>
      <c r="F6" s="14" t="s">
        <v>11</v>
      </c>
      <c r="G6" s="13">
        <v>9</v>
      </c>
      <c r="H6" s="14">
        <f t="shared" si="0"/>
        <v>9</v>
      </c>
      <c r="J6" s="14">
        <v>5</v>
      </c>
      <c r="K6" s="13" t="s">
        <v>1581</v>
      </c>
      <c r="L6" s="15" t="s">
        <v>177</v>
      </c>
      <c r="M6" s="15">
        <v>208</v>
      </c>
      <c r="N6" s="15">
        <v>989</v>
      </c>
      <c r="O6" s="15">
        <v>520800</v>
      </c>
      <c r="P6" s="15">
        <v>298900</v>
      </c>
    </row>
    <row r="7" spans="1:19" ht="22.5" x14ac:dyDescent="0.25">
      <c r="A7" s="11" t="s">
        <v>1349</v>
      </c>
      <c r="B7" s="13" t="s">
        <v>76</v>
      </c>
      <c r="C7" s="10" t="s">
        <v>75</v>
      </c>
      <c r="D7" s="13" t="s">
        <v>39</v>
      </c>
      <c r="E7" s="13" t="s">
        <v>178</v>
      </c>
      <c r="F7" s="14" t="s">
        <v>11</v>
      </c>
      <c r="G7" s="13"/>
      <c r="H7" s="14">
        <f t="shared" si="0"/>
        <v>4</v>
      </c>
      <c r="I7" s="14">
        <v>4</v>
      </c>
      <c r="J7" s="14">
        <v>3</v>
      </c>
      <c r="K7" s="13" t="s">
        <v>1463</v>
      </c>
      <c r="L7" s="15" t="s">
        <v>177</v>
      </c>
      <c r="M7" s="15">
        <v>6390</v>
      </c>
      <c r="N7" s="15">
        <v>8496</v>
      </c>
      <c r="O7" s="15">
        <v>563900</v>
      </c>
      <c r="P7" s="15">
        <v>284960</v>
      </c>
    </row>
    <row r="8" spans="1:19" x14ac:dyDescent="0.25">
      <c r="A8" s="11" t="s">
        <v>1349</v>
      </c>
      <c r="B8" s="13" t="s">
        <v>1424</v>
      </c>
      <c r="C8" s="10" t="s">
        <v>1697</v>
      </c>
      <c r="D8" s="13" t="s">
        <v>1668</v>
      </c>
      <c r="E8" s="13" t="s">
        <v>1698</v>
      </c>
      <c r="F8" s="14" t="s">
        <v>11</v>
      </c>
      <c r="G8" s="13">
        <v>1</v>
      </c>
      <c r="H8" s="14">
        <f t="shared" si="0"/>
        <v>1</v>
      </c>
      <c r="J8" s="14">
        <v>1</v>
      </c>
      <c r="K8" s="13" t="s">
        <v>1690</v>
      </c>
      <c r="L8" s="15" t="s">
        <v>189</v>
      </c>
      <c r="M8" s="15">
        <v>495</v>
      </c>
      <c r="N8" s="15">
        <v>485</v>
      </c>
      <c r="O8" s="15">
        <v>349500</v>
      </c>
      <c r="P8" s="15">
        <v>348500</v>
      </c>
    </row>
    <row r="9" spans="1:19" ht="22.5" x14ac:dyDescent="0.25">
      <c r="A9" s="11" t="s">
        <v>1349</v>
      </c>
      <c r="B9" s="13" t="s">
        <v>1424</v>
      </c>
      <c r="C9" s="10" t="s">
        <v>1425</v>
      </c>
      <c r="D9" s="13" t="s">
        <v>1426</v>
      </c>
      <c r="E9" s="13" t="s">
        <v>1427</v>
      </c>
      <c r="F9" s="14" t="s">
        <v>11</v>
      </c>
      <c r="G9" s="13"/>
      <c r="H9" s="14">
        <f t="shared" si="0"/>
        <v>1</v>
      </c>
      <c r="I9" s="14">
        <v>1</v>
      </c>
      <c r="J9" s="14">
        <v>1</v>
      </c>
      <c r="K9" s="13" t="s">
        <v>868</v>
      </c>
      <c r="L9" s="15" t="s">
        <v>189</v>
      </c>
      <c r="M9" s="15">
        <v>553</v>
      </c>
      <c r="N9" s="15">
        <v>694</v>
      </c>
      <c r="O9" s="15">
        <v>355300</v>
      </c>
      <c r="P9" s="15">
        <v>369400</v>
      </c>
    </row>
    <row r="10" spans="1:19" x14ac:dyDescent="0.25">
      <c r="A10" s="11" t="s">
        <v>1349</v>
      </c>
      <c r="B10" s="13" t="s">
        <v>42</v>
      </c>
      <c r="C10" s="10" t="s">
        <v>43</v>
      </c>
      <c r="D10" s="13" t="s">
        <v>1278</v>
      </c>
      <c r="E10" s="14" t="s">
        <v>43</v>
      </c>
      <c r="F10" s="14" t="s">
        <v>11</v>
      </c>
      <c r="G10" s="13">
        <v>2</v>
      </c>
      <c r="H10" s="14">
        <f t="shared" si="0"/>
        <v>2</v>
      </c>
      <c r="J10" s="14">
        <v>1</v>
      </c>
      <c r="K10" s="13" t="s">
        <v>1704</v>
      </c>
      <c r="L10" s="15" t="s">
        <v>520</v>
      </c>
      <c r="M10" s="15">
        <v>64087</v>
      </c>
      <c r="N10" s="15">
        <v>76444</v>
      </c>
      <c r="O10" s="15">
        <v>264087</v>
      </c>
      <c r="P10" s="15">
        <v>76444</v>
      </c>
    </row>
    <row r="11" spans="1:19" x14ac:dyDescent="0.25">
      <c r="A11" s="11" t="s">
        <v>1349</v>
      </c>
      <c r="B11" s="13" t="s">
        <v>10</v>
      </c>
      <c r="C11" s="10" t="s">
        <v>715</v>
      </c>
      <c r="D11" s="13" t="s">
        <v>39</v>
      </c>
      <c r="E11" s="13" t="s">
        <v>716</v>
      </c>
      <c r="F11" s="14" t="s">
        <v>11</v>
      </c>
      <c r="G11" s="13"/>
      <c r="H11" s="14">
        <f t="shared" si="0"/>
        <v>1</v>
      </c>
      <c r="I11" s="14">
        <v>1</v>
      </c>
      <c r="J11" s="14">
        <v>1</v>
      </c>
      <c r="K11" s="13" t="s">
        <v>1365</v>
      </c>
      <c r="L11" s="15" t="s">
        <v>166</v>
      </c>
      <c r="M11" s="15">
        <v>24</v>
      </c>
      <c r="N11" s="15">
        <v>708</v>
      </c>
      <c r="O11" s="15">
        <v>302400</v>
      </c>
      <c r="P11" s="15">
        <v>570800</v>
      </c>
    </row>
    <row r="12" spans="1:19" ht="22.5" x14ac:dyDescent="0.25">
      <c r="A12" s="11" t="s">
        <v>1349</v>
      </c>
      <c r="B12" s="13" t="s">
        <v>10</v>
      </c>
      <c r="C12" s="10" t="s">
        <v>165</v>
      </c>
      <c r="D12" s="13" t="s">
        <v>825</v>
      </c>
      <c r="E12" s="14" t="s">
        <v>12</v>
      </c>
      <c r="F12" s="14" t="s">
        <v>11</v>
      </c>
      <c r="G12" s="13">
        <v>3</v>
      </c>
      <c r="H12" s="14">
        <f t="shared" si="0"/>
        <v>5</v>
      </c>
      <c r="I12" s="14">
        <v>2</v>
      </c>
      <c r="J12" s="14">
        <v>3</v>
      </c>
      <c r="K12" s="13" t="s">
        <v>1466</v>
      </c>
      <c r="L12" s="15" t="s">
        <v>166</v>
      </c>
      <c r="M12" s="15">
        <v>274</v>
      </c>
      <c r="N12" s="15">
        <v>72</v>
      </c>
      <c r="O12" s="15">
        <v>327400</v>
      </c>
      <c r="P12" s="15">
        <v>507200</v>
      </c>
    </row>
    <row r="13" spans="1:19" ht="22.5" x14ac:dyDescent="0.25">
      <c r="A13" s="11" t="s">
        <v>1349</v>
      </c>
      <c r="B13" s="13" t="s">
        <v>126</v>
      </c>
      <c r="C13" s="10" t="s">
        <v>527</v>
      </c>
      <c r="D13" s="13" t="s">
        <v>528</v>
      </c>
      <c r="E13" s="14" t="s">
        <v>444</v>
      </c>
      <c r="F13" s="14" t="s">
        <v>11</v>
      </c>
      <c r="G13" s="13"/>
      <c r="H13" s="14">
        <f t="shared" si="0"/>
        <v>1</v>
      </c>
      <c r="I13" s="14">
        <v>1</v>
      </c>
      <c r="J13" s="14">
        <v>1</v>
      </c>
      <c r="K13" s="13" t="s">
        <v>1639</v>
      </c>
      <c r="L13" s="15" t="s">
        <v>445</v>
      </c>
      <c r="M13" s="15">
        <v>1603</v>
      </c>
      <c r="N13" s="15">
        <v>6355</v>
      </c>
      <c r="O13" s="15">
        <v>416030</v>
      </c>
      <c r="P13" s="15">
        <v>363550</v>
      </c>
    </row>
    <row r="14" spans="1:19" x14ac:dyDescent="0.25">
      <c r="A14" s="11" t="s">
        <v>1349</v>
      </c>
      <c r="B14" s="13" t="s">
        <v>126</v>
      </c>
      <c r="C14" s="10" t="s">
        <v>127</v>
      </c>
      <c r="D14" s="13" t="s">
        <v>39</v>
      </c>
      <c r="E14" s="14" t="s">
        <v>1281</v>
      </c>
      <c r="F14" s="14" t="s">
        <v>11</v>
      </c>
      <c r="G14" s="13"/>
      <c r="H14" s="14">
        <f t="shared" si="0"/>
        <v>2</v>
      </c>
      <c r="I14" s="14">
        <v>2</v>
      </c>
      <c r="J14" s="14">
        <v>2</v>
      </c>
      <c r="K14" s="13" t="s">
        <v>1455</v>
      </c>
      <c r="L14" s="1" t="s">
        <v>445</v>
      </c>
      <c r="M14" s="1">
        <v>41504</v>
      </c>
      <c r="N14" s="1">
        <v>29345</v>
      </c>
      <c r="O14" s="1">
        <v>441504</v>
      </c>
      <c r="P14" s="1">
        <v>329345</v>
      </c>
    </row>
    <row r="15" spans="1:19" ht="22.5" x14ac:dyDescent="0.25">
      <c r="A15" s="11" t="s">
        <v>1349</v>
      </c>
      <c r="B15" s="13" t="s">
        <v>126</v>
      </c>
      <c r="C15" s="10" t="s">
        <v>1747</v>
      </c>
      <c r="D15" s="13" t="s">
        <v>1748</v>
      </c>
      <c r="E15" s="13" t="s">
        <v>1749</v>
      </c>
      <c r="F15" s="14" t="s">
        <v>11</v>
      </c>
      <c r="G15" s="13"/>
      <c r="H15" s="14">
        <f t="shared" si="0"/>
        <v>2</v>
      </c>
      <c r="I15" s="14">
        <v>2</v>
      </c>
      <c r="J15" s="14">
        <v>2</v>
      </c>
      <c r="K15" s="13" t="s">
        <v>1745</v>
      </c>
      <c r="L15" s="1" t="s">
        <v>445</v>
      </c>
      <c r="M15" s="1">
        <v>278</v>
      </c>
      <c r="N15" s="1">
        <v>755</v>
      </c>
      <c r="O15" s="1">
        <v>427800</v>
      </c>
      <c r="P15" s="1">
        <v>375500</v>
      </c>
    </row>
    <row r="16" spans="1:19" ht="25.5" x14ac:dyDescent="0.25">
      <c r="A16" s="11" t="s">
        <v>1349</v>
      </c>
      <c r="B16" s="13" t="s">
        <v>126</v>
      </c>
      <c r="C16" s="17" t="s">
        <v>1753</v>
      </c>
      <c r="D16" s="13" t="s">
        <v>1748</v>
      </c>
      <c r="E16" s="13" t="s">
        <v>126</v>
      </c>
      <c r="F16" s="14" t="s">
        <v>11</v>
      </c>
      <c r="G16" s="13"/>
      <c r="H16" s="14">
        <f>G16+I16</f>
        <v>2</v>
      </c>
      <c r="I16" s="14">
        <v>2</v>
      </c>
      <c r="J16" s="14">
        <v>2</v>
      </c>
      <c r="K16" s="13" t="s">
        <v>1750</v>
      </c>
      <c r="L16" s="1" t="s">
        <v>445</v>
      </c>
      <c r="M16" s="1">
        <v>280</v>
      </c>
      <c r="N16" s="1">
        <v>685</v>
      </c>
      <c r="O16" s="1">
        <v>428000</v>
      </c>
      <c r="P16" s="1">
        <v>368500</v>
      </c>
    </row>
    <row r="17" spans="1:16" x14ac:dyDescent="0.25">
      <c r="A17" s="11" t="s">
        <v>1349</v>
      </c>
      <c r="B17" s="13" t="s">
        <v>126</v>
      </c>
      <c r="C17" s="10" t="s">
        <v>1627</v>
      </c>
      <c r="D17" s="13" t="s">
        <v>90</v>
      </c>
      <c r="E17" s="14" t="s">
        <v>1378</v>
      </c>
      <c r="F17" s="14" t="s">
        <v>11</v>
      </c>
      <c r="G17" s="13"/>
      <c r="H17" s="14">
        <f t="shared" si="0"/>
        <v>1</v>
      </c>
      <c r="I17" s="14">
        <v>1</v>
      </c>
      <c r="J17" s="14">
        <v>1</v>
      </c>
      <c r="K17" s="13" t="s">
        <v>1635</v>
      </c>
      <c r="L17" s="1" t="s">
        <v>445</v>
      </c>
      <c r="M17" s="1">
        <v>874</v>
      </c>
      <c r="N17" s="1">
        <v>6674</v>
      </c>
      <c r="O17" s="1">
        <v>408740</v>
      </c>
      <c r="P17" s="1">
        <v>366740</v>
      </c>
    </row>
    <row r="18" spans="1:16" ht="22.5" x14ac:dyDescent="0.25">
      <c r="A18" s="11" t="s">
        <v>1349</v>
      </c>
      <c r="B18" s="13" t="s">
        <v>126</v>
      </c>
      <c r="C18" s="10" t="s">
        <v>1705</v>
      </c>
      <c r="D18" s="13" t="s">
        <v>496</v>
      </c>
      <c r="E18" s="14" t="s">
        <v>1378</v>
      </c>
      <c r="F18" s="14" t="s">
        <v>11</v>
      </c>
      <c r="G18" s="13"/>
      <c r="H18" s="14">
        <f t="shared" si="0"/>
        <v>1</v>
      </c>
      <c r="I18" s="14">
        <v>1</v>
      </c>
      <c r="J18" s="14">
        <v>1</v>
      </c>
      <c r="K18" s="13" t="s">
        <v>1706</v>
      </c>
      <c r="L18" s="1" t="s">
        <v>445</v>
      </c>
      <c r="M18" s="1">
        <v>1277</v>
      </c>
      <c r="N18" s="1">
        <v>8370</v>
      </c>
      <c r="O18" s="1">
        <v>412770</v>
      </c>
      <c r="P18" s="1">
        <v>383700</v>
      </c>
    </row>
    <row r="19" spans="1:16" x14ac:dyDescent="0.25">
      <c r="A19" s="11" t="s">
        <v>1349</v>
      </c>
      <c r="B19" s="13" t="s">
        <v>126</v>
      </c>
      <c r="C19" s="10" t="s">
        <v>1628</v>
      </c>
      <c r="D19" s="13" t="s">
        <v>90</v>
      </c>
      <c r="E19" s="14" t="s">
        <v>444</v>
      </c>
      <c r="F19" s="14" t="s">
        <v>11</v>
      </c>
      <c r="G19" s="13"/>
      <c r="H19" s="14">
        <f>G19+I19</f>
        <v>1</v>
      </c>
      <c r="I19" s="14">
        <v>1</v>
      </c>
      <c r="J19" s="14">
        <v>1</v>
      </c>
      <c r="K19" s="13" t="s">
        <v>1635</v>
      </c>
      <c r="L19" s="1" t="s">
        <v>445</v>
      </c>
      <c r="M19" s="1">
        <v>1702</v>
      </c>
      <c r="N19" s="1">
        <v>5673</v>
      </c>
      <c r="O19" s="1">
        <v>417020</v>
      </c>
      <c r="P19" s="1">
        <v>356730</v>
      </c>
    </row>
    <row r="20" spans="1:16" x14ac:dyDescent="0.25">
      <c r="A20" s="11" t="s">
        <v>1349</v>
      </c>
      <c r="B20" s="13" t="s">
        <v>126</v>
      </c>
      <c r="C20" s="10" t="s">
        <v>1762</v>
      </c>
      <c r="D20" s="13" t="s">
        <v>90</v>
      </c>
      <c r="E20" s="14" t="s">
        <v>1763</v>
      </c>
      <c r="F20" s="14" t="s">
        <v>11</v>
      </c>
      <c r="G20" s="13"/>
      <c r="H20" s="14">
        <f>G20+I20</f>
        <v>1</v>
      </c>
      <c r="I20" s="14">
        <v>1</v>
      </c>
      <c r="J20" s="14">
        <v>1</v>
      </c>
      <c r="K20" s="13" t="s">
        <v>1764</v>
      </c>
      <c r="L20" s="1" t="s">
        <v>445</v>
      </c>
      <c r="M20" s="1">
        <v>365</v>
      </c>
      <c r="N20" s="1">
        <v>294</v>
      </c>
      <c r="O20" s="1">
        <v>436500</v>
      </c>
      <c r="P20" s="1">
        <v>329400</v>
      </c>
    </row>
    <row r="21" spans="1:16" x14ac:dyDescent="0.25">
      <c r="A21" s="11" t="s">
        <v>1349</v>
      </c>
      <c r="B21" s="13" t="s">
        <v>126</v>
      </c>
      <c r="C21" s="10" t="s">
        <v>1428</v>
      </c>
      <c r="D21" s="13" t="s">
        <v>90</v>
      </c>
      <c r="E21" s="14" t="s">
        <v>1429</v>
      </c>
      <c r="F21" s="14" t="s">
        <v>11</v>
      </c>
      <c r="G21" s="13">
        <v>1</v>
      </c>
      <c r="H21" s="14">
        <f>G21+I21</f>
        <v>1</v>
      </c>
      <c r="J21" s="14">
        <v>1</v>
      </c>
      <c r="K21" s="13" t="s">
        <v>868</v>
      </c>
      <c r="L21" s="1" t="s">
        <v>445</v>
      </c>
      <c r="M21" s="1">
        <v>1868</v>
      </c>
      <c r="N21" s="1">
        <v>8509</v>
      </c>
      <c r="O21" s="1">
        <v>418680</v>
      </c>
      <c r="P21" s="1">
        <v>385090</v>
      </c>
    </row>
    <row r="22" spans="1:16" x14ac:dyDescent="0.25">
      <c r="A22" s="11" t="s">
        <v>1349</v>
      </c>
      <c r="B22" s="13" t="s">
        <v>191</v>
      </c>
      <c r="C22" s="10" t="s">
        <v>1439</v>
      </c>
      <c r="D22" s="13" t="s">
        <v>39</v>
      </c>
      <c r="E22" s="14" t="s">
        <v>1440</v>
      </c>
      <c r="F22" s="14" t="s">
        <v>11</v>
      </c>
      <c r="G22" s="13"/>
      <c r="H22" s="14">
        <f t="shared" si="0"/>
        <v>1</v>
      </c>
      <c r="I22" s="14">
        <v>1</v>
      </c>
      <c r="J22" s="14">
        <v>1</v>
      </c>
      <c r="K22" s="13" t="s">
        <v>1195</v>
      </c>
      <c r="L22" s="15" t="s">
        <v>520</v>
      </c>
      <c r="M22" s="15">
        <v>8757</v>
      </c>
      <c r="N22" s="15">
        <v>8607</v>
      </c>
      <c r="O22" s="15">
        <v>287570</v>
      </c>
      <c r="P22" s="15">
        <v>86070</v>
      </c>
    </row>
    <row r="23" spans="1:16" x14ac:dyDescent="0.25">
      <c r="A23" s="11" t="s">
        <v>1349</v>
      </c>
      <c r="B23" s="13" t="s">
        <v>191</v>
      </c>
      <c r="C23" s="10" t="s">
        <v>1375</v>
      </c>
      <c r="D23" s="13" t="s">
        <v>39</v>
      </c>
      <c r="F23" s="14" t="s">
        <v>11</v>
      </c>
      <c r="G23" s="13"/>
      <c r="H23" s="14">
        <f t="shared" si="0"/>
        <v>3</v>
      </c>
      <c r="I23" s="14">
        <v>3</v>
      </c>
      <c r="J23" s="14">
        <v>3</v>
      </c>
      <c r="K23" s="13" t="s">
        <v>1461</v>
      </c>
      <c r="L23" s="15" t="s">
        <v>520</v>
      </c>
      <c r="M23" s="15">
        <v>7558</v>
      </c>
      <c r="N23" s="15">
        <v>5925</v>
      </c>
      <c r="O23" s="15">
        <v>275580</v>
      </c>
      <c r="P23" s="15">
        <v>59250</v>
      </c>
    </row>
    <row r="24" spans="1:16" ht="22.5" x14ac:dyDescent="0.25">
      <c r="A24" s="11" t="s">
        <v>1349</v>
      </c>
      <c r="B24" s="13" t="s">
        <v>191</v>
      </c>
      <c r="C24" s="10" t="s">
        <v>192</v>
      </c>
      <c r="D24" s="13" t="s">
        <v>92</v>
      </c>
      <c r="E24" s="14" t="s">
        <v>194</v>
      </c>
      <c r="F24" s="14" t="s">
        <v>11</v>
      </c>
      <c r="G24" s="13">
        <v>16</v>
      </c>
      <c r="H24" s="14">
        <f t="shared" si="0"/>
        <v>24</v>
      </c>
      <c r="I24" s="14">
        <v>8</v>
      </c>
      <c r="J24" s="14">
        <v>14</v>
      </c>
      <c r="K24" s="13" t="s">
        <v>1484</v>
      </c>
      <c r="L24" s="15" t="s">
        <v>119</v>
      </c>
      <c r="M24" s="15">
        <v>112</v>
      </c>
      <c r="N24" s="15">
        <v>30</v>
      </c>
      <c r="O24" s="15">
        <v>311200</v>
      </c>
      <c r="P24" s="15">
        <v>103000</v>
      </c>
    </row>
    <row r="25" spans="1:16" x14ac:dyDescent="0.25">
      <c r="A25" s="11" t="s">
        <v>1349</v>
      </c>
      <c r="B25" s="13" t="s">
        <v>191</v>
      </c>
      <c r="C25" s="10" t="s">
        <v>1378</v>
      </c>
      <c r="D25" s="13" t="s">
        <v>39</v>
      </c>
      <c r="E25" s="14" t="s">
        <v>194</v>
      </c>
      <c r="F25" s="14" t="s">
        <v>11</v>
      </c>
      <c r="G25" s="13"/>
      <c r="H25" s="14">
        <f t="shared" si="0"/>
        <v>2</v>
      </c>
      <c r="I25" s="14">
        <v>2</v>
      </c>
      <c r="J25" s="14">
        <v>2</v>
      </c>
      <c r="K25" s="13" t="s">
        <v>1462</v>
      </c>
      <c r="L25" s="15" t="s">
        <v>189</v>
      </c>
      <c r="M25" s="15">
        <v>10338</v>
      </c>
      <c r="N25" s="15">
        <v>85939</v>
      </c>
      <c r="O25" s="15">
        <v>310338</v>
      </c>
      <c r="P25" s="15">
        <v>85939</v>
      </c>
    </row>
    <row r="26" spans="1:16" x14ac:dyDescent="0.25">
      <c r="A26" s="11" t="s">
        <v>1349</v>
      </c>
      <c r="B26" s="13" t="s">
        <v>68</v>
      </c>
      <c r="C26" s="10" t="s">
        <v>1603</v>
      </c>
      <c r="D26" s="13" t="s">
        <v>90</v>
      </c>
      <c r="E26" s="14" t="s">
        <v>118</v>
      </c>
      <c r="F26" s="14" t="s">
        <v>11</v>
      </c>
      <c r="G26" s="13">
        <v>5</v>
      </c>
      <c r="H26" s="14">
        <f t="shared" si="0"/>
        <v>5</v>
      </c>
      <c r="J26" s="14">
        <v>3</v>
      </c>
      <c r="K26" s="13" t="s">
        <v>1701</v>
      </c>
      <c r="L26" s="15" t="s">
        <v>145</v>
      </c>
      <c r="M26" s="15">
        <v>8199</v>
      </c>
      <c r="N26" s="15">
        <v>9900</v>
      </c>
      <c r="O26" s="15">
        <v>381990</v>
      </c>
      <c r="P26" s="15">
        <v>99000</v>
      </c>
    </row>
    <row r="27" spans="1:16" x14ac:dyDescent="0.25">
      <c r="A27" s="11" t="s">
        <v>1349</v>
      </c>
      <c r="B27" s="13" t="s">
        <v>68</v>
      </c>
      <c r="C27" s="10" t="s">
        <v>1652</v>
      </c>
      <c r="D27" s="13" t="s">
        <v>1653</v>
      </c>
      <c r="E27" s="14" t="s">
        <v>68</v>
      </c>
      <c r="F27" s="14" t="s">
        <v>11</v>
      </c>
      <c r="G27" s="13">
        <v>6</v>
      </c>
      <c r="H27" s="14">
        <f t="shared" si="0"/>
        <v>6</v>
      </c>
      <c r="J27" s="14">
        <v>3</v>
      </c>
      <c r="K27" s="13" t="s">
        <v>1686</v>
      </c>
      <c r="L27" s="15" t="s">
        <v>110</v>
      </c>
      <c r="M27" s="15">
        <v>462</v>
      </c>
      <c r="N27" s="15">
        <v>1156</v>
      </c>
      <c r="O27" s="15">
        <v>404620</v>
      </c>
      <c r="P27" s="15">
        <v>111560</v>
      </c>
    </row>
    <row r="28" spans="1:16" ht="22.5" x14ac:dyDescent="0.25">
      <c r="A28" s="11" t="s">
        <v>1349</v>
      </c>
      <c r="B28" s="13" t="s">
        <v>68</v>
      </c>
      <c r="C28" s="10" t="s">
        <v>1634</v>
      </c>
      <c r="D28" s="13" t="s">
        <v>90</v>
      </c>
      <c r="E28" s="13" t="s">
        <v>600</v>
      </c>
      <c r="F28" s="14" t="s">
        <v>11</v>
      </c>
      <c r="G28" s="13"/>
      <c r="H28" s="14">
        <f t="shared" si="0"/>
        <v>1</v>
      </c>
      <c r="I28" s="14">
        <v>1</v>
      </c>
      <c r="J28" s="14">
        <v>1</v>
      </c>
      <c r="K28" s="13" t="s">
        <v>1635</v>
      </c>
      <c r="L28" s="15" t="s">
        <v>145</v>
      </c>
      <c r="M28" s="15">
        <v>735</v>
      </c>
      <c r="N28" s="15">
        <v>864</v>
      </c>
      <c r="O28" s="15">
        <v>373500</v>
      </c>
      <c r="P28" s="15">
        <v>86400</v>
      </c>
    </row>
    <row r="29" spans="1:16" ht="22.5" x14ac:dyDescent="0.25">
      <c r="A29" s="11" t="s">
        <v>1349</v>
      </c>
      <c r="B29" s="13" t="s">
        <v>68</v>
      </c>
      <c r="C29" s="10" t="s">
        <v>117</v>
      </c>
      <c r="D29" s="13" t="s">
        <v>92</v>
      </c>
      <c r="E29" s="14" t="s">
        <v>118</v>
      </c>
      <c r="F29" s="14" t="s">
        <v>11</v>
      </c>
      <c r="G29" s="13"/>
      <c r="H29" s="14">
        <f t="shared" si="0"/>
        <v>2</v>
      </c>
      <c r="I29" s="14">
        <v>2</v>
      </c>
      <c r="J29" s="14">
        <v>2</v>
      </c>
      <c r="K29" s="13" t="s">
        <v>1483</v>
      </c>
      <c r="L29" s="15" t="s">
        <v>119</v>
      </c>
      <c r="M29" s="15">
        <v>8492</v>
      </c>
      <c r="N29" s="15">
        <v>1226</v>
      </c>
      <c r="O29" s="15">
        <v>384920</v>
      </c>
      <c r="P29" s="15">
        <v>112260</v>
      </c>
    </row>
    <row r="30" spans="1:16" x14ac:dyDescent="0.25">
      <c r="A30" s="11" t="s">
        <v>1349</v>
      </c>
      <c r="B30" s="13" t="s">
        <v>68</v>
      </c>
      <c r="C30" s="17" t="s">
        <v>1394</v>
      </c>
      <c r="D30" s="13" t="s">
        <v>1395</v>
      </c>
      <c r="E30" s="14" t="s">
        <v>314</v>
      </c>
      <c r="F30" s="14" t="s">
        <v>11</v>
      </c>
      <c r="G30" s="13">
        <v>10</v>
      </c>
      <c r="H30" s="14">
        <f t="shared" si="0"/>
        <v>10</v>
      </c>
      <c r="J30" s="14">
        <v>5</v>
      </c>
      <c r="K30" s="13" t="s">
        <v>1581</v>
      </c>
      <c r="L30" s="15" t="s">
        <v>110</v>
      </c>
      <c r="M30" s="15">
        <v>122</v>
      </c>
      <c r="N30" s="15">
        <v>1738</v>
      </c>
      <c r="O30" s="15">
        <v>401220</v>
      </c>
      <c r="P30" s="15">
        <v>117380</v>
      </c>
    </row>
    <row r="31" spans="1:16" x14ac:dyDescent="0.25">
      <c r="A31" s="11" t="s">
        <v>1349</v>
      </c>
      <c r="B31" s="13" t="s">
        <v>68</v>
      </c>
      <c r="C31" s="10" t="s">
        <v>402</v>
      </c>
      <c r="D31" s="13" t="s">
        <v>18</v>
      </c>
      <c r="E31" s="14" t="s">
        <v>21</v>
      </c>
      <c r="F31" s="14" t="s">
        <v>11</v>
      </c>
      <c r="G31" s="13"/>
      <c r="H31" s="14">
        <f t="shared" si="0"/>
        <v>6</v>
      </c>
      <c r="I31" s="14">
        <v>6</v>
      </c>
      <c r="J31" s="14">
        <v>5</v>
      </c>
      <c r="K31" s="13" t="s">
        <v>1730</v>
      </c>
      <c r="L31" s="15" t="s">
        <v>145</v>
      </c>
      <c r="M31" s="15">
        <v>70986</v>
      </c>
      <c r="N31" s="15">
        <v>89924</v>
      </c>
      <c r="O31" s="15">
        <v>370986</v>
      </c>
      <c r="P31" s="15">
        <v>89924</v>
      </c>
    </row>
    <row r="32" spans="1:16" x14ac:dyDescent="0.25">
      <c r="A32" s="11" t="s">
        <v>1349</v>
      </c>
      <c r="B32" s="13" t="s">
        <v>68</v>
      </c>
      <c r="C32" s="10" t="s">
        <v>1604</v>
      </c>
      <c r="D32" s="13" t="s">
        <v>90</v>
      </c>
      <c r="E32" s="14" t="s">
        <v>118</v>
      </c>
      <c r="F32" s="14" t="s">
        <v>11</v>
      </c>
      <c r="G32" s="13">
        <v>5</v>
      </c>
      <c r="H32" s="14">
        <f>G32+I32</f>
        <v>5</v>
      </c>
      <c r="J32" s="14">
        <v>3</v>
      </c>
      <c r="K32" s="13" t="s">
        <v>1701</v>
      </c>
      <c r="L32" s="15" t="s">
        <v>145</v>
      </c>
      <c r="M32" s="15">
        <v>8199</v>
      </c>
      <c r="N32" s="15">
        <v>9900</v>
      </c>
      <c r="O32" s="15">
        <v>381990</v>
      </c>
      <c r="P32" s="15">
        <v>99000</v>
      </c>
    </row>
    <row r="33" spans="1:16" x14ac:dyDescent="0.25">
      <c r="A33" s="11" t="s">
        <v>1349</v>
      </c>
      <c r="B33" s="13" t="s">
        <v>68</v>
      </c>
      <c r="C33" s="10" t="s">
        <v>1755</v>
      </c>
      <c r="D33" s="13" t="s">
        <v>90</v>
      </c>
      <c r="E33" s="14" t="s">
        <v>1756</v>
      </c>
      <c r="F33" s="14" t="s">
        <v>11</v>
      </c>
      <c r="G33" s="13"/>
      <c r="H33" s="14">
        <f t="shared" si="0"/>
        <v>2</v>
      </c>
      <c r="I33" s="14">
        <v>2</v>
      </c>
      <c r="J33" s="14">
        <v>2</v>
      </c>
      <c r="K33" s="13" t="s">
        <v>1757</v>
      </c>
      <c r="L33" s="15" t="s">
        <v>145</v>
      </c>
      <c r="M33" s="15">
        <v>895</v>
      </c>
      <c r="N33" s="15">
        <v>871</v>
      </c>
      <c r="O33" s="15">
        <v>389500</v>
      </c>
      <c r="P33" s="15">
        <v>87100</v>
      </c>
    </row>
    <row r="34" spans="1:16" x14ac:dyDescent="0.25">
      <c r="A34" s="11" t="s">
        <v>1349</v>
      </c>
      <c r="B34" s="13" t="s">
        <v>209</v>
      </c>
      <c r="C34" s="10" t="s">
        <v>823</v>
      </c>
      <c r="D34" s="13" t="s">
        <v>39</v>
      </c>
      <c r="E34" s="14" t="s">
        <v>282</v>
      </c>
      <c r="F34" s="14" t="s">
        <v>11</v>
      </c>
      <c r="G34" s="13">
        <v>3</v>
      </c>
      <c r="H34" s="14">
        <f t="shared" si="0"/>
        <v>5</v>
      </c>
      <c r="I34" s="14">
        <v>2</v>
      </c>
      <c r="J34" s="14">
        <v>3</v>
      </c>
      <c r="K34" s="13" t="s">
        <v>1727</v>
      </c>
      <c r="L34" s="15" t="s">
        <v>140</v>
      </c>
      <c r="M34" s="15">
        <v>17</v>
      </c>
      <c r="N34" s="15">
        <v>15</v>
      </c>
      <c r="O34" s="15">
        <v>617500</v>
      </c>
      <c r="P34" s="15">
        <v>215500</v>
      </c>
    </row>
    <row r="35" spans="1:16" ht="22.5" x14ac:dyDescent="0.25">
      <c r="A35" s="11" t="s">
        <v>1349</v>
      </c>
      <c r="B35" s="13" t="s">
        <v>64</v>
      </c>
      <c r="C35" s="10" t="s">
        <v>547</v>
      </c>
      <c r="D35" s="13" t="s">
        <v>540</v>
      </c>
      <c r="E35" s="14" t="s">
        <v>548</v>
      </c>
      <c r="F35" s="14" t="s">
        <v>11</v>
      </c>
      <c r="G35" s="13">
        <v>6</v>
      </c>
      <c r="H35" s="14">
        <f t="shared" si="0"/>
        <v>6</v>
      </c>
      <c r="J35" s="14">
        <v>4</v>
      </c>
      <c r="K35" s="13" t="s">
        <v>1681</v>
      </c>
      <c r="L35" s="15" t="s">
        <v>111</v>
      </c>
      <c r="M35" s="15">
        <v>92</v>
      </c>
      <c r="N35" s="15">
        <v>333</v>
      </c>
      <c r="O35" s="15">
        <v>409200</v>
      </c>
      <c r="P35" s="15">
        <v>233300</v>
      </c>
    </row>
    <row r="36" spans="1:16" x14ac:dyDescent="0.25">
      <c r="A36" s="11" t="s">
        <v>1349</v>
      </c>
      <c r="B36" s="13" t="s">
        <v>261</v>
      </c>
      <c r="C36" s="10" t="s">
        <v>262</v>
      </c>
      <c r="D36" s="13" t="s">
        <v>26</v>
      </c>
      <c r="E36" s="14" t="s">
        <v>263</v>
      </c>
      <c r="F36" s="14" t="s">
        <v>11</v>
      </c>
      <c r="G36" s="13"/>
      <c r="H36" s="14">
        <f t="shared" ref="H36:H67" si="1">G36+I36</f>
        <v>2</v>
      </c>
      <c r="I36" s="14">
        <v>2</v>
      </c>
      <c r="J36" s="14">
        <v>2</v>
      </c>
      <c r="K36" s="13" t="s">
        <v>1475</v>
      </c>
      <c r="L36" s="15" t="s">
        <v>110</v>
      </c>
      <c r="M36" s="15">
        <v>3310</v>
      </c>
      <c r="N36" s="15">
        <v>4952</v>
      </c>
      <c r="O36" s="15">
        <v>433100</v>
      </c>
      <c r="P36" s="15">
        <v>149520</v>
      </c>
    </row>
    <row r="37" spans="1:16" ht="22.5" x14ac:dyDescent="0.25">
      <c r="A37" s="11" t="s">
        <v>1349</v>
      </c>
      <c r="B37" s="13" t="s">
        <v>705</v>
      </c>
      <c r="C37" s="10" t="s">
        <v>1392</v>
      </c>
      <c r="D37" s="13" t="s">
        <v>1173</v>
      </c>
      <c r="E37" s="13" t="s">
        <v>1393</v>
      </c>
      <c r="F37" s="14" t="s">
        <v>11</v>
      </c>
      <c r="G37" s="13">
        <v>1</v>
      </c>
      <c r="H37" s="14">
        <f t="shared" si="1"/>
        <v>4</v>
      </c>
      <c r="I37" s="14">
        <v>3</v>
      </c>
      <c r="J37" s="14">
        <v>4</v>
      </c>
      <c r="K37" s="13" t="s">
        <v>1735</v>
      </c>
      <c r="L37" s="15" t="s">
        <v>177</v>
      </c>
      <c r="M37" s="15">
        <v>233</v>
      </c>
      <c r="N37" s="15">
        <v>336</v>
      </c>
      <c r="O37" s="15">
        <v>523300</v>
      </c>
      <c r="P37" s="15">
        <v>233600</v>
      </c>
    </row>
    <row r="38" spans="1:16" x14ac:dyDescent="0.25">
      <c r="A38" s="11" t="s">
        <v>1349</v>
      </c>
      <c r="B38" s="13" t="s">
        <v>283</v>
      </c>
      <c r="C38" s="10" t="s">
        <v>1388</v>
      </c>
      <c r="D38" s="13" t="s">
        <v>39</v>
      </c>
      <c r="E38" s="14" t="s">
        <v>1389</v>
      </c>
      <c r="F38" s="14" t="s">
        <v>11</v>
      </c>
      <c r="G38" s="13">
        <v>9</v>
      </c>
      <c r="H38" s="14">
        <f t="shared" si="1"/>
        <v>10</v>
      </c>
      <c r="I38" s="14">
        <v>1</v>
      </c>
      <c r="J38" s="14">
        <v>5</v>
      </c>
      <c r="K38" s="13" t="s">
        <v>1582</v>
      </c>
      <c r="L38" s="15" t="s">
        <v>108</v>
      </c>
      <c r="M38" s="15">
        <v>6159</v>
      </c>
      <c r="N38" s="15">
        <v>7308</v>
      </c>
      <c r="O38" s="15">
        <v>561590</v>
      </c>
      <c r="P38" s="15">
        <v>173080</v>
      </c>
    </row>
    <row r="39" spans="1:16" x14ac:dyDescent="0.25">
      <c r="A39" s="11" t="s">
        <v>1349</v>
      </c>
      <c r="B39" s="13" t="s">
        <v>328</v>
      </c>
      <c r="C39" s="10" t="s">
        <v>418</v>
      </c>
      <c r="D39" s="13" t="s">
        <v>26</v>
      </c>
      <c r="E39" s="14" t="s">
        <v>419</v>
      </c>
      <c r="F39" s="14" t="s">
        <v>11</v>
      </c>
      <c r="G39" s="13"/>
      <c r="H39" s="14">
        <f t="shared" si="1"/>
        <v>3</v>
      </c>
      <c r="I39" s="14">
        <v>3</v>
      </c>
      <c r="J39" s="14">
        <v>3</v>
      </c>
      <c r="K39" s="13" t="s">
        <v>1468</v>
      </c>
      <c r="L39" s="15" t="s">
        <v>175</v>
      </c>
      <c r="M39" s="15">
        <v>4278</v>
      </c>
      <c r="N39" s="15">
        <v>7126</v>
      </c>
      <c r="O39" s="15">
        <v>542780</v>
      </c>
      <c r="P39" s="15">
        <v>371260</v>
      </c>
    </row>
    <row r="40" spans="1:16" x14ac:dyDescent="0.25">
      <c r="A40" s="11" t="s">
        <v>1349</v>
      </c>
      <c r="B40" s="13" t="s">
        <v>78</v>
      </c>
      <c r="C40" s="10" t="s">
        <v>392</v>
      </c>
      <c r="D40" s="13" t="s">
        <v>18</v>
      </c>
      <c r="E40" s="14" t="s">
        <v>141</v>
      </c>
      <c r="F40" s="14" t="s">
        <v>11</v>
      </c>
      <c r="G40" s="13"/>
      <c r="H40" s="14">
        <f t="shared" si="1"/>
        <v>2</v>
      </c>
      <c r="I40" s="14">
        <v>2</v>
      </c>
      <c r="J40" s="14">
        <v>2</v>
      </c>
      <c r="K40" s="13" t="s">
        <v>1485</v>
      </c>
      <c r="L40" s="15" t="s">
        <v>393</v>
      </c>
      <c r="M40" s="15">
        <v>2398</v>
      </c>
      <c r="N40" s="15">
        <v>601</v>
      </c>
      <c r="O40" s="15">
        <v>623980</v>
      </c>
      <c r="P40" s="15">
        <v>306010</v>
      </c>
    </row>
    <row r="41" spans="1:16" ht="22.5" x14ac:dyDescent="0.25">
      <c r="A41" s="11" t="s">
        <v>1349</v>
      </c>
      <c r="B41" s="13" t="s">
        <v>78</v>
      </c>
      <c r="C41" s="10" t="s">
        <v>77</v>
      </c>
      <c r="D41" s="13" t="s">
        <v>138</v>
      </c>
      <c r="E41" s="14" t="s">
        <v>141</v>
      </c>
      <c r="F41" s="14" t="s">
        <v>11</v>
      </c>
      <c r="G41" s="13"/>
      <c r="H41" s="14">
        <f t="shared" si="1"/>
        <v>5</v>
      </c>
      <c r="I41" s="14">
        <v>5</v>
      </c>
      <c r="J41" s="14">
        <v>3</v>
      </c>
      <c r="K41" s="13" t="s">
        <v>1457</v>
      </c>
      <c r="L41" s="15" t="s">
        <v>140</v>
      </c>
      <c r="M41" s="15">
        <v>343</v>
      </c>
      <c r="N41" s="15">
        <v>911</v>
      </c>
      <c r="O41" s="15">
        <v>634300</v>
      </c>
      <c r="P41" s="15">
        <v>291100</v>
      </c>
    </row>
    <row r="42" spans="1:16" x14ac:dyDescent="0.25">
      <c r="A42" s="11" t="s">
        <v>1349</v>
      </c>
      <c r="B42" s="13" t="s">
        <v>78</v>
      </c>
      <c r="C42" s="10" t="s">
        <v>565</v>
      </c>
      <c r="D42" s="13" t="s">
        <v>158</v>
      </c>
      <c r="E42" s="14" t="s">
        <v>566</v>
      </c>
      <c r="F42" s="14" t="s">
        <v>11</v>
      </c>
      <c r="G42" s="13">
        <v>1</v>
      </c>
      <c r="H42" s="14">
        <f t="shared" si="1"/>
        <v>1</v>
      </c>
      <c r="J42" s="14">
        <v>1</v>
      </c>
      <c r="K42" s="13" t="s">
        <v>590</v>
      </c>
      <c r="L42" s="15" t="s">
        <v>177</v>
      </c>
      <c r="M42" s="15">
        <v>81758</v>
      </c>
      <c r="N42" s="15">
        <v>89781</v>
      </c>
      <c r="O42" s="15">
        <v>581758</v>
      </c>
      <c r="P42" s="15">
        <v>289781</v>
      </c>
    </row>
    <row r="43" spans="1:16" x14ac:dyDescent="0.25">
      <c r="A43" s="11" t="s">
        <v>1349</v>
      </c>
      <c r="B43" s="13" t="s">
        <v>206</v>
      </c>
      <c r="C43" s="10" t="s">
        <v>1657</v>
      </c>
      <c r="D43" s="13" t="s">
        <v>90</v>
      </c>
      <c r="E43" s="14" t="s">
        <v>1658</v>
      </c>
      <c r="F43" s="14" t="s">
        <v>11</v>
      </c>
      <c r="G43" s="13">
        <v>1</v>
      </c>
      <c r="H43" s="14">
        <f t="shared" si="1"/>
        <v>2</v>
      </c>
      <c r="I43" s="14">
        <v>1</v>
      </c>
      <c r="J43" s="14">
        <v>2</v>
      </c>
      <c r="K43" s="13" t="s">
        <v>1751</v>
      </c>
      <c r="L43" s="15" t="s">
        <v>111</v>
      </c>
      <c r="M43" s="15">
        <v>8705</v>
      </c>
      <c r="N43" s="15">
        <v>6275</v>
      </c>
      <c r="O43" s="15">
        <v>487050</v>
      </c>
      <c r="P43" s="15">
        <v>262750</v>
      </c>
    </row>
    <row r="44" spans="1:16" x14ac:dyDescent="0.25">
      <c r="A44" s="11" t="s">
        <v>1349</v>
      </c>
      <c r="B44" s="13" t="s">
        <v>46</v>
      </c>
      <c r="C44" s="10" t="s">
        <v>1420</v>
      </c>
      <c r="D44" s="13" t="s">
        <v>39</v>
      </c>
      <c r="E44" s="14" t="s">
        <v>1421</v>
      </c>
      <c r="F44" s="14" t="s">
        <v>11</v>
      </c>
      <c r="G44" s="13">
        <v>1</v>
      </c>
      <c r="H44" s="14">
        <f t="shared" si="1"/>
        <v>1</v>
      </c>
      <c r="J44" s="14">
        <v>1</v>
      </c>
      <c r="K44" s="13" t="s">
        <v>863</v>
      </c>
      <c r="L44" s="15" t="s">
        <v>398</v>
      </c>
      <c r="M44" s="15">
        <v>945</v>
      </c>
      <c r="N44" s="15">
        <v>375</v>
      </c>
      <c r="O44" s="15">
        <v>394500</v>
      </c>
      <c r="P44" s="15">
        <v>637500</v>
      </c>
    </row>
    <row r="45" spans="1:16" x14ac:dyDescent="0.25">
      <c r="A45" s="11" t="s">
        <v>1349</v>
      </c>
      <c r="B45" s="13" t="s">
        <v>46</v>
      </c>
      <c r="C45" s="10" t="s">
        <v>1597</v>
      </c>
      <c r="D45" s="13" t="s">
        <v>1598</v>
      </c>
      <c r="E45" s="14" t="s">
        <v>1420</v>
      </c>
      <c r="F45" s="14" t="s">
        <v>11</v>
      </c>
      <c r="G45" s="13"/>
      <c r="H45" s="14">
        <f t="shared" si="1"/>
        <v>1</v>
      </c>
      <c r="I45" s="14">
        <v>1</v>
      </c>
      <c r="J45" s="14">
        <v>1</v>
      </c>
      <c r="K45" s="13" t="s">
        <v>1593</v>
      </c>
      <c r="L45" s="15" t="s">
        <v>398</v>
      </c>
      <c r="M45" s="15">
        <v>977</v>
      </c>
      <c r="N45" s="15">
        <v>370</v>
      </c>
      <c r="O45" s="15">
        <v>397700</v>
      </c>
      <c r="P45" s="15">
        <v>637000</v>
      </c>
    </row>
    <row r="46" spans="1:16" x14ac:dyDescent="0.25">
      <c r="A46" s="11" t="s">
        <v>1349</v>
      </c>
      <c r="B46" s="13" t="s">
        <v>46</v>
      </c>
      <c r="C46" s="10" t="s">
        <v>1768</v>
      </c>
      <c r="D46" s="13" t="s">
        <v>90</v>
      </c>
      <c r="E46" s="14" t="s">
        <v>1769</v>
      </c>
      <c r="F46" s="14" t="s">
        <v>11</v>
      </c>
      <c r="G46" s="13"/>
      <c r="H46" s="14">
        <f t="shared" si="1"/>
        <v>1</v>
      </c>
      <c r="I46" s="14">
        <v>1</v>
      </c>
      <c r="J46" s="14">
        <v>1</v>
      </c>
      <c r="K46" s="13" t="s">
        <v>1770</v>
      </c>
      <c r="L46" s="15" t="s">
        <v>166</v>
      </c>
      <c r="M46" s="15">
        <v>970</v>
      </c>
      <c r="N46" s="15">
        <v>987</v>
      </c>
      <c r="O46" s="15">
        <v>397000</v>
      </c>
      <c r="P46" s="15">
        <v>598700</v>
      </c>
    </row>
    <row r="47" spans="1:16" ht="22.5" x14ac:dyDescent="0.25">
      <c r="A47" s="11" t="s">
        <v>1349</v>
      </c>
      <c r="B47" s="13" t="s">
        <v>62</v>
      </c>
      <c r="C47" s="10" t="s">
        <v>61</v>
      </c>
      <c r="D47" s="13" t="s">
        <v>26</v>
      </c>
      <c r="E47" s="13" t="s">
        <v>101</v>
      </c>
      <c r="F47" s="14" t="s">
        <v>11</v>
      </c>
      <c r="G47" s="13"/>
      <c r="H47" s="14">
        <f t="shared" si="1"/>
        <v>2</v>
      </c>
      <c r="I47" s="14">
        <v>2</v>
      </c>
      <c r="J47" s="14">
        <v>2</v>
      </c>
      <c r="K47" s="13" t="s">
        <v>1477</v>
      </c>
      <c r="L47" s="15" t="s">
        <v>111</v>
      </c>
      <c r="M47" s="15">
        <v>3001</v>
      </c>
      <c r="N47" s="15">
        <v>1755</v>
      </c>
      <c r="O47" s="15">
        <v>430010</v>
      </c>
      <c r="P47" s="15">
        <v>217550</v>
      </c>
    </row>
    <row r="48" spans="1:16" ht="22.5" x14ac:dyDescent="0.25">
      <c r="A48" s="11" t="s">
        <v>1349</v>
      </c>
      <c r="B48" s="13" t="s">
        <v>62</v>
      </c>
      <c r="C48" s="10" t="s">
        <v>91</v>
      </c>
      <c r="D48" s="13" t="s">
        <v>92</v>
      </c>
      <c r="E48" s="13" t="s">
        <v>102</v>
      </c>
      <c r="F48" s="14" t="s">
        <v>11</v>
      </c>
      <c r="G48" s="13">
        <v>4</v>
      </c>
      <c r="H48" s="14">
        <f t="shared" si="1"/>
        <v>9</v>
      </c>
      <c r="I48" s="14">
        <v>5</v>
      </c>
      <c r="J48" s="14">
        <v>7</v>
      </c>
      <c r="K48" s="13" t="s">
        <v>1482</v>
      </c>
      <c r="L48" s="15" t="s">
        <v>110</v>
      </c>
      <c r="M48" s="15">
        <v>5109</v>
      </c>
      <c r="N48" s="15">
        <v>9828</v>
      </c>
      <c r="O48" s="15">
        <v>451090</v>
      </c>
      <c r="P48" s="15">
        <v>198280</v>
      </c>
    </row>
    <row r="49" spans="1:17" x14ac:dyDescent="0.25">
      <c r="A49" s="11" t="s">
        <v>1349</v>
      </c>
      <c r="B49" s="13" t="s">
        <v>62</v>
      </c>
      <c r="C49" s="10" t="s">
        <v>1758</v>
      </c>
      <c r="D49" s="13" t="s">
        <v>1759</v>
      </c>
      <c r="E49" s="13" t="s">
        <v>1760</v>
      </c>
      <c r="F49" s="14" t="s">
        <v>11</v>
      </c>
      <c r="G49" s="13"/>
      <c r="H49" s="14">
        <f t="shared" si="1"/>
        <v>1</v>
      </c>
      <c r="I49" s="14">
        <v>1</v>
      </c>
      <c r="J49" s="14">
        <v>1</v>
      </c>
      <c r="K49" s="13" t="s">
        <v>1761</v>
      </c>
      <c r="L49" s="15" t="s">
        <v>111</v>
      </c>
      <c r="M49" s="15">
        <v>433</v>
      </c>
      <c r="N49" s="15">
        <v>143</v>
      </c>
      <c r="O49" s="15">
        <v>443300</v>
      </c>
      <c r="P49" s="15">
        <v>214300</v>
      </c>
    </row>
    <row r="50" spans="1:17" ht="22.5" x14ac:dyDescent="0.25">
      <c r="A50" s="11" t="s">
        <v>1349</v>
      </c>
      <c r="B50" s="13" t="s">
        <v>62</v>
      </c>
      <c r="C50" s="10" t="s">
        <v>1590</v>
      </c>
      <c r="D50" s="13" t="s">
        <v>401</v>
      </c>
      <c r="E50" s="13" t="s">
        <v>102</v>
      </c>
      <c r="F50" s="14" t="s">
        <v>11</v>
      </c>
      <c r="G50" s="13">
        <v>1</v>
      </c>
      <c r="H50" s="14">
        <f t="shared" si="1"/>
        <v>2</v>
      </c>
      <c r="I50" s="14">
        <v>1</v>
      </c>
      <c r="J50" s="14">
        <v>2</v>
      </c>
      <c r="K50" s="13" t="s">
        <v>1707</v>
      </c>
      <c r="L50" s="15" t="s">
        <v>110</v>
      </c>
      <c r="M50" s="15">
        <v>3143</v>
      </c>
      <c r="N50" s="15">
        <v>8630</v>
      </c>
      <c r="O50" s="15">
        <v>431430</v>
      </c>
      <c r="P50" s="15">
        <v>186300</v>
      </c>
    </row>
    <row r="51" spans="1:17" ht="22.5" x14ac:dyDescent="0.25">
      <c r="A51" s="11" t="s">
        <v>1349</v>
      </c>
      <c r="B51" s="13" t="s">
        <v>62</v>
      </c>
      <c r="C51" s="10" t="s">
        <v>233</v>
      </c>
      <c r="D51" s="13" t="s">
        <v>26</v>
      </c>
      <c r="E51" s="13" t="s">
        <v>102</v>
      </c>
      <c r="F51" s="14" t="s">
        <v>11</v>
      </c>
      <c r="G51" s="13">
        <v>1</v>
      </c>
      <c r="H51" s="14">
        <f t="shared" si="1"/>
        <v>4</v>
      </c>
      <c r="I51" s="14">
        <v>3</v>
      </c>
      <c r="J51" s="14">
        <v>4</v>
      </c>
      <c r="K51" s="13" t="s">
        <v>1530</v>
      </c>
      <c r="L51" s="15" t="s">
        <v>110</v>
      </c>
      <c r="M51" s="15">
        <v>28090</v>
      </c>
      <c r="N51" s="15">
        <v>85396</v>
      </c>
      <c r="O51" s="15">
        <v>428090</v>
      </c>
      <c r="P51" s="15">
        <v>185396</v>
      </c>
    </row>
    <row r="52" spans="1:17" x14ac:dyDescent="0.25">
      <c r="A52" s="11" t="s">
        <v>1349</v>
      </c>
      <c r="B52" s="13" t="s">
        <v>22</v>
      </c>
      <c r="C52" s="10" t="s">
        <v>149</v>
      </c>
      <c r="D52" s="13" t="s">
        <v>1278</v>
      </c>
      <c r="E52" s="14" t="s">
        <v>149</v>
      </c>
      <c r="F52" s="14" t="s">
        <v>11</v>
      </c>
      <c r="G52" s="13">
        <v>1</v>
      </c>
      <c r="H52" s="14">
        <f t="shared" si="1"/>
        <v>1</v>
      </c>
      <c r="J52" s="14">
        <v>1</v>
      </c>
      <c r="K52" s="13" t="s">
        <v>887</v>
      </c>
      <c r="L52" s="1" t="s">
        <v>119</v>
      </c>
      <c r="M52" s="1">
        <v>35170</v>
      </c>
      <c r="N52" s="1">
        <v>29909</v>
      </c>
      <c r="O52" s="1">
        <v>335170</v>
      </c>
      <c r="P52" s="1">
        <v>129909</v>
      </c>
    </row>
    <row r="53" spans="1:17" x14ac:dyDescent="0.25">
      <c r="A53" s="11" t="s">
        <v>1349</v>
      </c>
      <c r="B53" s="13" t="s">
        <v>22</v>
      </c>
      <c r="C53" s="10" t="s">
        <v>1591</v>
      </c>
      <c r="D53" s="13" t="s">
        <v>401</v>
      </c>
      <c r="E53" s="14" t="s">
        <v>1592</v>
      </c>
      <c r="F53" s="14" t="s">
        <v>11</v>
      </c>
      <c r="G53" s="13">
        <v>1</v>
      </c>
      <c r="H53" s="14">
        <f t="shared" si="1"/>
        <v>2</v>
      </c>
      <c r="I53" s="14">
        <v>1</v>
      </c>
      <c r="J53" s="14">
        <v>2</v>
      </c>
      <c r="K53" s="13" t="s">
        <v>1707</v>
      </c>
      <c r="L53" s="15" t="s">
        <v>119</v>
      </c>
      <c r="M53" s="15">
        <v>1962</v>
      </c>
      <c r="N53" s="15">
        <v>2626</v>
      </c>
      <c r="O53" s="15">
        <v>319620</v>
      </c>
      <c r="P53" s="15">
        <v>126260</v>
      </c>
    </row>
    <row r="54" spans="1:17" x14ac:dyDescent="0.25">
      <c r="A54" s="11" t="s">
        <v>1349</v>
      </c>
      <c r="B54" s="13" t="s">
        <v>609</v>
      </c>
      <c r="C54" s="10" t="s">
        <v>1741</v>
      </c>
      <c r="D54" s="13" t="s">
        <v>90</v>
      </c>
      <c r="E54" s="14" t="s">
        <v>1742</v>
      </c>
      <c r="F54" s="14" t="s">
        <v>11</v>
      </c>
      <c r="G54" s="13"/>
      <c r="H54" s="14">
        <f t="shared" si="1"/>
        <v>2</v>
      </c>
      <c r="I54" s="14">
        <v>2</v>
      </c>
      <c r="J54" s="14">
        <v>2</v>
      </c>
      <c r="K54" s="13" t="s">
        <v>1738</v>
      </c>
      <c r="L54" s="15" t="s">
        <v>140</v>
      </c>
      <c r="M54" s="15">
        <v>250</v>
      </c>
      <c r="N54" s="15">
        <v>430</v>
      </c>
      <c r="O54" s="15">
        <v>625000</v>
      </c>
      <c r="P54" s="15">
        <v>243000</v>
      </c>
    </row>
    <row r="55" spans="1:17" x14ac:dyDescent="0.25">
      <c r="A55" s="11" t="s">
        <v>1349</v>
      </c>
      <c r="B55" s="13" t="s">
        <v>609</v>
      </c>
      <c r="C55" s="10" t="s">
        <v>1746</v>
      </c>
      <c r="D55" s="13" t="s">
        <v>90</v>
      </c>
      <c r="E55" s="14" t="s">
        <v>609</v>
      </c>
      <c r="F55" s="14" t="s">
        <v>11</v>
      </c>
      <c r="G55" s="13"/>
      <c r="H55" s="14">
        <f t="shared" si="1"/>
        <v>2</v>
      </c>
      <c r="I55" s="14">
        <v>2</v>
      </c>
      <c r="J55" s="14">
        <v>2</v>
      </c>
      <c r="K55" s="13" t="s">
        <v>1745</v>
      </c>
      <c r="L55" s="15" t="s">
        <v>177</v>
      </c>
      <c r="M55" s="15">
        <v>7466</v>
      </c>
      <c r="N55" s="15">
        <v>7692</v>
      </c>
      <c r="O55" s="15">
        <v>574660</v>
      </c>
      <c r="P55" s="15">
        <v>276920</v>
      </c>
    </row>
    <row r="56" spans="1:17" x14ac:dyDescent="0.25">
      <c r="A56" s="11" t="s">
        <v>1349</v>
      </c>
      <c r="B56" s="13" t="s">
        <v>609</v>
      </c>
      <c r="C56" s="10" t="s">
        <v>1724</v>
      </c>
      <c r="D56" s="13" t="s">
        <v>39</v>
      </c>
      <c r="E56" s="14" t="s">
        <v>1377</v>
      </c>
      <c r="F56" s="14" t="s">
        <v>11</v>
      </c>
      <c r="G56" s="13"/>
      <c r="H56" s="14">
        <f t="shared" si="1"/>
        <v>2</v>
      </c>
      <c r="I56" s="14">
        <v>2</v>
      </c>
      <c r="J56" s="14">
        <v>2</v>
      </c>
      <c r="K56" s="13" t="s">
        <v>1725</v>
      </c>
      <c r="L56" s="15" t="s">
        <v>177</v>
      </c>
      <c r="M56" s="15">
        <v>711</v>
      </c>
      <c r="N56" s="15">
        <v>753</v>
      </c>
      <c r="O56" s="15">
        <v>571100</v>
      </c>
      <c r="P56" s="15">
        <v>275300</v>
      </c>
    </row>
    <row r="57" spans="1:17" x14ac:dyDescent="0.25">
      <c r="A57" s="11" t="s">
        <v>1349</v>
      </c>
      <c r="B57" s="13" t="s">
        <v>609</v>
      </c>
      <c r="C57" s="10" t="s">
        <v>1376</v>
      </c>
      <c r="D57" s="13" t="s">
        <v>39</v>
      </c>
      <c r="E57" s="14" t="s">
        <v>1377</v>
      </c>
      <c r="F57" s="14" t="s">
        <v>11</v>
      </c>
      <c r="G57" s="13"/>
      <c r="H57" s="14">
        <f t="shared" si="1"/>
        <v>1</v>
      </c>
      <c r="I57" s="14">
        <v>1</v>
      </c>
      <c r="J57" s="14">
        <v>1</v>
      </c>
      <c r="K57" s="13" t="s">
        <v>614</v>
      </c>
      <c r="L57" s="15" t="s">
        <v>111</v>
      </c>
      <c r="M57" s="15">
        <v>8222</v>
      </c>
      <c r="N57" s="15">
        <v>398</v>
      </c>
      <c r="O57" s="15">
        <v>482220</v>
      </c>
      <c r="P57" s="15">
        <v>203980</v>
      </c>
      <c r="Q57" s="15"/>
    </row>
    <row r="58" spans="1:17" x14ac:dyDescent="0.25">
      <c r="A58" s="11" t="s">
        <v>1349</v>
      </c>
      <c r="B58" s="13" t="s">
        <v>609</v>
      </c>
      <c r="C58" s="10" t="s">
        <v>1577</v>
      </c>
      <c r="D58" s="13" t="s">
        <v>39</v>
      </c>
      <c r="E58" s="14" t="s">
        <v>1578</v>
      </c>
      <c r="F58" s="14" t="s">
        <v>11</v>
      </c>
      <c r="G58" s="13">
        <v>1</v>
      </c>
      <c r="H58" s="14">
        <f t="shared" si="1"/>
        <v>1</v>
      </c>
      <c r="J58" s="14">
        <v>1</v>
      </c>
      <c r="K58" s="13" t="s">
        <v>1579</v>
      </c>
      <c r="L58" s="15" t="s">
        <v>177</v>
      </c>
      <c r="M58" s="15">
        <v>7337</v>
      </c>
      <c r="N58" s="15">
        <v>8314</v>
      </c>
      <c r="O58" s="15">
        <v>573370</v>
      </c>
      <c r="P58" s="15">
        <v>283140</v>
      </c>
      <c r="Q58" s="15"/>
    </row>
    <row r="59" spans="1:17" x14ac:dyDescent="0.25">
      <c r="A59" s="11" t="s">
        <v>1349</v>
      </c>
      <c r="B59" s="13" t="s">
        <v>609</v>
      </c>
      <c r="C59" s="10" t="s">
        <v>1737</v>
      </c>
      <c r="D59" s="13" t="s">
        <v>1739</v>
      </c>
      <c r="E59" s="14" t="s">
        <v>609</v>
      </c>
      <c r="F59" s="14" t="s">
        <v>11</v>
      </c>
      <c r="G59" s="13"/>
      <c r="H59" s="14">
        <f t="shared" si="1"/>
        <v>2</v>
      </c>
      <c r="I59" s="14">
        <v>2</v>
      </c>
      <c r="J59" s="14">
        <v>2</v>
      </c>
      <c r="K59" s="13" t="s">
        <v>1738</v>
      </c>
      <c r="L59" s="15" t="s">
        <v>140</v>
      </c>
      <c r="M59" s="15">
        <v>11</v>
      </c>
      <c r="N59" s="15">
        <v>745</v>
      </c>
      <c r="O59" s="15">
        <v>601100</v>
      </c>
      <c r="P59" s="15">
        <v>274500</v>
      </c>
      <c r="Q59" s="15"/>
    </row>
    <row r="60" spans="1:17" x14ac:dyDescent="0.25">
      <c r="A60" s="11" t="s">
        <v>1349</v>
      </c>
      <c r="B60" s="13" t="s">
        <v>93</v>
      </c>
      <c r="C60" s="10" t="s">
        <v>1372</v>
      </c>
      <c r="D60" s="13" t="s">
        <v>158</v>
      </c>
      <c r="E60" s="14" t="s">
        <v>112</v>
      </c>
      <c r="F60" s="14" t="s">
        <v>11</v>
      </c>
      <c r="G60" s="13"/>
      <c r="H60" s="14">
        <f t="shared" si="1"/>
        <v>3</v>
      </c>
      <c r="I60" s="14">
        <v>3</v>
      </c>
      <c r="J60" s="14">
        <v>3</v>
      </c>
      <c r="K60" s="13" t="s">
        <v>1465</v>
      </c>
      <c r="L60" s="15" t="s">
        <v>108</v>
      </c>
      <c r="M60" s="15">
        <v>94</v>
      </c>
      <c r="N60" s="15">
        <v>89</v>
      </c>
      <c r="O60" s="15">
        <v>509400</v>
      </c>
      <c r="P60" s="15">
        <v>108900</v>
      </c>
      <c r="Q60" s="15"/>
    </row>
    <row r="61" spans="1:17" x14ac:dyDescent="0.25">
      <c r="A61" s="11" t="s">
        <v>1349</v>
      </c>
      <c r="B61" s="13" t="s">
        <v>93</v>
      </c>
      <c r="C61" s="10" t="s">
        <v>159</v>
      </c>
      <c r="D61" s="13" t="s">
        <v>158</v>
      </c>
      <c r="E61" s="14" t="s">
        <v>112</v>
      </c>
      <c r="F61" s="14" t="s">
        <v>11</v>
      </c>
      <c r="G61" s="13"/>
      <c r="H61" s="14">
        <f t="shared" si="1"/>
        <v>3</v>
      </c>
      <c r="I61" s="14">
        <v>3</v>
      </c>
      <c r="J61" s="14">
        <v>3</v>
      </c>
      <c r="K61" s="13" t="s">
        <v>1465</v>
      </c>
      <c r="L61" s="15" t="s">
        <v>108</v>
      </c>
      <c r="M61" s="15">
        <v>1142</v>
      </c>
      <c r="N61" s="15">
        <v>828</v>
      </c>
      <c r="O61" s="15">
        <v>511420</v>
      </c>
      <c r="P61" s="15">
        <v>108280</v>
      </c>
      <c r="Q61" s="15"/>
    </row>
    <row r="62" spans="1:17" ht="33.75" x14ac:dyDescent="0.25">
      <c r="A62" s="11" t="s">
        <v>1349</v>
      </c>
      <c r="B62" s="13" t="s">
        <v>93</v>
      </c>
      <c r="C62" s="10" t="s">
        <v>202</v>
      </c>
      <c r="D62" s="13" t="s">
        <v>92</v>
      </c>
      <c r="E62" s="13" t="s">
        <v>205</v>
      </c>
      <c r="F62" s="14" t="s">
        <v>11</v>
      </c>
      <c r="G62" s="13">
        <v>1</v>
      </c>
      <c r="H62" s="14">
        <f t="shared" si="1"/>
        <v>2</v>
      </c>
      <c r="I62" s="14">
        <v>1</v>
      </c>
      <c r="J62" s="14">
        <v>1</v>
      </c>
      <c r="K62" s="13" t="s">
        <v>842</v>
      </c>
      <c r="L62" s="15" t="s">
        <v>108</v>
      </c>
      <c r="M62" s="15">
        <v>3303</v>
      </c>
      <c r="N62" s="15">
        <v>477</v>
      </c>
      <c r="O62" s="15">
        <v>533030</v>
      </c>
      <c r="P62" s="15">
        <v>104770</v>
      </c>
      <c r="Q62" s="15"/>
    </row>
    <row r="63" spans="1:17" x14ac:dyDescent="0.25">
      <c r="A63" s="11" t="s">
        <v>1349</v>
      </c>
      <c r="B63" s="13" t="s">
        <v>1731</v>
      </c>
      <c r="C63" s="10" t="s">
        <v>1732</v>
      </c>
      <c r="D63" s="13" t="s">
        <v>90</v>
      </c>
      <c r="E63" s="13" t="s">
        <v>1733</v>
      </c>
      <c r="F63" s="14" t="s">
        <v>11</v>
      </c>
      <c r="G63" s="13"/>
      <c r="H63" s="14">
        <f t="shared" si="1"/>
        <v>2</v>
      </c>
      <c r="I63" s="14">
        <v>2</v>
      </c>
      <c r="J63" s="14">
        <v>2</v>
      </c>
      <c r="K63" s="13" t="s">
        <v>1729</v>
      </c>
      <c r="L63" s="15" t="s">
        <v>218</v>
      </c>
      <c r="M63" s="15">
        <v>257</v>
      </c>
      <c r="N63" s="15">
        <v>658</v>
      </c>
      <c r="O63" s="15">
        <v>425700</v>
      </c>
      <c r="P63" s="15">
        <v>565800</v>
      </c>
      <c r="Q63" s="15"/>
    </row>
    <row r="64" spans="1:17" ht="22.5" x14ac:dyDescent="0.25">
      <c r="A64" s="11" t="s">
        <v>1349</v>
      </c>
      <c r="B64" s="13" t="s">
        <v>50</v>
      </c>
      <c r="C64" s="10" t="s">
        <v>390</v>
      </c>
      <c r="D64" s="13" t="s">
        <v>1442</v>
      </c>
      <c r="E64" s="13" t="s">
        <v>391</v>
      </c>
      <c r="F64" s="14" t="s">
        <v>11</v>
      </c>
      <c r="G64" s="13">
        <v>2</v>
      </c>
      <c r="H64" s="14">
        <f t="shared" si="1"/>
        <v>6</v>
      </c>
      <c r="I64" s="14">
        <v>4</v>
      </c>
      <c r="J64" s="14">
        <v>4</v>
      </c>
      <c r="K64" s="13" t="s">
        <v>1486</v>
      </c>
      <c r="L64" s="15" t="s">
        <v>111</v>
      </c>
      <c r="M64" s="15">
        <v>28313</v>
      </c>
      <c r="N64" s="15">
        <v>62000</v>
      </c>
      <c r="O64" s="15">
        <v>428313</v>
      </c>
      <c r="P64" s="15">
        <v>262000</v>
      </c>
      <c r="Q64" s="15"/>
    </row>
    <row r="65" spans="1:17" ht="22.5" x14ac:dyDescent="0.25">
      <c r="A65" s="11" t="s">
        <v>1349</v>
      </c>
      <c r="B65" s="13" t="s">
        <v>24</v>
      </c>
      <c r="C65" s="10" t="s">
        <v>1648</v>
      </c>
      <c r="D65" s="13" t="s">
        <v>540</v>
      </c>
      <c r="E65" s="13" t="s">
        <v>21</v>
      </c>
      <c r="F65" s="14" t="s">
        <v>11</v>
      </c>
      <c r="G65" s="13">
        <v>7</v>
      </c>
      <c r="H65" s="14">
        <f t="shared" si="1"/>
        <v>7</v>
      </c>
      <c r="J65" s="14">
        <v>4</v>
      </c>
      <c r="K65" s="13" t="s">
        <v>1687</v>
      </c>
      <c r="L65" s="15" t="s">
        <v>110</v>
      </c>
      <c r="M65" s="15">
        <v>247</v>
      </c>
      <c r="N65" s="15">
        <v>770</v>
      </c>
      <c r="O65" s="15">
        <v>424700</v>
      </c>
      <c r="P65" s="15">
        <v>177000</v>
      </c>
      <c r="Q65" s="15"/>
    </row>
    <row r="66" spans="1:17" x14ac:dyDescent="0.25">
      <c r="A66" s="11" t="s">
        <v>1349</v>
      </c>
      <c r="B66" s="13" t="s">
        <v>24</v>
      </c>
      <c r="C66" s="10" t="s">
        <v>589</v>
      </c>
      <c r="D66" s="13" t="s">
        <v>90</v>
      </c>
      <c r="E66" s="14" t="s">
        <v>1196</v>
      </c>
      <c r="F66" s="14" t="s">
        <v>11</v>
      </c>
      <c r="G66" s="13"/>
      <c r="H66" s="14">
        <f t="shared" si="1"/>
        <v>1</v>
      </c>
      <c r="I66" s="14">
        <v>1</v>
      </c>
      <c r="J66" s="14">
        <v>1</v>
      </c>
      <c r="K66" s="13" t="s">
        <v>1609</v>
      </c>
      <c r="L66" s="15" t="s">
        <v>110</v>
      </c>
      <c r="M66" s="15">
        <v>175</v>
      </c>
      <c r="N66" s="15">
        <v>423</v>
      </c>
      <c r="O66" s="15">
        <v>417500</v>
      </c>
      <c r="P66" s="15">
        <v>142300</v>
      </c>
      <c r="Q66" s="15"/>
    </row>
    <row r="67" spans="1:17" ht="22.5" x14ac:dyDescent="0.25">
      <c r="A67" s="11" t="s">
        <v>1349</v>
      </c>
      <c r="B67" s="13" t="s">
        <v>24</v>
      </c>
      <c r="C67" s="10" t="s">
        <v>23</v>
      </c>
      <c r="D67" s="13" t="s">
        <v>124</v>
      </c>
      <c r="E67" s="14" t="s">
        <v>21</v>
      </c>
      <c r="F67" s="14" t="s">
        <v>11</v>
      </c>
      <c r="G67" s="13">
        <v>4</v>
      </c>
      <c r="H67" s="14">
        <f t="shared" si="1"/>
        <v>4</v>
      </c>
      <c r="J67" s="14">
        <v>4</v>
      </c>
      <c r="K67" s="13" t="s">
        <v>1361</v>
      </c>
      <c r="L67" s="15" t="s">
        <v>110</v>
      </c>
      <c r="M67" s="15">
        <v>1026</v>
      </c>
      <c r="N67" s="15">
        <v>6996</v>
      </c>
      <c r="O67" s="15">
        <v>410260</v>
      </c>
      <c r="P67" s="15">
        <v>169960</v>
      </c>
      <c r="Q67" s="15"/>
    </row>
    <row r="68" spans="1:17" x14ac:dyDescent="0.25">
      <c r="A68" s="11" t="s">
        <v>1349</v>
      </c>
      <c r="B68" s="13" t="s">
        <v>24</v>
      </c>
      <c r="C68" s="10" t="s">
        <v>146</v>
      </c>
      <c r="D68" s="13" t="s">
        <v>26</v>
      </c>
      <c r="E68" s="14" t="s">
        <v>21</v>
      </c>
      <c r="F68" s="14" t="s">
        <v>11</v>
      </c>
      <c r="G68" s="13"/>
      <c r="H68" s="14">
        <f t="shared" ref="H68:H109" si="2">G68+I68</f>
        <v>2</v>
      </c>
      <c r="I68" s="14">
        <v>2</v>
      </c>
      <c r="J68" s="14">
        <v>2</v>
      </c>
      <c r="K68" s="13" t="s">
        <v>1469</v>
      </c>
      <c r="L68" s="15" t="s">
        <v>110</v>
      </c>
      <c r="M68" s="15">
        <v>66</v>
      </c>
      <c r="N68" s="15">
        <v>677</v>
      </c>
      <c r="O68" s="15">
        <v>406600</v>
      </c>
      <c r="P68" s="15">
        <v>167700</v>
      </c>
      <c r="Q68" s="15"/>
    </row>
    <row r="69" spans="1:17" x14ac:dyDescent="0.25">
      <c r="A69" s="11" t="s">
        <v>1349</v>
      </c>
      <c r="B69" s="13" t="s">
        <v>24</v>
      </c>
      <c r="C69" s="10" t="s">
        <v>1340</v>
      </c>
      <c r="D69" s="13" t="s">
        <v>1198</v>
      </c>
      <c r="E69" s="14" t="s">
        <v>21</v>
      </c>
      <c r="F69" s="14" t="s">
        <v>11</v>
      </c>
      <c r="G69" s="13">
        <v>8</v>
      </c>
      <c r="H69" s="14">
        <f t="shared" si="2"/>
        <v>8</v>
      </c>
      <c r="J69" s="14">
        <v>4</v>
      </c>
      <c r="K69" s="13" t="s">
        <v>1681</v>
      </c>
      <c r="L69" s="15" t="s">
        <v>110</v>
      </c>
      <c r="M69" s="15">
        <v>7995</v>
      </c>
      <c r="N69" s="15">
        <v>8199</v>
      </c>
      <c r="O69" s="15">
        <v>379950</v>
      </c>
      <c r="P69" s="15">
        <v>81990</v>
      </c>
      <c r="Q69" s="15"/>
    </row>
    <row r="70" spans="1:17" x14ac:dyDescent="0.25">
      <c r="A70" s="11" t="s">
        <v>1349</v>
      </c>
      <c r="B70" s="13" t="s">
        <v>24</v>
      </c>
      <c r="C70" s="10" t="s">
        <v>615</v>
      </c>
      <c r="D70" s="13" t="s">
        <v>1721</v>
      </c>
      <c r="E70" s="14" t="s">
        <v>21</v>
      </c>
      <c r="F70" s="14" t="s">
        <v>11</v>
      </c>
      <c r="G70" s="13"/>
      <c r="H70" s="14">
        <f t="shared" si="2"/>
        <v>2</v>
      </c>
      <c r="I70" s="14">
        <v>2</v>
      </c>
      <c r="J70" s="14">
        <v>2</v>
      </c>
      <c r="K70" s="13" t="s">
        <v>1722</v>
      </c>
      <c r="L70" s="15" t="s">
        <v>119</v>
      </c>
      <c r="M70" s="15">
        <v>919</v>
      </c>
      <c r="N70" s="15">
        <v>733</v>
      </c>
      <c r="O70" s="15">
        <v>391900</v>
      </c>
      <c r="P70" s="15">
        <v>173300</v>
      </c>
      <c r="Q70" s="15"/>
    </row>
    <row r="71" spans="1:17" ht="22.5" x14ac:dyDescent="0.25">
      <c r="A71" s="11" t="s">
        <v>1349</v>
      </c>
      <c r="B71" s="13" t="s">
        <v>24</v>
      </c>
      <c r="C71" s="10" t="s">
        <v>15</v>
      </c>
      <c r="D71" s="13" t="s">
        <v>18</v>
      </c>
      <c r="E71" s="14" t="s">
        <v>21</v>
      </c>
      <c r="F71" s="14" t="s">
        <v>11</v>
      </c>
      <c r="G71" s="13">
        <v>5</v>
      </c>
      <c r="H71" s="14">
        <f t="shared" si="2"/>
        <v>13</v>
      </c>
      <c r="I71" s="14">
        <v>8</v>
      </c>
      <c r="J71" s="14">
        <v>11</v>
      </c>
      <c r="K71" s="13" t="s">
        <v>1736</v>
      </c>
      <c r="L71" s="15" t="s">
        <v>110</v>
      </c>
      <c r="M71" s="15">
        <v>1501</v>
      </c>
      <c r="N71" s="15">
        <v>4375</v>
      </c>
      <c r="O71" s="15">
        <v>415010</v>
      </c>
      <c r="P71" s="15">
        <v>143750</v>
      </c>
      <c r="Q71" s="15"/>
    </row>
    <row r="72" spans="1:17" x14ac:dyDescent="0.25">
      <c r="A72" s="11" t="s">
        <v>1349</v>
      </c>
      <c r="B72" s="13" t="s">
        <v>24</v>
      </c>
      <c r="C72" s="10" t="s">
        <v>1752</v>
      </c>
      <c r="D72" s="13" t="s">
        <v>90</v>
      </c>
      <c r="E72" s="14" t="s">
        <v>589</v>
      </c>
      <c r="F72" s="14" t="s">
        <v>11</v>
      </c>
      <c r="G72" s="13"/>
      <c r="H72" s="14">
        <f t="shared" si="2"/>
        <v>3</v>
      </c>
      <c r="I72" s="14">
        <v>3</v>
      </c>
      <c r="J72" s="14">
        <v>2</v>
      </c>
      <c r="K72" s="13" t="s">
        <v>1738</v>
      </c>
      <c r="L72" s="15" t="s">
        <v>110</v>
      </c>
      <c r="M72" s="15">
        <v>156</v>
      </c>
      <c r="N72" s="15">
        <v>411</v>
      </c>
      <c r="O72" s="15">
        <v>415600</v>
      </c>
      <c r="P72" s="15">
        <v>141100</v>
      </c>
      <c r="Q72" s="15"/>
    </row>
    <row r="73" spans="1:17" x14ac:dyDescent="0.25">
      <c r="A73" s="11" t="s">
        <v>1349</v>
      </c>
      <c r="B73" s="13" t="s">
        <v>24</v>
      </c>
      <c r="C73" s="10" t="s">
        <v>997</v>
      </c>
      <c r="D73" s="13" t="s">
        <v>26</v>
      </c>
      <c r="E73" s="14" t="s">
        <v>21</v>
      </c>
      <c r="F73" s="14" t="s">
        <v>11</v>
      </c>
      <c r="G73" s="13">
        <v>1</v>
      </c>
      <c r="H73" s="14">
        <f t="shared" si="2"/>
        <v>4</v>
      </c>
      <c r="I73" s="14">
        <v>3</v>
      </c>
      <c r="J73" s="14">
        <v>4</v>
      </c>
      <c r="K73" s="13" t="s">
        <v>1470</v>
      </c>
      <c r="L73" s="15" t="s">
        <v>110</v>
      </c>
      <c r="M73" s="15">
        <v>1918</v>
      </c>
      <c r="N73" s="15">
        <v>3247</v>
      </c>
      <c r="O73" s="15">
        <v>419180</v>
      </c>
      <c r="P73" s="15">
        <v>132470</v>
      </c>
      <c r="Q73" s="15"/>
    </row>
    <row r="74" spans="1:17" x14ac:dyDescent="0.25">
      <c r="A74" s="11" t="s">
        <v>1349</v>
      </c>
      <c r="B74" s="13" t="s">
        <v>24</v>
      </c>
      <c r="C74" s="10" t="s">
        <v>268</v>
      </c>
      <c r="D74" s="13" t="s">
        <v>26</v>
      </c>
      <c r="E74" s="14" t="s">
        <v>21</v>
      </c>
      <c r="F74" s="14" t="s">
        <v>11</v>
      </c>
      <c r="G74" s="13"/>
      <c r="H74" s="14">
        <f t="shared" si="2"/>
        <v>3</v>
      </c>
      <c r="I74" s="14">
        <v>3</v>
      </c>
      <c r="J74" s="14">
        <v>3</v>
      </c>
      <c r="K74" s="13" t="s">
        <v>1471</v>
      </c>
      <c r="L74" s="15" t="s">
        <v>110</v>
      </c>
      <c r="M74" s="15">
        <v>86</v>
      </c>
      <c r="N74" s="15">
        <v>705</v>
      </c>
      <c r="O74" s="15">
        <v>408600</v>
      </c>
      <c r="P74" s="15">
        <v>170500</v>
      </c>
      <c r="Q74" s="15"/>
    </row>
    <row r="75" spans="1:17" ht="22.5" x14ac:dyDescent="0.25">
      <c r="A75" s="11" t="s">
        <v>1349</v>
      </c>
      <c r="B75" s="13" t="s">
        <v>24</v>
      </c>
      <c r="C75" s="10" t="s">
        <v>88</v>
      </c>
      <c r="D75" s="13" t="s">
        <v>19</v>
      </c>
      <c r="E75" s="14" t="s">
        <v>21</v>
      </c>
      <c r="F75" s="14" t="s">
        <v>11</v>
      </c>
      <c r="G75" s="13"/>
      <c r="H75" s="14">
        <f t="shared" si="2"/>
        <v>3</v>
      </c>
      <c r="I75" s="14">
        <v>3</v>
      </c>
      <c r="J75" s="14">
        <v>3</v>
      </c>
      <c r="K75" s="13" t="s">
        <v>1726</v>
      </c>
      <c r="L75" s="15" t="s">
        <v>110</v>
      </c>
      <c r="M75" s="15">
        <v>1210</v>
      </c>
      <c r="N75" s="15">
        <v>6365</v>
      </c>
      <c r="O75" s="15">
        <v>412100</v>
      </c>
      <c r="P75" s="15">
        <v>163650</v>
      </c>
      <c r="Q75" s="15"/>
    </row>
    <row r="76" spans="1:17" x14ac:dyDescent="0.25">
      <c r="A76" s="11" t="s">
        <v>1349</v>
      </c>
      <c r="B76" s="13" t="s">
        <v>24</v>
      </c>
      <c r="C76" s="10" t="s">
        <v>403</v>
      </c>
      <c r="D76" s="13" t="s">
        <v>18</v>
      </c>
      <c r="E76" s="14" t="s">
        <v>21</v>
      </c>
      <c r="F76" s="14" t="s">
        <v>11</v>
      </c>
      <c r="G76" s="13">
        <v>1</v>
      </c>
      <c r="H76" s="14">
        <f t="shared" si="2"/>
        <v>3</v>
      </c>
      <c r="I76" s="14">
        <v>2</v>
      </c>
      <c r="J76" s="14">
        <v>3</v>
      </c>
      <c r="K76" s="13" t="s">
        <v>1488</v>
      </c>
      <c r="L76" s="15" t="s">
        <v>110</v>
      </c>
      <c r="M76" s="15">
        <v>908</v>
      </c>
      <c r="N76" s="15">
        <v>5820</v>
      </c>
      <c r="O76" s="15">
        <v>409080</v>
      </c>
      <c r="P76" s="15">
        <v>158200</v>
      </c>
      <c r="Q76" s="15"/>
    </row>
    <row r="77" spans="1:17" ht="22.5" x14ac:dyDescent="0.25">
      <c r="A77" s="11" t="s">
        <v>1349</v>
      </c>
      <c r="B77" s="13" t="s">
        <v>24</v>
      </c>
      <c r="C77" s="10" t="s">
        <v>988</v>
      </c>
      <c r="D77" s="13" t="s">
        <v>540</v>
      </c>
      <c r="E77" s="14" t="s">
        <v>21</v>
      </c>
      <c r="F77" s="14" t="s">
        <v>11</v>
      </c>
      <c r="G77" s="13">
        <v>1</v>
      </c>
      <c r="H77" s="14">
        <f t="shared" si="2"/>
        <v>3</v>
      </c>
      <c r="I77" s="14">
        <v>2</v>
      </c>
      <c r="J77" s="14">
        <v>3</v>
      </c>
      <c r="K77" s="13" t="s">
        <v>1468</v>
      </c>
      <c r="L77" s="15" t="s">
        <v>110</v>
      </c>
      <c r="M77" s="15">
        <v>116</v>
      </c>
      <c r="N77" s="15">
        <v>413</v>
      </c>
      <c r="O77" s="15">
        <v>411600</v>
      </c>
      <c r="P77" s="15">
        <v>141300</v>
      </c>
      <c r="Q77" s="15"/>
    </row>
    <row r="78" spans="1:17" ht="22.5" x14ac:dyDescent="0.25">
      <c r="A78" s="11" t="s">
        <v>1349</v>
      </c>
      <c r="B78" s="13" t="s">
        <v>24</v>
      </c>
      <c r="C78" s="10" t="s">
        <v>27</v>
      </c>
      <c r="D78" s="13" t="s">
        <v>125</v>
      </c>
      <c r="E78" s="14" t="s">
        <v>21</v>
      </c>
      <c r="F78" s="14" t="s">
        <v>11</v>
      </c>
      <c r="G78" s="13"/>
      <c r="H78" s="14">
        <f t="shared" si="2"/>
        <v>2</v>
      </c>
      <c r="I78" s="14">
        <v>2</v>
      </c>
      <c r="J78" s="14">
        <v>2</v>
      </c>
      <c r="K78" s="13" t="s">
        <v>1481</v>
      </c>
      <c r="L78" s="15" t="s">
        <v>110</v>
      </c>
      <c r="M78" s="15">
        <v>1001</v>
      </c>
      <c r="N78" s="15">
        <v>6853</v>
      </c>
      <c r="O78" s="15">
        <v>410010</v>
      </c>
      <c r="P78" s="15">
        <v>168530</v>
      </c>
      <c r="Q78" s="15"/>
    </row>
    <row r="79" spans="1:17" ht="22.5" x14ac:dyDescent="0.25">
      <c r="A79" s="11" t="s">
        <v>1349</v>
      </c>
      <c r="B79" s="13" t="s">
        <v>24</v>
      </c>
      <c r="C79" s="10" t="s">
        <v>612</v>
      </c>
      <c r="D79" s="13" t="s">
        <v>540</v>
      </c>
      <c r="E79" s="14" t="s">
        <v>21</v>
      </c>
      <c r="F79" s="14" t="s">
        <v>11</v>
      </c>
      <c r="G79" s="13"/>
      <c r="H79" s="14">
        <f t="shared" si="2"/>
        <v>2</v>
      </c>
      <c r="I79" s="14">
        <v>2</v>
      </c>
      <c r="J79" s="14">
        <v>2</v>
      </c>
      <c r="K79" s="13" t="s">
        <v>1745</v>
      </c>
      <c r="L79" s="15" t="s">
        <v>110</v>
      </c>
      <c r="M79" s="15">
        <v>217</v>
      </c>
      <c r="N79" s="15">
        <v>520</v>
      </c>
      <c r="O79" s="15">
        <v>421700</v>
      </c>
      <c r="P79" s="15">
        <v>152000</v>
      </c>
      <c r="Q79" s="15"/>
    </row>
    <row r="80" spans="1:17" x14ac:dyDescent="0.25">
      <c r="A80" s="11" t="s">
        <v>1349</v>
      </c>
      <c r="B80" s="13" t="s">
        <v>24</v>
      </c>
      <c r="C80" s="10" t="s">
        <v>60</v>
      </c>
      <c r="D80" s="13" t="s">
        <v>26</v>
      </c>
      <c r="E80" s="14" t="s">
        <v>21</v>
      </c>
      <c r="F80" s="14" t="s">
        <v>11</v>
      </c>
      <c r="G80" s="13"/>
      <c r="H80" s="14">
        <f t="shared" si="2"/>
        <v>3</v>
      </c>
      <c r="I80" s="14">
        <v>3</v>
      </c>
      <c r="J80" s="14">
        <v>3</v>
      </c>
      <c r="K80" s="13" t="s">
        <v>1474</v>
      </c>
      <c r="L80" s="15" t="s">
        <v>110</v>
      </c>
      <c r="M80" s="15">
        <v>900</v>
      </c>
      <c r="N80" s="15">
        <v>6927</v>
      </c>
      <c r="O80" s="15">
        <v>409000</v>
      </c>
      <c r="P80" s="15">
        <v>169270</v>
      </c>
      <c r="Q80" s="15"/>
    </row>
    <row r="81" spans="1:17" ht="22.5" x14ac:dyDescent="0.25">
      <c r="A81" s="11" t="s">
        <v>1349</v>
      </c>
      <c r="B81" s="13" t="s">
        <v>24</v>
      </c>
      <c r="C81" s="10" t="s">
        <v>13</v>
      </c>
      <c r="D81" s="13" t="s">
        <v>511</v>
      </c>
      <c r="E81" s="14" t="s">
        <v>21</v>
      </c>
      <c r="F81" s="14" t="s">
        <v>11</v>
      </c>
      <c r="G81" s="13">
        <v>6</v>
      </c>
      <c r="H81" s="14">
        <f t="shared" si="2"/>
        <v>11</v>
      </c>
      <c r="I81" s="14">
        <v>5</v>
      </c>
      <c r="J81" s="14">
        <v>10</v>
      </c>
      <c r="K81" s="13" t="s">
        <v>1754</v>
      </c>
      <c r="L81" s="15" t="s">
        <v>110</v>
      </c>
      <c r="M81" s="15">
        <v>1224</v>
      </c>
      <c r="N81" s="15">
        <v>4128</v>
      </c>
      <c r="O81" s="15">
        <v>412240</v>
      </c>
      <c r="P81" s="15">
        <v>141280</v>
      </c>
      <c r="Q81" s="15"/>
    </row>
    <row r="82" spans="1:17" ht="22.5" x14ac:dyDescent="0.25">
      <c r="A82" s="11" t="s">
        <v>1349</v>
      </c>
      <c r="B82" s="13" t="s">
        <v>24</v>
      </c>
      <c r="C82" s="10" t="s">
        <v>549</v>
      </c>
      <c r="D82" s="13" t="s">
        <v>540</v>
      </c>
      <c r="E82" s="14" t="s">
        <v>21</v>
      </c>
      <c r="F82" s="14" t="s">
        <v>11</v>
      </c>
      <c r="G82" s="13">
        <v>1</v>
      </c>
      <c r="H82" s="14">
        <f t="shared" si="2"/>
        <v>2</v>
      </c>
      <c r="I82" s="14">
        <v>1</v>
      </c>
      <c r="J82" s="14">
        <v>2</v>
      </c>
      <c r="K82" s="13" t="s">
        <v>1772</v>
      </c>
      <c r="L82" s="15" t="s">
        <v>110</v>
      </c>
      <c r="M82" s="15">
        <v>1192</v>
      </c>
      <c r="N82" s="15">
        <v>3979</v>
      </c>
      <c r="O82" s="15">
        <v>411920</v>
      </c>
      <c r="P82" s="15">
        <v>139790</v>
      </c>
      <c r="Q82" s="15"/>
    </row>
    <row r="83" spans="1:17" ht="22.5" x14ac:dyDescent="0.25">
      <c r="A83" s="11" t="s">
        <v>1349</v>
      </c>
      <c r="B83" s="13" t="s">
        <v>24</v>
      </c>
      <c r="C83" s="10" t="s">
        <v>28</v>
      </c>
      <c r="D83" s="13" t="s">
        <v>19</v>
      </c>
      <c r="E83" s="14" t="s">
        <v>21</v>
      </c>
      <c r="F83" s="14" t="s">
        <v>11</v>
      </c>
      <c r="G83" s="13">
        <v>11</v>
      </c>
      <c r="H83" s="14">
        <f t="shared" si="2"/>
        <v>19</v>
      </c>
      <c r="I83" s="14">
        <v>8</v>
      </c>
      <c r="J83" s="14">
        <v>16</v>
      </c>
      <c r="K83" s="13" t="s">
        <v>1740</v>
      </c>
      <c r="L83" s="15" t="s">
        <v>110</v>
      </c>
      <c r="M83" s="15">
        <v>86</v>
      </c>
      <c r="N83" s="15">
        <v>714</v>
      </c>
      <c r="O83" s="15">
        <v>408600</v>
      </c>
      <c r="P83" s="15">
        <v>171400</v>
      </c>
      <c r="Q83" s="15"/>
    </row>
    <row r="84" spans="1:17" ht="22.5" x14ac:dyDescent="0.25">
      <c r="A84" s="11" t="s">
        <v>1349</v>
      </c>
      <c r="B84" s="13" t="s">
        <v>139</v>
      </c>
      <c r="C84" s="10" t="s">
        <v>1618</v>
      </c>
      <c r="D84" s="13" t="s">
        <v>540</v>
      </c>
      <c r="E84" s="14" t="s">
        <v>272</v>
      </c>
      <c r="F84" s="14" t="s">
        <v>11</v>
      </c>
      <c r="G84" s="13"/>
      <c r="H84" s="14">
        <f t="shared" si="2"/>
        <v>2</v>
      </c>
      <c r="I84" s="14">
        <v>2</v>
      </c>
      <c r="J84" s="14">
        <v>2</v>
      </c>
      <c r="K84" s="13" t="s">
        <v>1626</v>
      </c>
      <c r="L84" s="15" t="s">
        <v>271</v>
      </c>
      <c r="M84" s="15">
        <v>9790</v>
      </c>
      <c r="N84" s="15">
        <v>5755</v>
      </c>
      <c r="O84" s="15">
        <v>497900</v>
      </c>
      <c r="P84" s="15">
        <v>457550</v>
      </c>
      <c r="Q84" s="15"/>
    </row>
    <row r="85" spans="1:17" ht="22.5" x14ac:dyDescent="0.25">
      <c r="A85" s="11" t="s">
        <v>1349</v>
      </c>
      <c r="B85" s="13" t="s">
        <v>139</v>
      </c>
      <c r="C85" s="10" t="s">
        <v>1708</v>
      </c>
      <c r="D85" s="13" t="s">
        <v>496</v>
      </c>
      <c r="E85" s="14" t="s">
        <v>272</v>
      </c>
      <c r="F85" s="14" t="s">
        <v>11</v>
      </c>
      <c r="G85" s="13">
        <v>1</v>
      </c>
      <c r="H85" s="14">
        <f t="shared" si="2"/>
        <v>1</v>
      </c>
      <c r="J85" s="14">
        <v>1</v>
      </c>
      <c r="K85" s="13" t="s">
        <v>1706</v>
      </c>
      <c r="L85" s="15" t="s">
        <v>271</v>
      </c>
      <c r="M85" s="15">
        <v>814</v>
      </c>
      <c r="N85" s="15">
        <v>532</v>
      </c>
      <c r="O85" s="15">
        <v>481400</v>
      </c>
      <c r="P85" s="15">
        <v>453200</v>
      </c>
      <c r="Q85" s="15"/>
    </row>
    <row r="86" spans="1:17" x14ac:dyDescent="0.25">
      <c r="A86" s="11" t="s">
        <v>1349</v>
      </c>
      <c r="B86" s="13" t="s">
        <v>139</v>
      </c>
      <c r="C86" s="10" t="s">
        <v>1619</v>
      </c>
      <c r="D86" s="13" t="s">
        <v>90</v>
      </c>
      <c r="E86" s="14" t="s">
        <v>272</v>
      </c>
      <c r="F86" s="14" t="s">
        <v>11</v>
      </c>
      <c r="G86" s="13"/>
      <c r="H86" s="14">
        <f t="shared" si="2"/>
        <v>1</v>
      </c>
      <c r="I86" s="14">
        <v>1</v>
      </c>
      <c r="J86" s="14">
        <v>1</v>
      </c>
      <c r="K86" s="13" t="s">
        <v>1609</v>
      </c>
      <c r="L86" s="15" t="s">
        <v>271</v>
      </c>
      <c r="M86" s="15">
        <v>9148</v>
      </c>
      <c r="N86" s="15">
        <v>4545</v>
      </c>
      <c r="O86" s="15">
        <v>491480</v>
      </c>
      <c r="P86" s="15">
        <v>445450</v>
      </c>
      <c r="Q86" s="15"/>
    </row>
    <row r="87" spans="1:17" x14ac:dyDescent="0.25">
      <c r="A87" s="11" t="s">
        <v>1349</v>
      </c>
      <c r="B87" s="13" t="s">
        <v>139</v>
      </c>
      <c r="C87" s="10" t="s">
        <v>135</v>
      </c>
      <c r="D87" s="13" t="s">
        <v>26</v>
      </c>
      <c r="E87" s="14" t="s">
        <v>134</v>
      </c>
      <c r="F87" s="14" t="s">
        <v>11</v>
      </c>
      <c r="G87" s="13"/>
      <c r="H87" s="14">
        <f t="shared" si="2"/>
        <v>3</v>
      </c>
      <c r="I87" s="14">
        <v>3</v>
      </c>
      <c r="J87" s="14">
        <v>3</v>
      </c>
      <c r="K87" s="13" t="s">
        <v>1472</v>
      </c>
      <c r="L87" s="15" t="s">
        <v>137</v>
      </c>
      <c r="M87" s="15">
        <v>560</v>
      </c>
      <c r="N87" s="15">
        <v>6732</v>
      </c>
      <c r="O87" s="15">
        <v>505600</v>
      </c>
      <c r="P87" s="15">
        <v>467320</v>
      </c>
      <c r="Q87" s="15"/>
    </row>
    <row r="88" spans="1:17" x14ac:dyDescent="0.25">
      <c r="A88" s="11" t="s">
        <v>1349</v>
      </c>
      <c r="B88" s="13" t="s">
        <v>139</v>
      </c>
      <c r="C88" s="10" t="s">
        <v>1371</v>
      </c>
      <c r="D88" s="13" t="s">
        <v>26</v>
      </c>
      <c r="E88" s="14" t="s">
        <v>455</v>
      </c>
      <c r="F88" s="14" t="s">
        <v>11</v>
      </c>
      <c r="G88" s="13"/>
      <c r="H88" s="14">
        <f t="shared" si="2"/>
        <v>4</v>
      </c>
      <c r="I88" s="14">
        <v>4</v>
      </c>
      <c r="J88" s="14">
        <v>4</v>
      </c>
      <c r="K88" s="13" t="s">
        <v>1473</v>
      </c>
      <c r="L88" s="15" t="s">
        <v>137</v>
      </c>
      <c r="M88" s="15">
        <v>29</v>
      </c>
      <c r="N88" s="15">
        <v>761</v>
      </c>
      <c r="O88" s="15">
        <v>502900</v>
      </c>
      <c r="P88" s="15">
        <v>476100</v>
      </c>
      <c r="Q88" s="15"/>
    </row>
    <row r="89" spans="1:17" x14ac:dyDescent="0.25">
      <c r="A89" s="11" t="s">
        <v>1349</v>
      </c>
      <c r="B89" s="13" t="s">
        <v>269</v>
      </c>
      <c r="C89" s="10" t="s">
        <v>1380</v>
      </c>
      <c r="D89" s="13" t="s">
        <v>1381</v>
      </c>
      <c r="E89" s="14" t="s">
        <v>437</v>
      </c>
      <c r="F89" s="14" t="s">
        <v>11</v>
      </c>
      <c r="G89" s="13">
        <v>10</v>
      </c>
      <c r="H89" s="14">
        <f t="shared" si="2"/>
        <v>10</v>
      </c>
      <c r="J89" s="14">
        <v>8</v>
      </c>
      <c r="K89" s="13" t="s">
        <v>1410</v>
      </c>
      <c r="L89" s="15" t="s">
        <v>271</v>
      </c>
      <c r="M89" s="15">
        <v>80122</v>
      </c>
      <c r="N89" s="15">
        <v>60846</v>
      </c>
      <c r="O89" s="15">
        <v>480122</v>
      </c>
      <c r="P89" s="15">
        <v>460846</v>
      </c>
      <c r="Q89" s="15"/>
    </row>
    <row r="90" spans="1:17" x14ac:dyDescent="0.25">
      <c r="A90" s="11" t="s">
        <v>1349</v>
      </c>
      <c r="B90" s="13" t="s">
        <v>269</v>
      </c>
      <c r="C90" s="10" t="s">
        <v>277</v>
      </c>
      <c r="D90" s="13" t="s">
        <v>26</v>
      </c>
      <c r="E90" s="14" t="s">
        <v>272</v>
      </c>
      <c r="F90" s="14" t="s">
        <v>11</v>
      </c>
      <c r="G90" s="13"/>
      <c r="H90" s="14">
        <f t="shared" si="2"/>
        <v>4</v>
      </c>
      <c r="I90" s="14">
        <v>4</v>
      </c>
      <c r="J90" s="14">
        <v>4</v>
      </c>
      <c r="K90" s="13" t="s">
        <v>1473</v>
      </c>
      <c r="L90" s="15" t="s">
        <v>137</v>
      </c>
      <c r="M90" s="15">
        <v>103</v>
      </c>
      <c r="N90" s="15">
        <v>8753</v>
      </c>
      <c r="O90" s="15">
        <v>501030</v>
      </c>
      <c r="P90" s="15">
        <v>487530</v>
      </c>
      <c r="Q90" s="15"/>
    </row>
    <row r="91" spans="1:17" x14ac:dyDescent="0.25">
      <c r="A91" s="11" t="s">
        <v>1349</v>
      </c>
      <c r="B91" s="13" t="s">
        <v>269</v>
      </c>
      <c r="C91" s="10" t="s">
        <v>1620</v>
      </c>
      <c r="D91" s="13" t="s">
        <v>90</v>
      </c>
      <c r="E91" s="14" t="s">
        <v>437</v>
      </c>
      <c r="F91" s="14" t="s">
        <v>11</v>
      </c>
      <c r="G91" s="13"/>
      <c r="H91" s="14">
        <f t="shared" si="2"/>
        <v>1</v>
      </c>
      <c r="I91" s="14">
        <v>1</v>
      </c>
      <c r="J91" s="14">
        <v>1</v>
      </c>
      <c r="K91" s="13" t="s">
        <v>1609</v>
      </c>
      <c r="L91" s="15" t="s">
        <v>271</v>
      </c>
      <c r="M91" s="15">
        <v>8363</v>
      </c>
      <c r="N91" s="15">
        <v>6345</v>
      </c>
      <c r="O91" s="15">
        <v>483630</v>
      </c>
      <c r="P91" s="15">
        <v>463450</v>
      </c>
      <c r="Q91" s="15"/>
    </row>
    <row r="92" spans="1:17" x14ac:dyDescent="0.25">
      <c r="A92" s="11" t="s">
        <v>1349</v>
      </c>
      <c r="B92" s="13" t="s">
        <v>269</v>
      </c>
      <c r="C92" s="10" t="s">
        <v>1728</v>
      </c>
      <c r="D92" s="13" t="s">
        <v>90</v>
      </c>
      <c r="E92" s="14" t="s">
        <v>416</v>
      </c>
      <c r="F92" s="14" t="s">
        <v>11</v>
      </c>
      <c r="G92" s="13"/>
      <c r="H92" s="14">
        <f t="shared" si="2"/>
        <v>2</v>
      </c>
      <c r="I92" s="14">
        <v>2</v>
      </c>
      <c r="J92" s="14">
        <v>2</v>
      </c>
      <c r="K92" s="13" t="s">
        <v>1729</v>
      </c>
      <c r="L92" s="15" t="s">
        <v>271</v>
      </c>
      <c r="M92" s="15">
        <v>612</v>
      </c>
      <c r="N92" s="15">
        <v>837</v>
      </c>
      <c r="O92" s="15">
        <v>461200</v>
      </c>
      <c r="P92" s="15">
        <v>483700</v>
      </c>
      <c r="Q92" s="15"/>
    </row>
    <row r="93" spans="1:17" x14ac:dyDescent="0.25">
      <c r="A93" s="11" t="s">
        <v>1349</v>
      </c>
      <c r="B93" s="13" t="s">
        <v>1682</v>
      </c>
      <c r="C93" s="10" t="s">
        <v>1683</v>
      </c>
      <c r="D93" s="13" t="s">
        <v>1668</v>
      </c>
      <c r="E93" s="14" t="s">
        <v>1684</v>
      </c>
      <c r="F93" s="14" t="s">
        <v>11</v>
      </c>
      <c r="G93" s="13">
        <v>4</v>
      </c>
      <c r="H93" s="14">
        <f t="shared" si="2"/>
        <v>4</v>
      </c>
      <c r="J93" s="14">
        <v>3</v>
      </c>
      <c r="K93" s="13" t="s">
        <v>1685</v>
      </c>
      <c r="L93" s="15" t="s">
        <v>697</v>
      </c>
      <c r="M93" s="15">
        <v>5465</v>
      </c>
      <c r="N93" s="15">
        <v>8710</v>
      </c>
      <c r="O93" s="15">
        <v>454650</v>
      </c>
      <c r="P93" s="15">
        <v>87100</v>
      </c>
      <c r="Q93" s="15"/>
    </row>
    <row r="94" spans="1:17" x14ac:dyDescent="0.25">
      <c r="A94" s="11" t="s">
        <v>1349</v>
      </c>
      <c r="B94" s="13" t="s">
        <v>231</v>
      </c>
      <c r="C94" s="10" t="s">
        <v>230</v>
      </c>
      <c r="D94" s="13" t="s">
        <v>26</v>
      </c>
      <c r="E94" s="14" t="s">
        <v>232</v>
      </c>
      <c r="F94" s="14" t="s">
        <v>35</v>
      </c>
      <c r="G94" s="13">
        <v>5</v>
      </c>
      <c r="H94" s="14">
        <f t="shared" si="2"/>
        <v>8</v>
      </c>
      <c r="I94" s="14">
        <v>3</v>
      </c>
      <c r="J94" s="14">
        <v>6</v>
      </c>
      <c r="K94" s="13" t="s">
        <v>1550</v>
      </c>
      <c r="L94" s="15" t="s">
        <v>130</v>
      </c>
      <c r="M94" s="15">
        <v>6276</v>
      </c>
      <c r="N94" s="15">
        <v>6737</v>
      </c>
      <c r="O94" s="15">
        <v>362760</v>
      </c>
      <c r="P94" s="15">
        <v>767370</v>
      </c>
      <c r="Q94" s="15"/>
    </row>
    <row r="95" spans="1:17" x14ac:dyDescent="0.25">
      <c r="A95" s="11" t="s">
        <v>1349</v>
      </c>
      <c r="B95" s="13" t="s">
        <v>231</v>
      </c>
      <c r="C95" s="10" t="s">
        <v>230</v>
      </c>
      <c r="D95" s="13" t="s">
        <v>39</v>
      </c>
      <c r="E95" s="14" t="s">
        <v>232</v>
      </c>
      <c r="F95" s="14" t="s">
        <v>35</v>
      </c>
      <c r="G95" s="13"/>
      <c r="H95" s="14">
        <f t="shared" si="2"/>
        <v>1</v>
      </c>
      <c r="I95" s="14">
        <v>1</v>
      </c>
      <c r="J95" s="14">
        <v>1</v>
      </c>
      <c r="K95" s="13" t="s">
        <v>1564</v>
      </c>
      <c r="L95" s="15" t="s">
        <v>130</v>
      </c>
      <c r="M95" s="15">
        <v>6276</v>
      </c>
      <c r="N95" s="15">
        <v>6737</v>
      </c>
      <c r="O95" s="15">
        <v>362760</v>
      </c>
      <c r="P95" s="15">
        <v>767370</v>
      </c>
      <c r="Q95" s="15"/>
    </row>
    <row r="96" spans="1:17" x14ac:dyDescent="0.25">
      <c r="A96" s="11" t="s">
        <v>1349</v>
      </c>
      <c r="B96" s="13" t="s">
        <v>231</v>
      </c>
      <c r="C96" s="10" t="s">
        <v>1528</v>
      </c>
      <c r="D96" s="13" t="s">
        <v>26</v>
      </c>
      <c r="E96" s="14" t="s">
        <v>86</v>
      </c>
      <c r="F96" s="14" t="s">
        <v>35</v>
      </c>
      <c r="G96" s="13">
        <v>1</v>
      </c>
      <c r="H96" s="14">
        <f t="shared" si="2"/>
        <v>1</v>
      </c>
      <c r="J96" s="14">
        <v>1</v>
      </c>
      <c r="K96" s="13" t="s">
        <v>1529</v>
      </c>
      <c r="L96" s="15" t="s">
        <v>115</v>
      </c>
      <c r="M96" s="15">
        <v>9460</v>
      </c>
      <c r="N96" s="15">
        <v>5032</v>
      </c>
      <c r="O96" s="15">
        <v>394600</v>
      </c>
      <c r="P96" s="15">
        <v>850320</v>
      </c>
      <c r="Q96" s="15"/>
    </row>
    <row r="97" spans="1:17" x14ac:dyDescent="0.25">
      <c r="A97" s="11" t="s">
        <v>1349</v>
      </c>
      <c r="B97" s="13" t="s">
        <v>231</v>
      </c>
      <c r="C97" s="10" t="s">
        <v>461</v>
      </c>
      <c r="D97" s="13" t="s">
        <v>8</v>
      </c>
      <c r="E97" s="14" t="s">
        <v>86</v>
      </c>
      <c r="F97" s="14" t="s">
        <v>35</v>
      </c>
      <c r="G97" s="13">
        <v>1</v>
      </c>
      <c r="H97" s="14">
        <f t="shared" si="2"/>
        <v>1</v>
      </c>
      <c r="J97" s="14">
        <v>1</v>
      </c>
      <c r="K97" s="13" t="s">
        <v>1593</v>
      </c>
      <c r="L97" s="15" t="s">
        <v>115</v>
      </c>
      <c r="M97" s="15">
        <v>7477</v>
      </c>
      <c r="N97" s="15">
        <v>2885</v>
      </c>
      <c r="O97" s="15">
        <v>374770</v>
      </c>
      <c r="P97" s="15">
        <v>828850</v>
      </c>
      <c r="Q97" s="15"/>
    </row>
    <row r="98" spans="1:17" x14ac:dyDescent="0.25">
      <c r="A98" s="11" t="s">
        <v>1349</v>
      </c>
      <c r="B98" s="13" t="s">
        <v>953</v>
      </c>
      <c r="C98" s="10" t="s">
        <v>1563</v>
      </c>
      <c r="D98" s="13" t="s">
        <v>39</v>
      </c>
      <c r="E98" s="14" t="s">
        <v>1017</v>
      </c>
      <c r="F98" s="14" t="s">
        <v>35</v>
      </c>
      <c r="G98" s="13"/>
      <c r="H98" s="14">
        <f>G98+I98</f>
        <v>1</v>
      </c>
      <c r="I98" s="14">
        <v>1</v>
      </c>
      <c r="J98" s="14">
        <v>1</v>
      </c>
      <c r="K98" s="13" t="s">
        <v>1564</v>
      </c>
      <c r="L98" s="15" t="s">
        <v>429</v>
      </c>
      <c r="M98" s="15">
        <v>28</v>
      </c>
      <c r="N98" s="15">
        <v>845</v>
      </c>
      <c r="O98" s="15">
        <v>202800</v>
      </c>
      <c r="P98" s="15">
        <v>684500</v>
      </c>
      <c r="Q98" s="15"/>
    </row>
    <row r="99" spans="1:17" ht="22.5" x14ac:dyDescent="0.25">
      <c r="A99" s="11" t="s">
        <v>1349</v>
      </c>
      <c r="B99" s="13" t="s">
        <v>953</v>
      </c>
      <c r="C99" s="10" t="s">
        <v>1019</v>
      </c>
      <c r="D99" s="13" t="s">
        <v>41</v>
      </c>
      <c r="E99" s="14" t="s">
        <v>1017</v>
      </c>
      <c r="F99" s="14" t="s">
        <v>35</v>
      </c>
      <c r="G99" s="13">
        <v>4</v>
      </c>
      <c r="H99" s="14">
        <f>G99+I99</f>
        <v>4</v>
      </c>
      <c r="J99" s="14">
        <v>1</v>
      </c>
      <c r="K99" s="13" t="s">
        <v>860</v>
      </c>
      <c r="L99" s="15" t="s">
        <v>1275</v>
      </c>
      <c r="M99" s="15">
        <v>9296</v>
      </c>
      <c r="N99" s="15">
        <v>3639</v>
      </c>
      <c r="O99" s="15">
        <v>192960</v>
      </c>
      <c r="P99" s="15">
        <v>736390</v>
      </c>
      <c r="Q99" s="15"/>
    </row>
    <row r="100" spans="1:17" ht="22.5" x14ac:dyDescent="0.25">
      <c r="A100" s="11" t="s">
        <v>1349</v>
      </c>
      <c r="B100" s="13" t="s">
        <v>953</v>
      </c>
      <c r="C100" s="10" t="s">
        <v>1500</v>
      </c>
      <c r="D100" s="13" t="s">
        <v>41</v>
      </c>
      <c r="E100" s="14" t="s">
        <v>1017</v>
      </c>
      <c r="F100" s="14" t="s">
        <v>35</v>
      </c>
      <c r="G100" s="13"/>
      <c r="H100" s="14">
        <f>G100+I100</f>
        <v>2</v>
      </c>
      <c r="I100" s="14">
        <v>2</v>
      </c>
      <c r="J100" s="14">
        <v>2</v>
      </c>
      <c r="K100" s="13" t="s">
        <v>1498</v>
      </c>
      <c r="L100" s="15" t="s">
        <v>429</v>
      </c>
      <c r="M100" s="15">
        <v>55</v>
      </c>
      <c r="N100" s="15">
        <v>8520</v>
      </c>
      <c r="O100" s="15">
        <v>200550</v>
      </c>
      <c r="P100" s="15">
        <v>685200</v>
      </c>
      <c r="Q100" s="15"/>
    </row>
    <row r="101" spans="1:17" ht="22.5" x14ac:dyDescent="0.25">
      <c r="A101" s="11" t="s">
        <v>1349</v>
      </c>
      <c r="B101" s="13" t="s">
        <v>953</v>
      </c>
      <c r="C101" s="10" t="s">
        <v>1493</v>
      </c>
      <c r="D101" s="13" t="s">
        <v>41</v>
      </c>
      <c r="E101" s="14" t="s">
        <v>1017</v>
      </c>
      <c r="F101" s="14" t="s">
        <v>35</v>
      </c>
      <c r="G101" s="13"/>
      <c r="H101" s="14">
        <f>G101+I101</f>
        <v>3</v>
      </c>
      <c r="I101" s="14">
        <v>3</v>
      </c>
      <c r="J101" s="14">
        <v>2</v>
      </c>
      <c r="K101" s="13" t="s">
        <v>1492</v>
      </c>
      <c r="L101" s="15" t="s">
        <v>956</v>
      </c>
      <c r="M101" s="15">
        <v>9164</v>
      </c>
      <c r="N101" s="15">
        <v>7265</v>
      </c>
      <c r="O101" s="15">
        <v>191640</v>
      </c>
      <c r="P101" s="15">
        <v>672650</v>
      </c>
      <c r="Q101" s="15"/>
    </row>
    <row r="102" spans="1:17" ht="22.5" x14ac:dyDescent="0.25">
      <c r="A102" s="11" t="s">
        <v>1349</v>
      </c>
      <c r="B102" s="13" t="s">
        <v>953</v>
      </c>
      <c r="C102" s="10" t="s">
        <v>1021</v>
      </c>
      <c r="D102" s="13" t="s">
        <v>41</v>
      </c>
      <c r="E102" s="14" t="s">
        <v>1017</v>
      </c>
      <c r="F102" s="14" t="s">
        <v>35</v>
      </c>
      <c r="G102" s="13">
        <v>7</v>
      </c>
      <c r="H102" s="14">
        <f t="shared" si="2"/>
        <v>9</v>
      </c>
      <c r="I102" s="14">
        <v>2</v>
      </c>
      <c r="J102" s="14">
        <v>3</v>
      </c>
      <c r="K102" s="13" t="s">
        <v>1499</v>
      </c>
      <c r="L102" s="15" t="s">
        <v>956</v>
      </c>
      <c r="M102" s="15">
        <v>6926</v>
      </c>
      <c r="N102" s="15">
        <v>4334</v>
      </c>
      <c r="O102" s="15">
        <v>169260</v>
      </c>
      <c r="P102" s="15">
        <v>643340</v>
      </c>
      <c r="Q102" s="15"/>
    </row>
    <row r="103" spans="1:17" ht="22.5" x14ac:dyDescent="0.25">
      <c r="A103" s="11" t="s">
        <v>1349</v>
      </c>
      <c r="B103" s="13" t="s">
        <v>953</v>
      </c>
      <c r="C103" s="10" t="s">
        <v>1494</v>
      </c>
      <c r="D103" s="13" t="s">
        <v>41</v>
      </c>
      <c r="E103" s="14" t="s">
        <v>1017</v>
      </c>
      <c r="F103" s="14" t="s">
        <v>35</v>
      </c>
      <c r="G103" s="13"/>
      <c r="H103" s="14">
        <f t="shared" si="2"/>
        <v>4</v>
      </c>
      <c r="I103" s="14">
        <v>4</v>
      </c>
      <c r="J103" s="14">
        <v>4</v>
      </c>
      <c r="K103" s="13" t="s">
        <v>1502</v>
      </c>
      <c r="L103" s="15" t="s">
        <v>956</v>
      </c>
      <c r="M103" s="15">
        <v>7937</v>
      </c>
      <c r="N103" s="15">
        <v>4187</v>
      </c>
      <c r="O103" s="15">
        <v>179370</v>
      </c>
      <c r="P103" s="15">
        <v>641870</v>
      </c>
      <c r="Q103" s="15"/>
    </row>
    <row r="104" spans="1:17" x14ac:dyDescent="0.25">
      <c r="A104" s="11" t="s">
        <v>1349</v>
      </c>
      <c r="B104" s="13" t="s">
        <v>953</v>
      </c>
      <c r="C104" s="10" t="s">
        <v>1616</v>
      </c>
      <c r="D104" s="13" t="s">
        <v>1587</v>
      </c>
      <c r="E104" s="14" t="s">
        <v>1017</v>
      </c>
      <c r="F104" s="14" t="s">
        <v>35</v>
      </c>
      <c r="G104" s="13"/>
      <c r="H104" s="14">
        <f t="shared" si="2"/>
        <v>1</v>
      </c>
      <c r="I104" s="14">
        <v>1</v>
      </c>
      <c r="J104" s="14">
        <v>1</v>
      </c>
      <c r="K104" s="13" t="s">
        <v>1609</v>
      </c>
      <c r="L104" s="15" t="s">
        <v>1275</v>
      </c>
      <c r="M104" s="15">
        <v>778</v>
      </c>
      <c r="N104" s="15">
        <v>16</v>
      </c>
      <c r="O104" s="15">
        <v>177800</v>
      </c>
      <c r="P104" s="15">
        <v>701600</v>
      </c>
      <c r="Q104" s="15"/>
    </row>
    <row r="105" spans="1:17" ht="22.5" x14ac:dyDescent="0.25">
      <c r="A105" s="11" t="s">
        <v>1349</v>
      </c>
      <c r="B105" s="13" t="s">
        <v>953</v>
      </c>
      <c r="C105" s="10" t="s">
        <v>1491</v>
      </c>
      <c r="D105" s="13" t="s">
        <v>41</v>
      </c>
      <c r="E105" s="14" t="s">
        <v>728</v>
      </c>
      <c r="F105" s="14" t="s">
        <v>35</v>
      </c>
      <c r="G105" s="13"/>
      <c r="H105" s="14">
        <f t="shared" si="2"/>
        <v>2</v>
      </c>
      <c r="I105" s="14">
        <v>2</v>
      </c>
      <c r="J105" s="14">
        <v>2</v>
      </c>
      <c r="K105" s="13" t="s">
        <v>1492</v>
      </c>
      <c r="L105" s="15" t="s">
        <v>429</v>
      </c>
      <c r="M105" s="15">
        <v>745</v>
      </c>
      <c r="N105" s="15">
        <v>68263</v>
      </c>
      <c r="O105" s="15">
        <v>200745</v>
      </c>
      <c r="P105" s="15">
        <v>668263</v>
      </c>
      <c r="Q105" s="15"/>
    </row>
    <row r="106" spans="1:17" ht="22.5" x14ac:dyDescent="0.25">
      <c r="A106" s="11" t="s">
        <v>1349</v>
      </c>
      <c r="B106" s="13" t="s">
        <v>953</v>
      </c>
      <c r="C106" s="10" t="s">
        <v>1553</v>
      </c>
      <c r="D106" s="13" t="s">
        <v>41</v>
      </c>
      <c r="E106" s="14" t="s">
        <v>728</v>
      </c>
      <c r="F106" s="14" t="s">
        <v>35</v>
      </c>
      <c r="G106" s="13">
        <v>1</v>
      </c>
      <c r="H106" s="14">
        <f>G106+I106</f>
        <v>2</v>
      </c>
      <c r="I106" s="14">
        <v>1</v>
      </c>
      <c r="J106" s="14">
        <v>2</v>
      </c>
      <c r="K106" s="13" t="s">
        <v>1566</v>
      </c>
      <c r="L106" s="15" t="s">
        <v>956</v>
      </c>
      <c r="M106" s="15">
        <v>99708</v>
      </c>
      <c r="N106" s="15">
        <v>70570</v>
      </c>
      <c r="O106" s="15">
        <v>199708</v>
      </c>
      <c r="P106" s="15">
        <v>670570</v>
      </c>
      <c r="Q106" s="15"/>
    </row>
    <row r="107" spans="1:17" ht="22.5" x14ac:dyDescent="0.25">
      <c r="A107" s="11" t="s">
        <v>1349</v>
      </c>
      <c r="B107" s="13" t="s">
        <v>953</v>
      </c>
      <c r="C107" s="10" t="s">
        <v>1496</v>
      </c>
      <c r="D107" s="13" t="s">
        <v>41</v>
      </c>
      <c r="E107" s="14" t="s">
        <v>1497</v>
      </c>
      <c r="F107" s="14" t="s">
        <v>35</v>
      </c>
      <c r="G107" s="13"/>
      <c r="H107" s="14">
        <f>G107+I107</f>
        <v>2</v>
      </c>
      <c r="I107" s="14">
        <v>2</v>
      </c>
      <c r="J107" s="14">
        <v>2</v>
      </c>
      <c r="K107" s="13" t="s">
        <v>1498</v>
      </c>
      <c r="L107" s="15" t="s">
        <v>956</v>
      </c>
      <c r="M107" s="15">
        <v>74500</v>
      </c>
      <c r="N107" s="15">
        <v>26850</v>
      </c>
      <c r="O107" s="15">
        <v>174500</v>
      </c>
      <c r="P107" s="15">
        <v>626850</v>
      </c>
      <c r="Q107" s="15"/>
    </row>
    <row r="108" spans="1:17" x14ac:dyDescent="0.25">
      <c r="A108" s="11" t="s">
        <v>1349</v>
      </c>
      <c r="B108" s="13" t="s">
        <v>953</v>
      </c>
      <c r="C108" s="10" t="s">
        <v>1412</v>
      </c>
      <c r="D108" s="13" t="s">
        <v>39</v>
      </c>
      <c r="E108" s="14" t="s">
        <v>728</v>
      </c>
      <c r="F108" s="14" t="s">
        <v>35</v>
      </c>
      <c r="G108" s="13">
        <v>1</v>
      </c>
      <c r="H108" s="14">
        <f t="shared" si="2"/>
        <v>2</v>
      </c>
      <c r="I108" s="14">
        <v>1</v>
      </c>
      <c r="J108" s="14">
        <v>2</v>
      </c>
      <c r="K108" s="13" t="s">
        <v>1464</v>
      </c>
      <c r="L108" s="15" t="s">
        <v>429</v>
      </c>
      <c r="M108" s="15">
        <v>85</v>
      </c>
      <c r="N108" s="15">
        <v>635</v>
      </c>
      <c r="O108" s="15">
        <v>208500</v>
      </c>
      <c r="P108" s="15">
        <v>663500</v>
      </c>
      <c r="Q108" s="15"/>
    </row>
    <row r="109" spans="1:17" x14ac:dyDescent="0.25">
      <c r="A109" s="11" t="s">
        <v>1349</v>
      </c>
      <c r="B109" s="13" t="s">
        <v>238</v>
      </c>
      <c r="C109" s="10" t="s">
        <v>239</v>
      </c>
      <c r="D109" s="13" t="s">
        <v>26</v>
      </c>
      <c r="E109" s="14" t="s">
        <v>236</v>
      </c>
      <c r="F109" s="14" t="s">
        <v>35</v>
      </c>
      <c r="G109" s="13">
        <v>2</v>
      </c>
      <c r="H109" s="14">
        <f t="shared" si="2"/>
        <v>4</v>
      </c>
      <c r="I109" s="14">
        <v>2</v>
      </c>
      <c r="J109" s="14">
        <v>4</v>
      </c>
      <c r="K109" s="13" t="s">
        <v>1532</v>
      </c>
      <c r="L109" s="15" t="s">
        <v>133</v>
      </c>
      <c r="M109" s="15">
        <v>2601</v>
      </c>
      <c r="N109" s="15">
        <v>4420</v>
      </c>
      <c r="O109" s="15">
        <v>326010</v>
      </c>
      <c r="P109" s="15">
        <v>944200</v>
      </c>
      <c r="Q109" s="15"/>
    </row>
    <row r="110" spans="1:17" ht="22.5" x14ac:dyDescent="0.25">
      <c r="A110" s="11" t="s">
        <v>1349</v>
      </c>
      <c r="B110" s="13" t="s">
        <v>238</v>
      </c>
      <c r="C110" s="10" t="s">
        <v>1534</v>
      </c>
      <c r="D110" s="13" t="s">
        <v>41</v>
      </c>
      <c r="E110" s="13" t="s">
        <v>236</v>
      </c>
      <c r="F110" s="14" t="s">
        <v>35</v>
      </c>
      <c r="G110" s="13">
        <v>1</v>
      </c>
      <c r="H110" s="14">
        <f t="shared" ref="H110:H159" si="3">G110+I110</f>
        <v>2</v>
      </c>
      <c r="I110" s="14">
        <v>1</v>
      </c>
      <c r="J110" s="14">
        <v>2</v>
      </c>
      <c r="K110" s="13" t="s">
        <v>1543</v>
      </c>
      <c r="L110" s="15" t="s">
        <v>133</v>
      </c>
      <c r="M110" s="15">
        <v>33220</v>
      </c>
      <c r="N110" s="15">
        <v>42941</v>
      </c>
      <c r="O110" s="15">
        <v>333220</v>
      </c>
      <c r="P110" s="15">
        <v>942941</v>
      </c>
      <c r="Q110" s="15"/>
    </row>
    <row r="111" spans="1:17" ht="22.5" x14ac:dyDescent="0.25">
      <c r="A111" s="11" t="s">
        <v>1349</v>
      </c>
      <c r="B111" s="13" t="s">
        <v>238</v>
      </c>
      <c r="C111" s="10" t="s">
        <v>1533</v>
      </c>
      <c r="D111" s="13" t="s">
        <v>41</v>
      </c>
      <c r="E111" s="13" t="s">
        <v>236</v>
      </c>
      <c r="F111" s="14" t="s">
        <v>35</v>
      </c>
      <c r="G111" s="13">
        <v>2</v>
      </c>
      <c r="H111" s="14">
        <f>G111+I111</f>
        <v>3</v>
      </c>
      <c r="I111" s="14">
        <v>1</v>
      </c>
      <c r="J111" s="14">
        <v>3</v>
      </c>
      <c r="K111" s="13" t="s">
        <v>1536</v>
      </c>
      <c r="L111" s="15" t="s">
        <v>133</v>
      </c>
      <c r="M111" s="15">
        <v>30492</v>
      </c>
      <c r="N111" s="15">
        <v>43464</v>
      </c>
      <c r="O111" s="15">
        <v>330492</v>
      </c>
      <c r="P111" s="15">
        <v>943464</v>
      </c>
      <c r="Q111" s="15"/>
    </row>
    <row r="112" spans="1:17" ht="22.5" x14ac:dyDescent="0.25">
      <c r="A112" s="11" t="s">
        <v>1349</v>
      </c>
      <c r="B112" s="13" t="s">
        <v>238</v>
      </c>
      <c r="C112" s="10" t="s">
        <v>1080</v>
      </c>
      <c r="D112" s="13" t="s">
        <v>41</v>
      </c>
      <c r="E112" s="13" t="s">
        <v>1078</v>
      </c>
      <c r="F112" s="14" t="s">
        <v>35</v>
      </c>
      <c r="G112" s="13">
        <v>4</v>
      </c>
      <c r="H112" s="14">
        <f t="shared" si="3"/>
        <v>6</v>
      </c>
      <c r="I112" s="14">
        <v>2</v>
      </c>
      <c r="J112" s="14">
        <v>5</v>
      </c>
      <c r="K112" s="13" t="s">
        <v>1531</v>
      </c>
      <c r="L112" s="15" t="s">
        <v>133</v>
      </c>
      <c r="M112" s="15">
        <v>704</v>
      </c>
      <c r="N112" s="15">
        <v>6192</v>
      </c>
      <c r="O112" s="15">
        <v>307040</v>
      </c>
      <c r="P112" s="15">
        <v>961920</v>
      </c>
      <c r="Q112" s="15"/>
    </row>
    <row r="113" spans="1:17" ht="22.5" x14ac:dyDescent="0.25">
      <c r="A113" s="11" t="s">
        <v>1349</v>
      </c>
      <c r="B113" s="13" t="s">
        <v>238</v>
      </c>
      <c r="C113" s="10" t="s">
        <v>1077</v>
      </c>
      <c r="D113" s="13" t="s">
        <v>41</v>
      </c>
      <c r="E113" s="13" t="s">
        <v>1078</v>
      </c>
      <c r="F113" s="14" t="s">
        <v>35</v>
      </c>
      <c r="G113" s="13">
        <v>1</v>
      </c>
      <c r="H113" s="14">
        <f t="shared" si="3"/>
        <v>2</v>
      </c>
      <c r="I113" s="14">
        <v>1</v>
      </c>
      <c r="J113" s="14">
        <v>2</v>
      </c>
      <c r="K113" s="13" t="s">
        <v>1510</v>
      </c>
      <c r="L113" s="15" t="s">
        <v>133</v>
      </c>
      <c r="M113" s="15">
        <v>682</v>
      </c>
      <c r="N113" s="15">
        <v>6188</v>
      </c>
      <c r="O113" s="15">
        <v>306820</v>
      </c>
      <c r="P113" s="15">
        <v>961880</v>
      </c>
      <c r="Q113" s="15"/>
    </row>
    <row r="114" spans="1:17" ht="22.5" x14ac:dyDescent="0.25">
      <c r="A114" s="11" t="s">
        <v>1349</v>
      </c>
      <c r="B114" s="13" t="s">
        <v>238</v>
      </c>
      <c r="C114" s="10" t="s">
        <v>1079</v>
      </c>
      <c r="D114" s="13" t="s">
        <v>41</v>
      </c>
      <c r="E114" s="13" t="s">
        <v>1078</v>
      </c>
      <c r="F114" s="14" t="s">
        <v>35</v>
      </c>
      <c r="G114" s="13"/>
      <c r="H114" s="14">
        <f t="shared" si="3"/>
        <v>2</v>
      </c>
      <c r="I114" s="14">
        <v>2</v>
      </c>
      <c r="J114" s="14">
        <v>2</v>
      </c>
      <c r="K114" s="13" t="s">
        <v>1520</v>
      </c>
      <c r="L114" s="15" t="s">
        <v>133</v>
      </c>
      <c r="M114" s="15">
        <v>676</v>
      </c>
      <c r="N114" s="15">
        <v>6186</v>
      </c>
      <c r="O114" s="15">
        <v>306760</v>
      </c>
      <c r="P114" s="15">
        <v>961860</v>
      </c>
      <c r="Q114" s="15"/>
    </row>
    <row r="115" spans="1:17" ht="22.5" x14ac:dyDescent="0.25">
      <c r="A115" s="11" t="s">
        <v>1349</v>
      </c>
      <c r="B115" s="13" t="s">
        <v>226</v>
      </c>
      <c r="C115" s="10" t="s">
        <v>961</v>
      </c>
      <c r="D115" s="13" t="s">
        <v>26</v>
      </c>
      <c r="E115" s="13" t="s">
        <v>228</v>
      </c>
      <c r="F115" s="14" t="s">
        <v>35</v>
      </c>
      <c r="G115" s="13"/>
      <c r="H115" s="14">
        <f t="shared" si="3"/>
        <v>3</v>
      </c>
      <c r="I115" s="14">
        <v>3</v>
      </c>
      <c r="J115" s="14">
        <v>3</v>
      </c>
      <c r="K115" s="13" t="s">
        <v>1495</v>
      </c>
      <c r="L115" s="15" t="s">
        <v>229</v>
      </c>
      <c r="M115" s="15">
        <v>51820</v>
      </c>
      <c r="N115" s="15">
        <v>54045</v>
      </c>
      <c r="O115" s="15">
        <v>251820</v>
      </c>
      <c r="P115" s="15">
        <v>554045</v>
      </c>
      <c r="Q115" s="15"/>
    </row>
    <row r="116" spans="1:17" ht="22.5" x14ac:dyDescent="0.25">
      <c r="A116" s="11" t="s">
        <v>1349</v>
      </c>
      <c r="B116" s="13" t="s">
        <v>226</v>
      </c>
      <c r="C116" s="10" t="s">
        <v>1615</v>
      </c>
      <c r="D116" s="13" t="s">
        <v>90</v>
      </c>
      <c r="E116" s="13" t="s">
        <v>228</v>
      </c>
      <c r="F116" s="14" t="s">
        <v>35</v>
      </c>
      <c r="G116" s="13"/>
      <c r="H116" s="14">
        <f t="shared" si="3"/>
        <v>1</v>
      </c>
      <c r="I116" s="14">
        <v>1</v>
      </c>
      <c r="J116" s="14">
        <v>1</v>
      </c>
      <c r="K116" s="13" t="s">
        <v>1609</v>
      </c>
      <c r="L116" s="15" t="s">
        <v>229</v>
      </c>
      <c r="M116" s="15">
        <v>1765</v>
      </c>
      <c r="N116" s="15">
        <v>6925</v>
      </c>
      <c r="O116" s="15">
        <v>217650</v>
      </c>
      <c r="P116" s="15">
        <v>569250</v>
      </c>
      <c r="Q116" s="15"/>
    </row>
    <row r="117" spans="1:17" ht="22.5" x14ac:dyDescent="0.25">
      <c r="A117" s="11" t="s">
        <v>1349</v>
      </c>
      <c r="B117" s="13" t="s">
        <v>226</v>
      </c>
      <c r="C117" s="10" t="s">
        <v>1551</v>
      </c>
      <c r="D117" s="13" t="s">
        <v>41</v>
      </c>
      <c r="E117" s="13" t="s">
        <v>228</v>
      </c>
      <c r="F117" s="14" t="s">
        <v>35</v>
      </c>
      <c r="G117" s="13">
        <v>1</v>
      </c>
      <c r="H117" s="14">
        <f t="shared" si="3"/>
        <v>1</v>
      </c>
      <c r="J117" s="14">
        <v>1</v>
      </c>
      <c r="K117" s="13" t="s">
        <v>1552</v>
      </c>
      <c r="L117" s="15" t="s">
        <v>229</v>
      </c>
      <c r="M117" s="15">
        <v>35243</v>
      </c>
      <c r="N117" s="15">
        <v>78359</v>
      </c>
      <c r="O117" s="15">
        <v>235243</v>
      </c>
      <c r="P117" s="15">
        <v>578359</v>
      </c>
      <c r="Q117" s="15"/>
    </row>
    <row r="118" spans="1:17" ht="22.5" x14ac:dyDescent="0.25">
      <c r="A118" s="11" t="s">
        <v>1349</v>
      </c>
      <c r="B118" s="13" t="s">
        <v>226</v>
      </c>
      <c r="C118" s="10" t="s">
        <v>717</v>
      </c>
      <c r="D118" s="13" t="s">
        <v>39</v>
      </c>
      <c r="E118" s="13" t="s">
        <v>228</v>
      </c>
      <c r="F118" s="14" t="s">
        <v>35</v>
      </c>
      <c r="G118" s="13">
        <v>1</v>
      </c>
      <c r="H118" s="14">
        <f t="shared" si="3"/>
        <v>1</v>
      </c>
      <c r="J118" s="14">
        <v>1</v>
      </c>
      <c r="K118" s="13" t="s">
        <v>863</v>
      </c>
      <c r="L118" s="15" t="s">
        <v>229</v>
      </c>
      <c r="M118" s="15">
        <v>19</v>
      </c>
      <c r="N118" s="15">
        <v>57</v>
      </c>
      <c r="O118" s="15">
        <v>219500</v>
      </c>
      <c r="P118" s="15">
        <v>557500</v>
      </c>
      <c r="Q118" s="15"/>
    </row>
    <row r="119" spans="1:17" ht="22.5" x14ac:dyDescent="0.25">
      <c r="A119" s="11" t="s">
        <v>1349</v>
      </c>
      <c r="B119" s="13" t="s">
        <v>226</v>
      </c>
      <c r="C119" s="10" t="s">
        <v>1643</v>
      </c>
      <c r="D119" s="13" t="s">
        <v>1587</v>
      </c>
      <c r="E119" s="13" t="s">
        <v>228</v>
      </c>
      <c r="F119" s="14" t="s">
        <v>35</v>
      </c>
      <c r="G119" s="13"/>
      <c r="H119" s="14">
        <f t="shared" si="3"/>
        <v>1</v>
      </c>
      <c r="I119" s="14">
        <v>1</v>
      </c>
      <c r="J119" s="14">
        <v>1</v>
      </c>
      <c r="K119" s="13" t="s">
        <v>1639</v>
      </c>
      <c r="L119" s="15" t="s">
        <v>229</v>
      </c>
      <c r="M119" s="15">
        <v>704</v>
      </c>
      <c r="N119" s="15">
        <v>495</v>
      </c>
      <c r="O119" s="15">
        <v>270400</v>
      </c>
      <c r="P119" s="15">
        <v>549500</v>
      </c>
      <c r="Q119" s="15"/>
    </row>
    <row r="120" spans="1:17" ht="22.5" x14ac:dyDescent="0.25">
      <c r="A120" s="11" t="s">
        <v>1349</v>
      </c>
      <c r="B120" s="13" t="s">
        <v>226</v>
      </c>
      <c r="C120" s="10" t="s">
        <v>1537</v>
      </c>
      <c r="D120" s="13" t="s">
        <v>1538</v>
      </c>
      <c r="E120" s="13" t="s">
        <v>228</v>
      </c>
      <c r="F120" s="14" t="s">
        <v>35</v>
      </c>
      <c r="G120" s="13"/>
      <c r="H120" s="14">
        <f t="shared" si="3"/>
        <v>1</v>
      </c>
      <c r="I120" s="14">
        <v>1</v>
      </c>
      <c r="J120" s="14">
        <v>1</v>
      </c>
      <c r="K120" s="13" t="s">
        <v>1535</v>
      </c>
      <c r="L120" s="15" t="s">
        <v>229</v>
      </c>
      <c r="M120" s="15">
        <v>1746</v>
      </c>
      <c r="N120" s="15">
        <v>7525</v>
      </c>
      <c r="O120" s="15">
        <v>217460</v>
      </c>
      <c r="P120" s="15">
        <v>575250</v>
      </c>
      <c r="Q120" s="15"/>
    </row>
    <row r="121" spans="1:17" ht="22.5" x14ac:dyDescent="0.25">
      <c r="A121" s="11" t="s">
        <v>1349</v>
      </c>
      <c r="B121" s="13" t="s">
        <v>226</v>
      </c>
      <c r="C121" s="10" t="s">
        <v>963</v>
      </c>
      <c r="D121" s="13" t="s">
        <v>26</v>
      </c>
      <c r="E121" s="13" t="s">
        <v>228</v>
      </c>
      <c r="F121" s="14" t="s">
        <v>35</v>
      </c>
      <c r="G121" s="13">
        <v>4</v>
      </c>
      <c r="H121" s="14">
        <f t="shared" si="3"/>
        <v>5</v>
      </c>
      <c r="I121" s="14">
        <v>1</v>
      </c>
      <c r="J121" s="14">
        <v>5</v>
      </c>
      <c r="K121" s="13" t="s">
        <v>1572</v>
      </c>
      <c r="L121" s="15" t="s">
        <v>229</v>
      </c>
      <c r="M121" s="15">
        <v>9688</v>
      </c>
      <c r="N121" s="15">
        <v>6507</v>
      </c>
      <c r="O121" s="15">
        <v>296880</v>
      </c>
      <c r="P121" s="15">
        <v>565070</v>
      </c>
      <c r="Q121" s="15"/>
    </row>
    <row r="122" spans="1:17" ht="22.5" x14ac:dyDescent="0.25">
      <c r="A122" s="11" t="s">
        <v>1349</v>
      </c>
      <c r="B122" s="13" t="s">
        <v>226</v>
      </c>
      <c r="C122" s="10" t="s">
        <v>227</v>
      </c>
      <c r="D122" s="13" t="s">
        <v>41</v>
      </c>
      <c r="E122" s="13" t="s">
        <v>228</v>
      </c>
      <c r="F122" s="14" t="s">
        <v>35</v>
      </c>
      <c r="G122" s="13">
        <v>2</v>
      </c>
      <c r="H122" s="14">
        <f t="shared" si="3"/>
        <v>8</v>
      </c>
      <c r="I122" s="14">
        <v>6</v>
      </c>
      <c r="J122" s="14">
        <v>6</v>
      </c>
      <c r="K122" s="13" t="s">
        <v>1526</v>
      </c>
      <c r="L122" s="15" t="s">
        <v>229</v>
      </c>
      <c r="M122" s="15">
        <v>1867</v>
      </c>
      <c r="N122" s="15">
        <v>6100</v>
      </c>
      <c r="O122" s="15">
        <v>218670</v>
      </c>
      <c r="P122" s="15">
        <v>561000</v>
      </c>
      <c r="Q122" s="15"/>
    </row>
    <row r="123" spans="1:17" ht="22.5" x14ac:dyDescent="0.25">
      <c r="A123" s="11" t="s">
        <v>1349</v>
      </c>
      <c r="B123" s="13" t="s">
        <v>226</v>
      </c>
      <c r="C123" s="10" t="s">
        <v>248</v>
      </c>
      <c r="D123" s="13" t="s">
        <v>41</v>
      </c>
      <c r="E123" s="13" t="s">
        <v>228</v>
      </c>
      <c r="F123" s="14" t="s">
        <v>35</v>
      </c>
      <c r="G123" s="13"/>
      <c r="H123" s="14">
        <f t="shared" si="3"/>
        <v>1</v>
      </c>
      <c r="I123" s="14">
        <v>1</v>
      </c>
      <c r="J123" s="14">
        <v>1</v>
      </c>
      <c r="K123" s="13" t="s">
        <v>1252</v>
      </c>
      <c r="L123" s="15" t="s">
        <v>229</v>
      </c>
      <c r="M123" s="15">
        <v>1877</v>
      </c>
      <c r="N123" s="15">
        <v>6093</v>
      </c>
      <c r="O123" s="15">
        <v>218770</v>
      </c>
      <c r="P123" s="15">
        <v>560930</v>
      </c>
      <c r="Q123" s="15"/>
    </row>
    <row r="124" spans="1:17" x14ac:dyDescent="0.25">
      <c r="A124" s="11" t="s">
        <v>1349</v>
      </c>
      <c r="B124" s="13" t="s">
        <v>226</v>
      </c>
      <c r="C124" s="10" t="s">
        <v>1765</v>
      </c>
      <c r="D124" s="13" t="s">
        <v>90</v>
      </c>
      <c r="E124" s="13" t="s">
        <v>1766</v>
      </c>
      <c r="F124" s="14" t="s">
        <v>35</v>
      </c>
      <c r="G124" s="13"/>
      <c r="H124" s="14">
        <f t="shared" si="3"/>
        <v>1</v>
      </c>
      <c r="I124" s="14">
        <v>1</v>
      </c>
      <c r="J124" s="14">
        <v>1</v>
      </c>
      <c r="K124" s="13" t="s">
        <v>1764</v>
      </c>
      <c r="L124" s="15" t="s">
        <v>229</v>
      </c>
      <c r="M124" s="15">
        <v>967</v>
      </c>
      <c r="N124" s="15">
        <v>882</v>
      </c>
      <c r="O124" s="15">
        <v>296700</v>
      </c>
      <c r="P124" s="15">
        <v>588200</v>
      </c>
      <c r="Q124" s="15"/>
    </row>
    <row r="125" spans="1:17" x14ac:dyDescent="0.25">
      <c r="A125" s="11" t="s">
        <v>1349</v>
      </c>
      <c r="B125" s="13" t="s">
        <v>1641</v>
      </c>
      <c r="C125" s="10" t="s">
        <v>1642</v>
      </c>
      <c r="D125" s="13" t="s">
        <v>1587</v>
      </c>
      <c r="E125" s="13" t="s">
        <v>1017</v>
      </c>
      <c r="F125" s="14" t="s">
        <v>35</v>
      </c>
      <c r="G125" s="13"/>
      <c r="H125" s="14">
        <f t="shared" si="3"/>
        <v>1</v>
      </c>
      <c r="I125" s="14">
        <v>1</v>
      </c>
      <c r="J125" s="14">
        <v>1</v>
      </c>
      <c r="K125" s="13" t="s">
        <v>1639</v>
      </c>
      <c r="L125" s="15" t="s">
        <v>429</v>
      </c>
      <c r="M125" s="15">
        <v>3675</v>
      </c>
      <c r="N125" s="15">
        <v>1436</v>
      </c>
      <c r="O125" s="15">
        <v>236750</v>
      </c>
      <c r="P125" s="15">
        <v>614360</v>
      </c>
      <c r="Q125" s="15"/>
    </row>
    <row r="126" spans="1:17" x14ac:dyDescent="0.25">
      <c r="A126" s="11" t="s">
        <v>1349</v>
      </c>
      <c r="B126" s="13" t="s">
        <v>998</v>
      </c>
      <c r="C126" s="10" t="s">
        <v>1416</v>
      </c>
      <c r="D126" s="13" t="s">
        <v>39</v>
      </c>
      <c r="E126" s="13" t="s">
        <v>1417</v>
      </c>
      <c r="F126" s="14" t="s">
        <v>35</v>
      </c>
      <c r="G126" s="13">
        <v>1</v>
      </c>
      <c r="H126" s="14">
        <f t="shared" si="3"/>
        <v>1</v>
      </c>
      <c r="J126" s="14">
        <v>1</v>
      </c>
      <c r="K126" s="13" t="s">
        <v>863</v>
      </c>
      <c r="L126" s="15" t="s">
        <v>398</v>
      </c>
      <c r="M126" s="15">
        <v>638</v>
      </c>
      <c r="N126" s="15">
        <v>788</v>
      </c>
      <c r="O126" s="15">
        <v>363800</v>
      </c>
      <c r="P126" s="15">
        <v>678800</v>
      </c>
      <c r="Q126" s="15"/>
    </row>
    <row r="127" spans="1:17" x14ac:dyDescent="0.25">
      <c r="A127" s="11" t="s">
        <v>1349</v>
      </c>
      <c r="B127" s="13" t="s">
        <v>1612</v>
      </c>
      <c r="C127" s="10" t="s">
        <v>1613</v>
      </c>
      <c r="D127" s="13" t="s">
        <v>90</v>
      </c>
      <c r="E127" s="13" t="s">
        <v>1614</v>
      </c>
      <c r="F127" s="14" t="s">
        <v>35</v>
      </c>
      <c r="G127" s="13"/>
      <c r="H127" s="14">
        <f t="shared" si="3"/>
        <v>3</v>
      </c>
      <c r="I127" s="14">
        <v>3</v>
      </c>
      <c r="J127" s="14">
        <v>3</v>
      </c>
      <c r="K127" s="13" t="s">
        <v>1640</v>
      </c>
      <c r="L127" s="15" t="s">
        <v>429</v>
      </c>
      <c r="M127" s="15">
        <v>6695</v>
      </c>
      <c r="N127" s="15">
        <v>6280</v>
      </c>
      <c r="O127" s="15">
        <v>266950</v>
      </c>
      <c r="P127" s="15">
        <v>662800</v>
      </c>
      <c r="Q127" s="15"/>
    </row>
    <row r="128" spans="1:17" ht="22.5" x14ac:dyDescent="0.25">
      <c r="A128" s="11" t="s">
        <v>1349</v>
      </c>
      <c r="B128" s="13" t="s">
        <v>676</v>
      </c>
      <c r="C128" s="10" t="s">
        <v>1501</v>
      </c>
      <c r="D128" s="13" t="s">
        <v>41</v>
      </c>
      <c r="E128" s="14" t="s">
        <v>428</v>
      </c>
      <c r="F128" s="14" t="s">
        <v>35</v>
      </c>
      <c r="G128" s="13"/>
      <c r="H128" s="14">
        <f>G128+I128</f>
        <v>1</v>
      </c>
      <c r="I128" s="14">
        <v>1</v>
      </c>
      <c r="J128" s="14">
        <v>1</v>
      </c>
      <c r="K128" s="13" t="s">
        <v>1252</v>
      </c>
      <c r="L128" s="15" t="s">
        <v>429</v>
      </c>
      <c r="M128" s="15">
        <v>280</v>
      </c>
      <c r="N128" s="15">
        <v>3315</v>
      </c>
      <c r="O128" s="15">
        <v>202800</v>
      </c>
      <c r="P128" s="15">
        <v>633150</v>
      </c>
      <c r="Q128" s="15"/>
    </row>
    <row r="129" spans="1:17" ht="22.5" x14ac:dyDescent="0.25">
      <c r="A129" s="11" t="s">
        <v>1349</v>
      </c>
      <c r="B129" s="13" t="s">
        <v>676</v>
      </c>
      <c r="C129" s="10" t="s">
        <v>1539</v>
      </c>
      <c r="D129" s="13" t="s">
        <v>41</v>
      </c>
      <c r="E129" s="14" t="s">
        <v>428</v>
      </c>
      <c r="F129" s="14" t="s">
        <v>35</v>
      </c>
      <c r="G129" s="13"/>
      <c r="H129" s="14">
        <f>G129+I129</f>
        <v>1</v>
      </c>
      <c r="I129" s="14">
        <v>1</v>
      </c>
      <c r="J129" s="14">
        <v>1</v>
      </c>
      <c r="K129" s="13" t="s">
        <v>1535</v>
      </c>
      <c r="L129" s="15" t="s">
        <v>956</v>
      </c>
      <c r="M129" s="15">
        <v>9935</v>
      </c>
      <c r="N129" s="15">
        <v>2075</v>
      </c>
      <c r="O129" s="15">
        <v>199350</v>
      </c>
      <c r="P129" s="15">
        <v>620750</v>
      </c>
      <c r="Q129" s="15"/>
    </row>
    <row r="130" spans="1:17" ht="25.5" x14ac:dyDescent="0.25">
      <c r="A130" s="11" t="s">
        <v>1349</v>
      </c>
      <c r="B130" s="13" t="s">
        <v>676</v>
      </c>
      <c r="C130" s="17" t="s">
        <v>1373</v>
      </c>
      <c r="D130" s="13" t="s">
        <v>41</v>
      </c>
      <c r="E130" s="14" t="s">
        <v>428</v>
      </c>
      <c r="F130" s="14" t="s">
        <v>35</v>
      </c>
      <c r="G130" s="13">
        <v>1</v>
      </c>
      <c r="H130" s="14">
        <f t="shared" si="3"/>
        <v>6</v>
      </c>
      <c r="I130" s="14">
        <v>5</v>
      </c>
      <c r="J130" s="14">
        <v>5</v>
      </c>
      <c r="K130" s="13" t="s">
        <v>1571</v>
      </c>
      <c r="L130" s="15" t="s">
        <v>429</v>
      </c>
      <c r="M130" s="15">
        <v>1752</v>
      </c>
      <c r="N130" s="15">
        <v>28890</v>
      </c>
      <c r="O130" s="15">
        <v>201752</v>
      </c>
      <c r="P130" s="15">
        <v>628890</v>
      </c>
      <c r="Q130" s="15"/>
    </row>
    <row r="131" spans="1:17" ht="22.5" x14ac:dyDescent="0.25">
      <c r="A131" s="11" t="s">
        <v>1349</v>
      </c>
      <c r="B131" s="13" t="s">
        <v>676</v>
      </c>
      <c r="C131" s="10" t="s">
        <v>1506</v>
      </c>
      <c r="D131" s="13" t="s">
        <v>41</v>
      </c>
      <c r="E131" s="14" t="s">
        <v>745</v>
      </c>
      <c r="F131" s="14" t="s">
        <v>35</v>
      </c>
      <c r="G131" s="13"/>
      <c r="H131" s="14">
        <f>G131+I131</f>
        <v>2</v>
      </c>
      <c r="I131" s="14">
        <v>2</v>
      </c>
      <c r="J131" s="14">
        <v>2</v>
      </c>
      <c r="K131" s="13" t="s">
        <v>1540</v>
      </c>
      <c r="L131" s="15" t="s">
        <v>116</v>
      </c>
      <c r="M131" s="15">
        <v>84294</v>
      </c>
      <c r="N131" s="15">
        <v>62450</v>
      </c>
      <c r="O131" s="15">
        <v>84294</v>
      </c>
      <c r="P131" s="15">
        <v>862450</v>
      </c>
      <c r="Q131" s="15"/>
    </row>
    <row r="132" spans="1:17" ht="22.5" x14ac:dyDescent="0.25">
      <c r="A132" s="11" t="s">
        <v>1349</v>
      </c>
      <c r="B132" s="13" t="s">
        <v>676</v>
      </c>
      <c r="C132" s="10" t="s">
        <v>748</v>
      </c>
      <c r="D132" s="13" t="s">
        <v>41</v>
      </c>
      <c r="E132" s="14" t="s">
        <v>745</v>
      </c>
      <c r="F132" s="14" t="s">
        <v>35</v>
      </c>
      <c r="G132" s="13"/>
      <c r="H132" s="14">
        <f t="shared" si="3"/>
        <v>2</v>
      </c>
      <c r="I132" s="14">
        <v>2</v>
      </c>
      <c r="J132" s="14">
        <v>2</v>
      </c>
      <c r="K132" s="13" t="s">
        <v>1511</v>
      </c>
      <c r="L132" s="15" t="s">
        <v>116</v>
      </c>
      <c r="M132" s="15">
        <v>80033</v>
      </c>
      <c r="N132" s="15">
        <v>66859</v>
      </c>
      <c r="O132" s="15">
        <v>80033</v>
      </c>
      <c r="P132" s="15">
        <v>866859</v>
      </c>
      <c r="Q132" s="15"/>
    </row>
    <row r="133" spans="1:17" x14ac:dyDescent="0.25">
      <c r="A133" s="11" t="s">
        <v>1349</v>
      </c>
      <c r="B133" s="13" t="s">
        <v>249</v>
      </c>
      <c r="C133" s="10" t="s">
        <v>458</v>
      </c>
      <c r="D133" s="13" t="s">
        <v>8</v>
      </c>
      <c r="E133" s="14" t="s">
        <v>236</v>
      </c>
      <c r="F133" s="14" t="s">
        <v>35</v>
      </c>
      <c r="G133" s="13"/>
      <c r="H133" s="14">
        <f t="shared" si="3"/>
        <v>1</v>
      </c>
      <c r="I133" s="14">
        <v>1</v>
      </c>
      <c r="J133" s="14">
        <v>1</v>
      </c>
      <c r="K133" s="13" t="s">
        <v>1535</v>
      </c>
      <c r="L133" s="15" t="s">
        <v>460</v>
      </c>
      <c r="M133" s="15">
        <v>7576</v>
      </c>
      <c r="N133" s="15">
        <v>4447</v>
      </c>
      <c r="O133" s="15">
        <v>275760</v>
      </c>
      <c r="P133" s="15">
        <v>844470</v>
      </c>
      <c r="Q133" s="15"/>
    </row>
    <row r="134" spans="1:17" ht="22.5" x14ac:dyDescent="0.25">
      <c r="A134" s="11" t="s">
        <v>1349</v>
      </c>
      <c r="B134" s="13" t="s">
        <v>249</v>
      </c>
      <c r="C134" s="10" t="s">
        <v>250</v>
      </c>
      <c r="D134" s="13" t="s">
        <v>41</v>
      </c>
      <c r="E134" s="14" t="s">
        <v>236</v>
      </c>
      <c r="F134" s="14" t="s">
        <v>35</v>
      </c>
      <c r="G134" s="13"/>
      <c r="H134" s="14">
        <f t="shared" si="3"/>
        <v>1</v>
      </c>
      <c r="I134" s="14">
        <v>1</v>
      </c>
      <c r="J134" s="14">
        <v>1</v>
      </c>
      <c r="K134" s="13" t="s">
        <v>1535</v>
      </c>
      <c r="L134" s="15" t="s">
        <v>120</v>
      </c>
      <c r="M134" s="15">
        <v>84524</v>
      </c>
      <c r="N134" s="15">
        <v>16627</v>
      </c>
      <c r="O134" s="15">
        <v>184524</v>
      </c>
      <c r="P134" s="15">
        <v>816627</v>
      </c>
      <c r="Q134" s="15"/>
    </row>
    <row r="135" spans="1:17" ht="22.5" x14ac:dyDescent="0.25">
      <c r="A135" s="11" t="s">
        <v>1349</v>
      </c>
      <c r="B135" s="13" t="s">
        <v>249</v>
      </c>
      <c r="C135" s="10" t="s">
        <v>1507</v>
      </c>
      <c r="D135" s="13" t="s">
        <v>41</v>
      </c>
      <c r="E135" s="14" t="s">
        <v>746</v>
      </c>
      <c r="F135" s="14" t="s">
        <v>35</v>
      </c>
      <c r="G135" s="13"/>
      <c r="H135" s="14">
        <f t="shared" si="3"/>
        <v>2</v>
      </c>
      <c r="I135" s="14">
        <v>2</v>
      </c>
      <c r="J135" s="14">
        <v>2</v>
      </c>
      <c r="K135" s="13" t="s">
        <v>1540</v>
      </c>
      <c r="L135" s="15" t="s">
        <v>120</v>
      </c>
      <c r="M135" s="15">
        <v>3934</v>
      </c>
      <c r="N135" s="15">
        <v>1636</v>
      </c>
      <c r="O135" s="15">
        <v>139340</v>
      </c>
      <c r="P135" s="15">
        <v>816360</v>
      </c>
      <c r="Q135" s="15"/>
    </row>
    <row r="136" spans="1:17" ht="22.5" x14ac:dyDescent="0.25">
      <c r="A136" s="11" t="s">
        <v>1349</v>
      </c>
      <c r="B136" s="13" t="s">
        <v>1709</v>
      </c>
      <c r="C136" s="10" t="s">
        <v>1710</v>
      </c>
      <c r="D136" s="13" t="s">
        <v>496</v>
      </c>
      <c r="E136" s="14" t="s">
        <v>1711</v>
      </c>
      <c r="F136" s="14" t="s">
        <v>35</v>
      </c>
      <c r="G136" s="13">
        <v>1</v>
      </c>
      <c r="H136" s="14">
        <f t="shared" si="3"/>
        <v>1</v>
      </c>
      <c r="J136" s="14">
        <v>1</v>
      </c>
      <c r="K136" s="13" t="s">
        <v>1706</v>
      </c>
      <c r="L136" s="15" t="s">
        <v>398</v>
      </c>
      <c r="M136" s="15">
        <v>1315</v>
      </c>
      <c r="N136" s="15">
        <v>6655</v>
      </c>
      <c r="O136" s="15">
        <v>313150</v>
      </c>
      <c r="P136" s="15">
        <v>666550</v>
      </c>
      <c r="Q136" s="15"/>
    </row>
    <row r="137" spans="1:17" x14ac:dyDescent="0.25">
      <c r="A137" s="11" t="s">
        <v>1349</v>
      </c>
      <c r="B137" s="13" t="s">
        <v>426</v>
      </c>
      <c r="C137" s="10" t="s">
        <v>1636</v>
      </c>
      <c r="D137" s="13" t="s">
        <v>1587</v>
      </c>
      <c r="E137" s="14" t="s">
        <v>1608</v>
      </c>
      <c r="F137" s="14" t="s">
        <v>35</v>
      </c>
      <c r="G137" s="13"/>
      <c r="H137" s="14">
        <f t="shared" si="3"/>
        <v>1</v>
      </c>
      <c r="I137" s="14">
        <v>1</v>
      </c>
      <c r="J137" s="14">
        <v>1</v>
      </c>
      <c r="K137" s="13" t="s">
        <v>1635</v>
      </c>
      <c r="L137" s="15" t="s">
        <v>429</v>
      </c>
      <c r="M137" s="15">
        <v>263</v>
      </c>
      <c r="N137" s="15">
        <v>420</v>
      </c>
      <c r="O137" s="15">
        <v>226300</v>
      </c>
      <c r="P137" s="15">
        <v>642000</v>
      </c>
      <c r="Q137" s="15"/>
    </row>
    <row r="138" spans="1:17" x14ac:dyDescent="0.25">
      <c r="A138" s="11" t="s">
        <v>1349</v>
      </c>
      <c r="B138" s="13" t="s">
        <v>426</v>
      </c>
      <c r="C138" s="10" t="s">
        <v>1601</v>
      </c>
      <c r="D138" s="13" t="s">
        <v>1278</v>
      </c>
      <c r="E138" s="14" t="s">
        <v>1017</v>
      </c>
      <c r="F138" s="14" t="s">
        <v>35</v>
      </c>
      <c r="G138" s="13">
        <v>2</v>
      </c>
      <c r="H138" s="14">
        <f t="shared" si="3"/>
        <v>2</v>
      </c>
      <c r="J138" s="14">
        <v>1</v>
      </c>
      <c r="K138" s="13" t="s">
        <v>1602</v>
      </c>
      <c r="L138" s="15" t="s">
        <v>429</v>
      </c>
      <c r="M138" s="15">
        <v>200</v>
      </c>
      <c r="N138" s="15">
        <v>594</v>
      </c>
      <c r="O138" s="15">
        <v>220000</v>
      </c>
      <c r="P138" s="15">
        <v>659400</v>
      </c>
      <c r="Q138" s="15"/>
    </row>
    <row r="139" spans="1:17" ht="22.5" x14ac:dyDescent="0.25">
      <c r="A139" s="11" t="s">
        <v>1349</v>
      </c>
      <c r="B139" s="13" t="s">
        <v>34</v>
      </c>
      <c r="C139" s="10" t="s">
        <v>33</v>
      </c>
      <c r="D139" s="13" t="s">
        <v>1278</v>
      </c>
      <c r="E139" s="13" t="s">
        <v>1070</v>
      </c>
      <c r="F139" s="14" t="s">
        <v>35</v>
      </c>
      <c r="G139" s="13">
        <v>4</v>
      </c>
      <c r="H139" s="14">
        <f t="shared" si="3"/>
        <v>4</v>
      </c>
      <c r="J139" s="14">
        <v>2</v>
      </c>
      <c r="K139" s="13" t="s">
        <v>1522</v>
      </c>
      <c r="L139" s="15" t="s">
        <v>114</v>
      </c>
      <c r="M139" s="15">
        <v>57283</v>
      </c>
      <c r="N139" s="15">
        <v>5722</v>
      </c>
      <c r="O139" s="15">
        <v>353283</v>
      </c>
      <c r="P139" s="15">
        <v>1005722</v>
      </c>
      <c r="Q139" s="15"/>
    </row>
    <row r="140" spans="1:17" ht="22.5" x14ac:dyDescent="0.25">
      <c r="A140" s="11" t="s">
        <v>1349</v>
      </c>
      <c r="B140" s="13" t="s">
        <v>34</v>
      </c>
      <c r="C140" s="10" t="s">
        <v>1517</v>
      </c>
      <c r="D140" s="13" t="s">
        <v>41</v>
      </c>
      <c r="E140" s="14" t="s">
        <v>1052</v>
      </c>
      <c r="F140" s="14" t="s">
        <v>35</v>
      </c>
      <c r="G140" s="13"/>
      <c r="H140" s="14">
        <f>G140+I140</f>
        <v>1</v>
      </c>
      <c r="I140" s="14">
        <v>1</v>
      </c>
      <c r="J140" s="14">
        <v>1</v>
      </c>
      <c r="K140" s="13" t="s">
        <v>1513</v>
      </c>
      <c r="L140" s="15" t="s">
        <v>114</v>
      </c>
      <c r="M140" s="15">
        <v>5788</v>
      </c>
      <c r="N140" s="15">
        <v>3858</v>
      </c>
      <c r="O140" s="15">
        <v>357880</v>
      </c>
      <c r="P140" s="15">
        <v>1038580</v>
      </c>
      <c r="Q140" s="15"/>
    </row>
    <row r="141" spans="1:17" x14ac:dyDescent="0.25">
      <c r="A141" s="11" t="s">
        <v>1349</v>
      </c>
      <c r="B141" s="13" t="s">
        <v>34</v>
      </c>
      <c r="C141" s="10" t="s">
        <v>1046</v>
      </c>
      <c r="D141" s="13" t="s">
        <v>753</v>
      </c>
      <c r="E141" s="13" t="s">
        <v>469</v>
      </c>
      <c r="F141" s="14" t="s">
        <v>35</v>
      </c>
      <c r="G141" s="13"/>
      <c r="H141" s="14">
        <f t="shared" si="3"/>
        <v>1</v>
      </c>
      <c r="I141" s="14">
        <v>1</v>
      </c>
      <c r="J141" s="14">
        <v>1</v>
      </c>
      <c r="K141" s="13" t="s">
        <v>1521</v>
      </c>
      <c r="L141" s="15" t="s">
        <v>114</v>
      </c>
      <c r="M141" s="15">
        <v>4004</v>
      </c>
      <c r="N141" s="15">
        <v>2800</v>
      </c>
      <c r="O141" s="15">
        <v>340040</v>
      </c>
      <c r="P141" s="15">
        <v>1028000</v>
      </c>
      <c r="Q141" s="15"/>
    </row>
    <row r="142" spans="1:17" x14ac:dyDescent="0.25">
      <c r="A142" s="11" t="s">
        <v>1349</v>
      </c>
      <c r="B142" s="13" t="s">
        <v>34</v>
      </c>
      <c r="C142" s="10" t="s">
        <v>1060</v>
      </c>
      <c r="D142" s="13" t="s">
        <v>753</v>
      </c>
      <c r="E142" s="13" t="s">
        <v>469</v>
      </c>
      <c r="F142" s="14" t="s">
        <v>35</v>
      </c>
      <c r="G142" s="13"/>
      <c r="H142" s="14">
        <f t="shared" si="3"/>
        <v>1</v>
      </c>
      <c r="I142" s="14">
        <v>1</v>
      </c>
      <c r="J142" s="14">
        <v>1</v>
      </c>
      <c r="K142" s="13" t="s">
        <v>1535</v>
      </c>
      <c r="L142" s="15" t="s">
        <v>114</v>
      </c>
      <c r="M142" s="15">
        <v>3733</v>
      </c>
      <c r="N142" s="15">
        <v>2978</v>
      </c>
      <c r="O142" s="15">
        <v>337330</v>
      </c>
      <c r="P142" s="15">
        <v>1029780</v>
      </c>
      <c r="Q142" s="15"/>
    </row>
    <row r="143" spans="1:17" ht="22.5" x14ac:dyDescent="0.25">
      <c r="A143" s="11" t="s">
        <v>1349</v>
      </c>
      <c r="B143" s="13" t="s">
        <v>34</v>
      </c>
      <c r="C143" s="10" t="s">
        <v>40</v>
      </c>
      <c r="D143" s="13" t="s">
        <v>41</v>
      </c>
      <c r="E143" s="14" t="s">
        <v>33</v>
      </c>
      <c r="F143" s="14" t="s">
        <v>35</v>
      </c>
      <c r="G143" s="13">
        <v>7</v>
      </c>
      <c r="H143" s="14">
        <f t="shared" si="3"/>
        <v>8</v>
      </c>
      <c r="I143" s="14">
        <v>1</v>
      </c>
      <c r="J143" s="14">
        <v>4</v>
      </c>
      <c r="K143" s="13" t="s">
        <v>1561</v>
      </c>
      <c r="L143" s="15" t="s">
        <v>114</v>
      </c>
      <c r="M143" s="15">
        <v>3182</v>
      </c>
      <c r="N143" s="15">
        <v>1277</v>
      </c>
      <c r="O143" s="15">
        <v>331820</v>
      </c>
      <c r="P143" s="15">
        <v>1012770</v>
      </c>
      <c r="Q143" s="15"/>
    </row>
    <row r="144" spans="1:17" x14ac:dyDescent="0.25">
      <c r="A144" s="11" t="s">
        <v>1349</v>
      </c>
      <c r="B144" s="13" t="s">
        <v>34</v>
      </c>
      <c r="C144" s="10" t="s">
        <v>1056</v>
      </c>
      <c r="D144" s="13" t="s">
        <v>753</v>
      </c>
      <c r="E144" s="14" t="s">
        <v>469</v>
      </c>
      <c r="F144" s="14" t="s">
        <v>35</v>
      </c>
      <c r="G144" s="13"/>
      <c r="H144" s="14">
        <f t="shared" si="3"/>
        <v>1</v>
      </c>
      <c r="I144" s="14">
        <v>1</v>
      </c>
      <c r="J144" s="14">
        <v>1</v>
      </c>
      <c r="K144" s="13" t="s">
        <v>1513</v>
      </c>
      <c r="L144" s="15" t="s">
        <v>114</v>
      </c>
      <c r="M144" s="15">
        <v>3722</v>
      </c>
      <c r="N144" s="15">
        <v>3048</v>
      </c>
      <c r="O144" s="15">
        <v>337220</v>
      </c>
      <c r="P144" s="15">
        <v>1030480</v>
      </c>
      <c r="Q144" s="15"/>
    </row>
    <row r="145" spans="1:17" x14ac:dyDescent="0.25">
      <c r="A145" s="11" t="s">
        <v>1349</v>
      </c>
      <c r="B145" s="13" t="s">
        <v>34</v>
      </c>
      <c r="C145" s="10" t="s">
        <v>1037</v>
      </c>
      <c r="D145" s="13" t="s">
        <v>18</v>
      </c>
      <c r="E145" s="14" t="s">
        <v>33</v>
      </c>
      <c r="F145" s="14" t="s">
        <v>35</v>
      </c>
      <c r="G145" s="13">
        <v>2</v>
      </c>
      <c r="H145" s="14">
        <f t="shared" si="3"/>
        <v>2</v>
      </c>
      <c r="J145" s="14">
        <v>2</v>
      </c>
      <c r="K145" s="13" t="s">
        <v>1523</v>
      </c>
      <c r="L145" s="15" t="s">
        <v>114</v>
      </c>
      <c r="M145" s="15">
        <v>2834</v>
      </c>
      <c r="N145" s="15">
        <v>1450</v>
      </c>
      <c r="O145" s="15">
        <v>328340</v>
      </c>
      <c r="P145" s="15">
        <v>1014500</v>
      </c>
      <c r="Q145" s="15"/>
    </row>
    <row r="146" spans="1:17" x14ac:dyDescent="0.25">
      <c r="A146" s="11" t="s">
        <v>1349</v>
      </c>
      <c r="B146" s="13" t="s">
        <v>34</v>
      </c>
      <c r="C146" s="10" t="s">
        <v>468</v>
      </c>
      <c r="D146" s="13" t="s">
        <v>39</v>
      </c>
      <c r="E146" s="14" t="s">
        <v>469</v>
      </c>
      <c r="F146" s="14" t="s">
        <v>35</v>
      </c>
      <c r="G146" s="13">
        <v>3</v>
      </c>
      <c r="H146" s="14">
        <f t="shared" si="3"/>
        <v>3</v>
      </c>
      <c r="J146" s="14">
        <v>2</v>
      </c>
      <c r="K146" s="13" t="s">
        <v>1548</v>
      </c>
      <c r="L146" s="15" t="s">
        <v>114</v>
      </c>
      <c r="M146" s="15">
        <v>4398</v>
      </c>
      <c r="N146" s="15">
        <v>3224</v>
      </c>
      <c r="O146" s="15">
        <v>343980</v>
      </c>
      <c r="P146" s="15">
        <v>1032240</v>
      </c>
      <c r="Q146" s="15"/>
    </row>
    <row r="147" spans="1:17" x14ac:dyDescent="0.25">
      <c r="A147" s="11" t="s">
        <v>1349</v>
      </c>
      <c r="B147" s="13" t="s">
        <v>34</v>
      </c>
      <c r="C147" s="10" t="s">
        <v>38</v>
      </c>
      <c r="D147" s="13" t="s">
        <v>39</v>
      </c>
      <c r="E147" s="14" t="s">
        <v>33</v>
      </c>
      <c r="F147" s="14" t="s">
        <v>35</v>
      </c>
      <c r="G147" s="13">
        <v>3</v>
      </c>
      <c r="H147" s="14">
        <f t="shared" si="3"/>
        <v>3</v>
      </c>
      <c r="J147" s="14">
        <v>3</v>
      </c>
      <c r="K147" s="13" t="s">
        <v>1547</v>
      </c>
      <c r="L147" s="15" t="s">
        <v>114</v>
      </c>
      <c r="M147" s="15">
        <v>2312</v>
      </c>
      <c r="N147" s="15">
        <v>1874</v>
      </c>
      <c r="O147" s="15">
        <v>323120</v>
      </c>
      <c r="P147" s="15">
        <v>1018740</v>
      </c>
      <c r="Q147" s="15"/>
    </row>
    <row r="148" spans="1:17" ht="22.5" x14ac:dyDescent="0.25">
      <c r="A148" s="11" t="s">
        <v>1349</v>
      </c>
      <c r="B148" s="13" t="s">
        <v>34</v>
      </c>
      <c r="C148" s="10" t="s">
        <v>1415</v>
      </c>
      <c r="D148" s="13" t="s">
        <v>41</v>
      </c>
      <c r="E148" s="13" t="s">
        <v>33</v>
      </c>
      <c r="F148" s="14" t="s">
        <v>35</v>
      </c>
      <c r="G148" s="13">
        <v>4</v>
      </c>
      <c r="H148" s="14">
        <f t="shared" si="3"/>
        <v>4</v>
      </c>
      <c r="J148" s="14">
        <v>2</v>
      </c>
      <c r="K148" s="13" t="s">
        <v>1549</v>
      </c>
      <c r="L148" s="15" t="s">
        <v>114</v>
      </c>
      <c r="M148" s="15">
        <v>2829</v>
      </c>
      <c r="N148" s="15">
        <v>1172</v>
      </c>
      <c r="O148" s="15">
        <v>328290</v>
      </c>
      <c r="P148" s="15">
        <v>1011720</v>
      </c>
      <c r="Q148" s="15"/>
    </row>
    <row r="149" spans="1:17" ht="22.5" x14ac:dyDescent="0.25">
      <c r="A149" s="11" t="s">
        <v>1349</v>
      </c>
      <c r="B149" s="13" t="s">
        <v>99</v>
      </c>
      <c r="C149" s="10" t="s">
        <v>523</v>
      </c>
      <c r="D149" s="13" t="s">
        <v>524</v>
      </c>
      <c r="E149" s="13" t="s">
        <v>974</v>
      </c>
      <c r="F149" s="14" t="s">
        <v>35</v>
      </c>
      <c r="G149" s="13">
        <v>1</v>
      </c>
      <c r="H149" s="14">
        <f t="shared" si="3"/>
        <v>1</v>
      </c>
      <c r="J149" s="14">
        <v>1</v>
      </c>
      <c r="K149" s="13" t="s">
        <v>1559</v>
      </c>
      <c r="L149" s="15" t="s">
        <v>526</v>
      </c>
      <c r="M149" s="15">
        <v>21300</v>
      </c>
      <c r="N149" s="15">
        <v>33017</v>
      </c>
      <c r="O149" s="15">
        <v>121300</v>
      </c>
      <c r="P149" s="15">
        <v>933017</v>
      </c>
      <c r="Q149" s="15"/>
    </row>
    <row r="150" spans="1:17" x14ac:dyDescent="0.25">
      <c r="A150" s="11" t="s">
        <v>1349</v>
      </c>
      <c r="B150" s="13" t="s">
        <v>99</v>
      </c>
      <c r="C150" s="10" t="s">
        <v>97</v>
      </c>
      <c r="D150" s="13" t="s">
        <v>39</v>
      </c>
      <c r="E150" s="14" t="s">
        <v>98</v>
      </c>
      <c r="F150" s="14" t="s">
        <v>35</v>
      </c>
      <c r="G150" s="13">
        <v>1</v>
      </c>
      <c r="H150" s="14">
        <f t="shared" si="3"/>
        <v>5</v>
      </c>
      <c r="I150" s="14">
        <v>4</v>
      </c>
      <c r="J150" s="14">
        <v>4</v>
      </c>
      <c r="K150" s="13" t="s">
        <v>1734</v>
      </c>
      <c r="L150" s="15" t="s">
        <v>116</v>
      </c>
      <c r="M150" s="15">
        <v>9753</v>
      </c>
      <c r="N150" s="15">
        <v>9123</v>
      </c>
      <c r="O150" s="15">
        <v>97530</v>
      </c>
      <c r="P150" s="15">
        <v>891230</v>
      </c>
      <c r="Q150" s="15"/>
    </row>
    <row r="151" spans="1:17" x14ac:dyDescent="0.25">
      <c r="A151" s="11" t="s">
        <v>1349</v>
      </c>
      <c r="B151" s="13" t="s">
        <v>170</v>
      </c>
      <c r="C151" s="10" t="s">
        <v>1418</v>
      </c>
      <c r="D151" s="13" t="s">
        <v>39</v>
      </c>
      <c r="E151" s="14" t="s">
        <v>167</v>
      </c>
      <c r="F151" s="14" t="s">
        <v>35</v>
      </c>
      <c r="G151" s="13">
        <v>2</v>
      </c>
      <c r="H151" s="14">
        <f t="shared" si="3"/>
        <v>4</v>
      </c>
      <c r="I151" s="14">
        <v>2</v>
      </c>
      <c r="J151" s="14">
        <v>3</v>
      </c>
      <c r="K151" s="13" t="s">
        <v>1771</v>
      </c>
      <c r="L151" s="15" t="s">
        <v>169</v>
      </c>
      <c r="M151" s="15">
        <v>922</v>
      </c>
      <c r="N151" s="15">
        <v>533</v>
      </c>
      <c r="O151" s="15">
        <v>292200</v>
      </c>
      <c r="P151" s="15">
        <v>753300</v>
      </c>
      <c r="Q151" s="15"/>
    </row>
    <row r="152" spans="1:17" ht="22.5" x14ac:dyDescent="0.25">
      <c r="A152" s="11" t="s">
        <v>1349</v>
      </c>
      <c r="B152" s="13" t="s">
        <v>170</v>
      </c>
      <c r="C152" s="10" t="s">
        <v>275</v>
      </c>
      <c r="D152" s="13" t="s">
        <v>278</v>
      </c>
      <c r="E152" s="14" t="s">
        <v>167</v>
      </c>
      <c r="F152" s="14" t="s">
        <v>35</v>
      </c>
      <c r="G152" s="13">
        <v>1</v>
      </c>
      <c r="H152" s="14">
        <f t="shared" si="3"/>
        <v>4</v>
      </c>
      <c r="I152" s="14">
        <v>3</v>
      </c>
      <c r="J152" s="14">
        <v>4</v>
      </c>
      <c r="K152" s="13" t="s">
        <v>1570</v>
      </c>
      <c r="L152" s="15" t="s">
        <v>169</v>
      </c>
      <c r="M152" s="15">
        <v>9287</v>
      </c>
      <c r="N152" s="15">
        <v>5337</v>
      </c>
      <c r="O152" s="15">
        <v>292870</v>
      </c>
      <c r="P152" s="15">
        <v>753370</v>
      </c>
      <c r="Q152" s="15"/>
    </row>
    <row r="153" spans="1:17" x14ac:dyDescent="0.25">
      <c r="A153" s="11" t="s">
        <v>1349</v>
      </c>
      <c r="B153" s="13" t="s">
        <v>1694</v>
      </c>
      <c r="C153" s="10" t="s">
        <v>1695</v>
      </c>
      <c r="D153" s="13" t="s">
        <v>1668</v>
      </c>
      <c r="E153" s="14" t="s">
        <v>1017</v>
      </c>
      <c r="F153" s="14" t="s">
        <v>35</v>
      </c>
      <c r="G153" s="13">
        <v>1</v>
      </c>
      <c r="H153" s="14">
        <f t="shared" si="3"/>
        <v>1</v>
      </c>
      <c r="J153" s="14">
        <v>1</v>
      </c>
      <c r="K153" s="13" t="s">
        <v>1690</v>
      </c>
      <c r="L153" s="15" t="s">
        <v>429</v>
      </c>
      <c r="M153" s="15">
        <v>332</v>
      </c>
      <c r="N153" s="15">
        <v>581</v>
      </c>
      <c r="O153" s="15">
        <v>233200</v>
      </c>
      <c r="P153" s="15">
        <v>658100</v>
      </c>
      <c r="Q153" s="15"/>
    </row>
    <row r="154" spans="1:17" ht="22.5" x14ac:dyDescent="0.25">
      <c r="A154" s="11" t="s">
        <v>1349</v>
      </c>
      <c r="B154" s="13" t="s">
        <v>1031</v>
      </c>
      <c r="C154" s="10" t="s">
        <v>1512</v>
      </c>
      <c r="D154" s="13" t="s">
        <v>41</v>
      </c>
      <c r="E154" s="14" t="s">
        <v>236</v>
      </c>
      <c r="F154" s="14" t="s">
        <v>35</v>
      </c>
      <c r="G154" s="13"/>
      <c r="H154" s="14">
        <f>G154+I154</f>
        <v>1</v>
      </c>
      <c r="I154" s="14">
        <v>1</v>
      </c>
      <c r="J154" s="14">
        <v>1</v>
      </c>
      <c r="K154" s="13" t="s">
        <v>1513</v>
      </c>
      <c r="L154" s="15" t="s">
        <v>460</v>
      </c>
      <c r="M154" s="15">
        <v>5833</v>
      </c>
      <c r="N154" s="15">
        <v>7395</v>
      </c>
      <c r="O154" s="15">
        <v>258330</v>
      </c>
      <c r="P154" s="15">
        <v>873950</v>
      </c>
      <c r="Q154" s="15"/>
    </row>
    <row r="155" spans="1:17" ht="22.5" x14ac:dyDescent="0.25">
      <c r="A155" s="11" t="s">
        <v>1349</v>
      </c>
      <c r="B155" s="13" t="s">
        <v>1031</v>
      </c>
      <c r="C155" s="10" t="s">
        <v>1508</v>
      </c>
      <c r="D155" s="13" t="s">
        <v>41</v>
      </c>
      <c r="E155" s="14" t="s">
        <v>236</v>
      </c>
      <c r="F155" s="14" t="s">
        <v>35</v>
      </c>
      <c r="G155" s="13"/>
      <c r="H155" s="14">
        <f t="shared" si="3"/>
        <v>3</v>
      </c>
      <c r="I155" s="14">
        <v>3</v>
      </c>
      <c r="J155" s="14">
        <v>2</v>
      </c>
      <c r="K155" s="13" t="s">
        <v>1510</v>
      </c>
      <c r="L155" s="15" t="s">
        <v>460</v>
      </c>
      <c r="M155" s="15">
        <v>5701</v>
      </c>
      <c r="N155" s="15">
        <v>5160</v>
      </c>
      <c r="O155" s="15">
        <v>257010</v>
      </c>
      <c r="P155" s="15">
        <v>851600</v>
      </c>
      <c r="Q155" s="15"/>
    </row>
    <row r="156" spans="1:17" ht="22.5" x14ac:dyDescent="0.25">
      <c r="A156" s="11" t="s">
        <v>1349</v>
      </c>
      <c r="B156" s="13" t="s">
        <v>319</v>
      </c>
      <c r="C156" s="10" t="s">
        <v>1518</v>
      </c>
      <c r="D156" s="13" t="s">
        <v>41</v>
      </c>
      <c r="E156" s="14" t="s">
        <v>319</v>
      </c>
      <c r="F156" s="14" t="s">
        <v>35</v>
      </c>
      <c r="G156" s="13">
        <v>1</v>
      </c>
      <c r="H156" s="14">
        <f>G156+I156</f>
        <v>3</v>
      </c>
      <c r="I156" s="14">
        <v>2</v>
      </c>
      <c r="J156" s="14">
        <v>3</v>
      </c>
      <c r="K156" s="13" t="s">
        <v>1541</v>
      </c>
      <c r="L156" s="15" t="s">
        <v>318</v>
      </c>
      <c r="M156" s="15">
        <v>2216</v>
      </c>
      <c r="N156" s="15">
        <v>7891</v>
      </c>
      <c r="O156" s="15">
        <v>422160</v>
      </c>
      <c r="P156" s="15">
        <v>1178910</v>
      </c>
      <c r="Q156" s="15"/>
    </row>
    <row r="157" spans="1:17" x14ac:dyDescent="0.25">
      <c r="A157" s="11" t="s">
        <v>1349</v>
      </c>
      <c r="B157" s="13" t="s">
        <v>319</v>
      </c>
      <c r="C157" s="10" t="s">
        <v>1562</v>
      </c>
      <c r="D157" s="13" t="s">
        <v>39</v>
      </c>
      <c r="E157" s="14" t="s">
        <v>319</v>
      </c>
      <c r="F157" s="14" t="s">
        <v>35</v>
      </c>
      <c r="G157" s="13"/>
      <c r="H157" s="14">
        <f>G157+I157</f>
        <v>2</v>
      </c>
      <c r="I157" s="14">
        <v>2</v>
      </c>
      <c r="J157" s="14">
        <v>2</v>
      </c>
      <c r="K157" s="13" t="s">
        <v>1569</v>
      </c>
      <c r="L157" s="15" t="s">
        <v>318</v>
      </c>
      <c r="M157" s="15">
        <v>277</v>
      </c>
      <c r="N157" s="15">
        <v>484</v>
      </c>
      <c r="O157" s="15">
        <v>427700</v>
      </c>
      <c r="P157" s="15">
        <v>1148400</v>
      </c>
      <c r="Q157" s="15"/>
    </row>
    <row r="158" spans="1:17" ht="22.5" x14ac:dyDescent="0.25">
      <c r="A158" s="11" t="s">
        <v>1349</v>
      </c>
      <c r="B158" s="13" t="s">
        <v>319</v>
      </c>
      <c r="C158" s="10" t="s">
        <v>1542</v>
      </c>
      <c r="D158" s="13" t="s">
        <v>41</v>
      </c>
      <c r="E158" s="14" t="s">
        <v>319</v>
      </c>
      <c r="F158" s="14" t="s">
        <v>35</v>
      </c>
      <c r="G158" s="13"/>
      <c r="H158" s="14">
        <f>G158+I158</f>
        <v>1</v>
      </c>
      <c r="I158" s="14">
        <v>1</v>
      </c>
      <c r="J158" s="14">
        <v>1</v>
      </c>
      <c r="K158" s="13" t="s">
        <v>1535</v>
      </c>
      <c r="L158" s="15" t="s">
        <v>318</v>
      </c>
      <c r="M158" s="15">
        <v>3245</v>
      </c>
      <c r="N158" s="15">
        <v>7124</v>
      </c>
      <c r="O158" s="15">
        <v>432450</v>
      </c>
      <c r="P158" s="15">
        <v>1171240</v>
      </c>
      <c r="Q158" s="15"/>
    </row>
    <row r="159" spans="1:17" x14ac:dyDescent="0.25">
      <c r="A159" s="11" t="s">
        <v>1349</v>
      </c>
      <c r="B159" s="13" t="s">
        <v>319</v>
      </c>
      <c r="C159" s="10" t="s">
        <v>315</v>
      </c>
      <c r="D159" s="13" t="s">
        <v>1278</v>
      </c>
      <c r="E159" s="14" t="s">
        <v>319</v>
      </c>
      <c r="F159" s="14" t="s">
        <v>35</v>
      </c>
      <c r="G159" s="13">
        <v>4</v>
      </c>
      <c r="H159" s="14">
        <f t="shared" si="3"/>
        <v>4</v>
      </c>
      <c r="J159" s="14">
        <v>2</v>
      </c>
      <c r="K159" s="13" t="s">
        <v>1523</v>
      </c>
      <c r="L159" s="15" t="s">
        <v>318</v>
      </c>
      <c r="M159" s="15">
        <v>42287</v>
      </c>
      <c r="N159" s="15">
        <v>62792</v>
      </c>
      <c r="O159" s="15">
        <v>442287</v>
      </c>
      <c r="P159" s="15">
        <v>1162792</v>
      </c>
      <c r="Q159" s="15"/>
    </row>
    <row r="160" spans="1:17" ht="22.5" x14ac:dyDescent="0.25">
      <c r="A160" s="11" t="s">
        <v>1349</v>
      </c>
      <c r="B160" s="13" t="s">
        <v>319</v>
      </c>
      <c r="C160" s="10" t="s">
        <v>1519</v>
      </c>
      <c r="D160" s="13" t="s">
        <v>41</v>
      </c>
      <c r="E160" s="14" t="s">
        <v>319</v>
      </c>
      <c r="F160" s="14" t="s">
        <v>35</v>
      </c>
      <c r="G160" s="13"/>
      <c r="H160" s="14">
        <f>G160+I160</f>
        <v>3</v>
      </c>
      <c r="I160" s="14">
        <v>3</v>
      </c>
      <c r="J160" s="14">
        <v>3</v>
      </c>
      <c r="K160" s="13" t="s">
        <v>1541</v>
      </c>
      <c r="L160" s="15" t="s">
        <v>318</v>
      </c>
      <c r="M160" s="15">
        <v>2956</v>
      </c>
      <c r="N160" s="15">
        <v>6096</v>
      </c>
      <c r="O160" s="15">
        <v>429560</v>
      </c>
      <c r="P160" s="15">
        <v>1160960</v>
      </c>
      <c r="Q160" s="15"/>
    </row>
    <row r="161" spans="1:17" x14ac:dyDescent="0.25">
      <c r="A161" s="11" t="s">
        <v>1349</v>
      </c>
      <c r="B161" s="13" t="s">
        <v>1606</v>
      </c>
      <c r="C161" s="10" t="s">
        <v>1607</v>
      </c>
      <c r="D161" s="13" t="s">
        <v>1587</v>
      </c>
      <c r="E161" s="14" t="s">
        <v>1608</v>
      </c>
      <c r="F161" s="14" t="s">
        <v>35</v>
      </c>
      <c r="G161" s="13"/>
      <c r="H161" s="14">
        <f>G161+I161</f>
        <v>1</v>
      </c>
      <c r="I161" s="14">
        <v>1</v>
      </c>
      <c r="J161" s="14">
        <v>1</v>
      </c>
      <c r="K161" s="13" t="s">
        <v>1609</v>
      </c>
      <c r="L161" s="15" t="s">
        <v>429</v>
      </c>
      <c r="M161" s="15">
        <v>327</v>
      </c>
      <c r="N161" s="15">
        <v>190</v>
      </c>
      <c r="O161" s="15">
        <v>232700</v>
      </c>
      <c r="P161" s="15">
        <v>619000</v>
      </c>
      <c r="Q161" s="15"/>
    </row>
    <row r="162" spans="1:17" x14ac:dyDescent="0.25">
      <c r="A162" s="11" t="s">
        <v>1349</v>
      </c>
      <c r="B162" s="13" t="s">
        <v>1610</v>
      </c>
      <c r="C162" s="10" t="s">
        <v>1617</v>
      </c>
      <c r="D162" s="13" t="s">
        <v>39</v>
      </c>
      <c r="E162" s="14" t="s">
        <v>1017</v>
      </c>
      <c r="F162" s="14" t="s">
        <v>35</v>
      </c>
      <c r="G162" s="13"/>
      <c r="H162" s="14">
        <f>G162+I162</f>
        <v>1</v>
      </c>
      <c r="I162" s="14">
        <v>1</v>
      </c>
      <c r="J162" s="14">
        <v>1</v>
      </c>
      <c r="K162" s="13" t="s">
        <v>1609</v>
      </c>
      <c r="L162" s="15" t="s">
        <v>429</v>
      </c>
      <c r="M162" s="15">
        <v>62</v>
      </c>
      <c r="N162" s="15">
        <v>57</v>
      </c>
      <c r="O162" s="15">
        <v>262500</v>
      </c>
      <c r="P162" s="15">
        <v>657500</v>
      </c>
      <c r="Q162" s="15"/>
    </row>
    <row r="163" spans="1:17" x14ac:dyDescent="0.25">
      <c r="A163" s="11" t="s">
        <v>1349</v>
      </c>
      <c r="B163" s="13" t="s">
        <v>1610</v>
      </c>
      <c r="C163" s="10" t="s">
        <v>1611</v>
      </c>
      <c r="D163" s="13" t="s">
        <v>90</v>
      </c>
      <c r="E163" s="14" t="s">
        <v>1017</v>
      </c>
      <c r="F163" s="14" t="s">
        <v>35</v>
      </c>
      <c r="G163" s="13"/>
      <c r="H163" s="14">
        <f>G163+I163</f>
        <v>2</v>
      </c>
      <c r="I163" s="14">
        <v>2</v>
      </c>
      <c r="J163" s="14">
        <v>2</v>
      </c>
      <c r="K163" s="13" t="s">
        <v>1626</v>
      </c>
      <c r="L163" s="15" t="s">
        <v>429</v>
      </c>
      <c r="M163" s="15">
        <v>8142</v>
      </c>
      <c r="N163" s="15">
        <v>4059</v>
      </c>
      <c r="O163" s="15">
        <v>281420</v>
      </c>
      <c r="P163" s="15">
        <v>640590</v>
      </c>
      <c r="Q163" s="15"/>
    </row>
    <row r="164" spans="1:17" ht="22.5" x14ac:dyDescent="0.25">
      <c r="A164" s="11" t="s">
        <v>1349</v>
      </c>
      <c r="B164" s="13" t="s">
        <v>743</v>
      </c>
      <c r="C164" s="10" t="s">
        <v>1452</v>
      </c>
      <c r="D164" s="13" t="s">
        <v>41</v>
      </c>
      <c r="E164" s="14" t="s">
        <v>236</v>
      </c>
      <c r="F164" s="14" t="s">
        <v>35</v>
      </c>
      <c r="G164" s="13">
        <v>1</v>
      </c>
      <c r="H164" s="14">
        <f t="shared" ref="H164:H199" si="4">G164+I164</f>
        <v>4</v>
      </c>
      <c r="I164" s="14">
        <v>3</v>
      </c>
      <c r="J164" s="14">
        <v>4</v>
      </c>
      <c r="K164" s="13" t="s">
        <v>1565</v>
      </c>
      <c r="L164" s="15" t="s">
        <v>460</v>
      </c>
      <c r="M164" s="15">
        <v>8177</v>
      </c>
      <c r="N164" s="15">
        <v>9265</v>
      </c>
      <c r="O164" s="15">
        <v>281770</v>
      </c>
      <c r="P164" s="15">
        <v>892650</v>
      </c>
      <c r="Q164" s="15"/>
    </row>
    <row r="165" spans="1:17" ht="22.5" x14ac:dyDescent="0.25">
      <c r="A165" s="11" t="s">
        <v>1349</v>
      </c>
      <c r="B165" s="13" t="s">
        <v>743</v>
      </c>
      <c r="C165" s="10" t="s">
        <v>1514</v>
      </c>
      <c r="D165" s="13" t="s">
        <v>41</v>
      </c>
      <c r="E165" s="14" t="s">
        <v>236</v>
      </c>
      <c r="F165" s="14" t="s">
        <v>35</v>
      </c>
      <c r="G165" s="13"/>
      <c r="H165" s="14">
        <f t="shared" si="4"/>
        <v>1</v>
      </c>
      <c r="I165" s="14">
        <v>1</v>
      </c>
      <c r="J165" s="14">
        <v>1</v>
      </c>
      <c r="K165" s="13" t="s">
        <v>1513</v>
      </c>
      <c r="L165" s="15" t="s">
        <v>1515</v>
      </c>
      <c r="M165" s="15">
        <v>8757</v>
      </c>
      <c r="N165" s="15">
        <v>2830</v>
      </c>
      <c r="O165" s="15">
        <v>287570</v>
      </c>
      <c r="P165" s="15">
        <v>928300</v>
      </c>
      <c r="Q165" s="15"/>
    </row>
    <row r="166" spans="1:17" ht="22.5" x14ac:dyDescent="0.25">
      <c r="A166" s="11" t="s">
        <v>1349</v>
      </c>
      <c r="B166" s="13" t="s">
        <v>743</v>
      </c>
      <c r="C166" s="10" t="s">
        <v>1509</v>
      </c>
      <c r="D166" s="13" t="s">
        <v>41</v>
      </c>
      <c r="E166" s="14" t="s">
        <v>236</v>
      </c>
      <c r="F166" s="14" t="s">
        <v>35</v>
      </c>
      <c r="G166" s="13"/>
      <c r="H166" s="14">
        <f t="shared" si="4"/>
        <v>2</v>
      </c>
      <c r="I166" s="14">
        <v>2</v>
      </c>
      <c r="J166" s="14">
        <v>2</v>
      </c>
      <c r="K166" s="13" t="s">
        <v>1510</v>
      </c>
      <c r="L166" s="15" t="s">
        <v>460</v>
      </c>
      <c r="M166" s="15">
        <v>6628</v>
      </c>
      <c r="N166" s="15">
        <v>9112</v>
      </c>
      <c r="O166" s="15">
        <v>266280</v>
      </c>
      <c r="P166" s="15">
        <v>891120</v>
      </c>
      <c r="Q166" s="15"/>
    </row>
    <row r="167" spans="1:17" x14ac:dyDescent="0.25">
      <c r="A167" s="11" t="s">
        <v>1349</v>
      </c>
      <c r="B167" s="13" t="s">
        <v>743</v>
      </c>
      <c r="C167" s="10" t="s">
        <v>1680</v>
      </c>
      <c r="D167" s="13" t="s">
        <v>1668</v>
      </c>
      <c r="E167" s="14" t="s">
        <v>236</v>
      </c>
      <c r="F167" s="14" t="s">
        <v>35</v>
      </c>
      <c r="G167" s="13">
        <v>3</v>
      </c>
      <c r="H167" s="14">
        <f t="shared" si="4"/>
        <v>3</v>
      </c>
      <c r="J167" s="14">
        <v>1</v>
      </c>
      <c r="K167" s="13" t="s">
        <v>1676</v>
      </c>
      <c r="L167" s="15" t="s">
        <v>460</v>
      </c>
      <c r="M167" s="15">
        <v>6336</v>
      </c>
      <c r="N167" s="15">
        <v>9214</v>
      </c>
      <c r="O167" s="15">
        <v>263360</v>
      </c>
      <c r="P167" s="15">
        <v>892140</v>
      </c>
      <c r="Q167" s="15"/>
    </row>
    <row r="168" spans="1:17" ht="22.5" x14ac:dyDescent="0.25">
      <c r="A168" s="11" t="s">
        <v>1349</v>
      </c>
      <c r="B168" s="13" t="s">
        <v>743</v>
      </c>
      <c r="C168" s="10" t="s">
        <v>1516</v>
      </c>
      <c r="D168" s="13" t="s">
        <v>41</v>
      </c>
      <c r="E168" s="14" t="s">
        <v>236</v>
      </c>
      <c r="F168" s="14" t="s">
        <v>35</v>
      </c>
      <c r="G168" s="13"/>
      <c r="H168" s="14">
        <f t="shared" si="4"/>
        <v>2</v>
      </c>
      <c r="I168" s="14">
        <v>2</v>
      </c>
      <c r="J168" s="14">
        <v>2</v>
      </c>
      <c r="K168" s="13" t="s">
        <v>1520</v>
      </c>
      <c r="L168" s="15" t="s">
        <v>1515</v>
      </c>
      <c r="M168" s="15">
        <v>7225</v>
      </c>
      <c r="N168" s="15">
        <v>5672</v>
      </c>
      <c r="O168" s="15">
        <v>272250</v>
      </c>
      <c r="P168" s="15">
        <v>956720</v>
      </c>
      <c r="Q168" s="15"/>
    </row>
    <row r="169" spans="1:17" x14ac:dyDescent="0.25">
      <c r="A169" s="11" t="s">
        <v>1349</v>
      </c>
      <c r="B169" s="13" t="s">
        <v>1594</v>
      </c>
      <c r="C169" s="10" t="s">
        <v>1595</v>
      </c>
      <c r="D169" s="13" t="s">
        <v>18</v>
      </c>
      <c r="E169" s="14" t="s">
        <v>1596</v>
      </c>
      <c r="F169" s="14" t="s">
        <v>35</v>
      </c>
      <c r="G169" s="13"/>
      <c r="H169" s="14">
        <f t="shared" si="4"/>
        <v>1</v>
      </c>
      <c r="I169" s="14">
        <v>1</v>
      </c>
      <c r="J169" s="14">
        <v>1</v>
      </c>
      <c r="K169" s="13" t="s">
        <v>1593</v>
      </c>
      <c r="L169" s="15" t="s">
        <v>429</v>
      </c>
      <c r="M169" s="15">
        <v>9872</v>
      </c>
      <c r="N169" s="15">
        <v>7173</v>
      </c>
      <c r="O169" s="15">
        <v>298720</v>
      </c>
      <c r="P169" s="15">
        <v>671730</v>
      </c>
      <c r="Q169" s="15"/>
    </row>
    <row r="170" spans="1:17" ht="33.75" x14ac:dyDescent="0.25">
      <c r="A170" s="11" t="s">
        <v>1349</v>
      </c>
      <c r="B170" s="13" t="s">
        <v>718</v>
      </c>
      <c r="C170" s="10" t="s">
        <v>738</v>
      </c>
      <c r="D170" s="13" t="s">
        <v>741</v>
      </c>
      <c r="E170" s="14" t="s">
        <v>718</v>
      </c>
      <c r="F170" s="14" t="s">
        <v>739</v>
      </c>
      <c r="G170" s="13"/>
      <c r="H170" s="14">
        <f t="shared" si="4"/>
        <v>1</v>
      </c>
      <c r="I170" s="14">
        <v>1</v>
      </c>
      <c r="J170" s="14">
        <v>1</v>
      </c>
      <c r="K170" s="13" t="s">
        <v>1195</v>
      </c>
      <c r="L170" s="15" t="s">
        <v>740</v>
      </c>
      <c r="M170" s="15">
        <v>277</v>
      </c>
      <c r="N170" s="15">
        <v>688</v>
      </c>
      <c r="O170" s="15">
        <v>227700</v>
      </c>
      <c r="P170" s="15">
        <v>468800</v>
      </c>
      <c r="Q170" s="15"/>
    </row>
    <row r="171" spans="1:17" ht="22.5" x14ac:dyDescent="0.25">
      <c r="A171" s="11" t="s">
        <v>1349</v>
      </c>
      <c r="B171" s="13" t="s">
        <v>186</v>
      </c>
      <c r="C171" s="10" t="s">
        <v>1712</v>
      </c>
      <c r="D171" s="13" t="s">
        <v>496</v>
      </c>
      <c r="E171" s="14" t="s">
        <v>190</v>
      </c>
      <c r="F171" s="14" t="s">
        <v>56</v>
      </c>
      <c r="G171" s="13">
        <v>1</v>
      </c>
      <c r="H171" s="14">
        <f t="shared" si="4"/>
        <v>1</v>
      </c>
      <c r="J171" s="14">
        <v>1</v>
      </c>
      <c r="K171" s="13" t="s">
        <v>1706</v>
      </c>
      <c r="L171" s="15" t="s">
        <v>164</v>
      </c>
      <c r="M171" s="15">
        <v>968</v>
      </c>
      <c r="N171" s="15">
        <v>757</v>
      </c>
      <c r="O171" s="15">
        <v>296800</v>
      </c>
      <c r="P171" s="15">
        <v>375700</v>
      </c>
      <c r="Q171" s="15"/>
    </row>
    <row r="172" spans="1:17" x14ac:dyDescent="0.25">
      <c r="A172" s="11" t="s">
        <v>1349</v>
      </c>
      <c r="B172" s="13" t="s">
        <v>186</v>
      </c>
      <c r="C172" s="10" t="s">
        <v>553</v>
      </c>
      <c r="D172" s="13" t="s">
        <v>90</v>
      </c>
      <c r="E172" s="14" t="s">
        <v>554</v>
      </c>
      <c r="F172" s="14" t="s">
        <v>56</v>
      </c>
      <c r="G172" s="13">
        <v>1</v>
      </c>
      <c r="H172" s="14">
        <f t="shared" si="4"/>
        <v>1</v>
      </c>
      <c r="J172" s="14">
        <v>1</v>
      </c>
      <c r="K172" s="13" t="s">
        <v>1706</v>
      </c>
      <c r="L172" s="15" t="s">
        <v>189</v>
      </c>
      <c r="M172" s="15">
        <v>2434</v>
      </c>
      <c r="N172" s="15">
        <v>6393</v>
      </c>
      <c r="O172" s="15">
        <v>324340</v>
      </c>
      <c r="P172" s="15">
        <v>363930</v>
      </c>
      <c r="Q172" s="15"/>
    </row>
    <row r="173" spans="1:17" x14ac:dyDescent="0.25">
      <c r="A173" s="11" t="s">
        <v>1349</v>
      </c>
      <c r="B173" s="13" t="s">
        <v>55</v>
      </c>
      <c r="C173" s="10" t="s">
        <v>182</v>
      </c>
      <c r="D173" s="13" t="s">
        <v>39</v>
      </c>
      <c r="E173" s="14" t="s">
        <v>183</v>
      </c>
      <c r="F173" s="14" t="s">
        <v>56</v>
      </c>
      <c r="G173" s="13"/>
      <c r="H173" s="14">
        <f t="shared" si="4"/>
        <v>1</v>
      </c>
      <c r="I173" s="14">
        <v>1</v>
      </c>
      <c r="J173" s="14">
        <v>1</v>
      </c>
      <c r="K173" s="13" t="s">
        <v>1195</v>
      </c>
      <c r="L173" s="15" t="s">
        <v>184</v>
      </c>
      <c r="M173" s="15">
        <v>7373</v>
      </c>
      <c r="N173" s="15">
        <v>2509</v>
      </c>
      <c r="O173" s="15">
        <v>173730</v>
      </c>
      <c r="P173" s="15">
        <v>225090</v>
      </c>
      <c r="Q173" s="15"/>
    </row>
    <row r="174" spans="1:17" x14ac:dyDescent="0.25">
      <c r="A174" s="11" t="s">
        <v>1349</v>
      </c>
      <c r="B174" s="13" t="s">
        <v>55</v>
      </c>
      <c r="C174" s="10" t="s">
        <v>150</v>
      </c>
      <c r="D174" s="13" t="s">
        <v>39</v>
      </c>
      <c r="E174" s="14" t="s">
        <v>152</v>
      </c>
      <c r="F174" s="14" t="s">
        <v>56</v>
      </c>
      <c r="G174" s="13"/>
      <c r="H174" s="14">
        <f t="shared" si="4"/>
        <v>4</v>
      </c>
      <c r="I174" s="14">
        <v>4</v>
      </c>
      <c r="J174" s="14">
        <v>4</v>
      </c>
      <c r="K174" s="13" t="s">
        <v>1456</v>
      </c>
      <c r="L174" s="15" t="s">
        <v>153</v>
      </c>
      <c r="M174" s="15">
        <v>2842</v>
      </c>
      <c r="N174" s="15">
        <v>914</v>
      </c>
      <c r="O174" s="15">
        <v>228420</v>
      </c>
      <c r="P174" s="15">
        <v>209140</v>
      </c>
      <c r="Q174" s="15"/>
    </row>
    <row r="175" spans="1:17" ht="21.75" customHeight="1" x14ac:dyDescent="0.25">
      <c r="A175" s="11" t="s">
        <v>1349</v>
      </c>
      <c r="B175" s="13" t="s">
        <v>593</v>
      </c>
      <c r="C175" s="10" t="s">
        <v>402</v>
      </c>
      <c r="D175" s="13" t="s">
        <v>1207</v>
      </c>
      <c r="E175" s="14" t="s">
        <v>623</v>
      </c>
      <c r="F175" s="14" t="s">
        <v>56</v>
      </c>
      <c r="G175" s="13"/>
      <c r="H175" s="14">
        <f t="shared" si="4"/>
        <v>1</v>
      </c>
      <c r="I175" s="14">
        <v>1</v>
      </c>
      <c r="J175" s="14">
        <v>1</v>
      </c>
      <c r="K175" s="13" t="s">
        <v>1195</v>
      </c>
      <c r="L175" s="15" t="s">
        <v>596</v>
      </c>
      <c r="M175" s="15">
        <v>8325</v>
      </c>
      <c r="N175" s="15">
        <v>7960</v>
      </c>
      <c r="O175" s="15">
        <v>283250</v>
      </c>
      <c r="P175" s="15">
        <v>179600</v>
      </c>
      <c r="Q175" s="15"/>
    </row>
    <row r="176" spans="1:17" x14ac:dyDescent="0.25">
      <c r="A176" s="11" t="s">
        <v>1349</v>
      </c>
      <c r="B176" s="13" t="s">
        <v>161</v>
      </c>
      <c r="C176" s="10" t="s">
        <v>1600</v>
      </c>
      <c r="D176" s="13" t="s">
        <v>90</v>
      </c>
      <c r="E176" s="14" t="s">
        <v>301</v>
      </c>
      <c r="F176" s="14" t="s">
        <v>56</v>
      </c>
      <c r="G176" s="13"/>
      <c r="H176" s="14">
        <f t="shared" si="4"/>
        <v>3</v>
      </c>
      <c r="I176" s="14">
        <v>3</v>
      </c>
      <c r="J176" s="14">
        <v>3</v>
      </c>
      <c r="K176" s="13" t="s">
        <v>1767</v>
      </c>
      <c r="L176" s="15" t="s">
        <v>164</v>
      </c>
      <c r="M176" s="15">
        <v>36111</v>
      </c>
      <c r="N176" s="15">
        <v>84978</v>
      </c>
      <c r="O176" s="15">
        <v>236111</v>
      </c>
      <c r="P176" s="15">
        <v>384978</v>
      </c>
      <c r="Q176" s="15"/>
    </row>
    <row r="177" spans="1:17" x14ac:dyDescent="0.25">
      <c r="A177" s="11" t="s">
        <v>1349</v>
      </c>
      <c r="B177" s="13" t="s">
        <v>161</v>
      </c>
      <c r="C177" s="10" t="s">
        <v>1713</v>
      </c>
      <c r="D177" s="13" t="s">
        <v>1668</v>
      </c>
      <c r="E177" s="14" t="s">
        <v>1343</v>
      </c>
      <c r="F177" s="14" t="s">
        <v>56</v>
      </c>
      <c r="G177" s="13">
        <v>1</v>
      </c>
      <c r="H177" s="14">
        <f t="shared" si="4"/>
        <v>1</v>
      </c>
      <c r="J177" s="14">
        <v>1</v>
      </c>
      <c r="K177" s="13" t="s">
        <v>1706</v>
      </c>
      <c r="L177" s="15" t="s">
        <v>164</v>
      </c>
      <c r="M177" s="15">
        <v>595</v>
      </c>
      <c r="N177" s="15">
        <v>485</v>
      </c>
      <c r="O177" s="15">
        <v>259500</v>
      </c>
      <c r="P177" s="15">
        <v>348500</v>
      </c>
      <c r="Q177" s="15"/>
    </row>
    <row r="178" spans="1:17" ht="22.5" x14ac:dyDescent="0.25">
      <c r="A178" s="11" t="s">
        <v>1349</v>
      </c>
      <c r="B178" s="13" t="s">
        <v>161</v>
      </c>
      <c r="C178" s="10" t="s">
        <v>162</v>
      </c>
      <c r="D178" s="13" t="s">
        <v>825</v>
      </c>
      <c r="E178" s="14" t="s">
        <v>826</v>
      </c>
      <c r="F178" s="14" t="s">
        <v>56</v>
      </c>
      <c r="G178" s="13">
        <v>1</v>
      </c>
      <c r="H178" s="14">
        <f t="shared" si="4"/>
        <v>2</v>
      </c>
      <c r="I178" s="14">
        <v>1</v>
      </c>
      <c r="J178" s="14">
        <v>2</v>
      </c>
      <c r="K178" s="13" t="s">
        <v>1436</v>
      </c>
      <c r="L178" s="15" t="s">
        <v>164</v>
      </c>
      <c r="M178" s="15">
        <v>717</v>
      </c>
      <c r="N178" s="15">
        <v>749</v>
      </c>
      <c r="O178" s="15">
        <v>271700</v>
      </c>
      <c r="P178" s="15">
        <v>374900</v>
      </c>
      <c r="Q178" s="15"/>
    </row>
    <row r="179" spans="1:17" x14ac:dyDescent="0.25">
      <c r="A179" s="11" t="s">
        <v>1349</v>
      </c>
      <c r="B179" s="13" t="s">
        <v>161</v>
      </c>
      <c r="C179" s="10" t="s">
        <v>181</v>
      </c>
      <c r="D179" s="13" t="s">
        <v>39</v>
      </c>
      <c r="E179" s="14" t="s">
        <v>246</v>
      </c>
      <c r="F179" s="14" t="s">
        <v>56</v>
      </c>
      <c r="G179" s="13"/>
      <c r="H179" s="14">
        <f t="shared" si="4"/>
        <v>2</v>
      </c>
      <c r="I179" s="14">
        <v>2</v>
      </c>
      <c r="J179" s="14">
        <v>2</v>
      </c>
      <c r="K179" s="13" t="s">
        <v>1487</v>
      </c>
      <c r="L179" s="15" t="s">
        <v>164</v>
      </c>
      <c r="M179" s="15">
        <v>5938</v>
      </c>
      <c r="N179" s="15">
        <v>7104</v>
      </c>
      <c r="O179" s="15">
        <v>259380</v>
      </c>
      <c r="P179" s="15">
        <v>371040</v>
      </c>
      <c r="Q179" s="15"/>
    </row>
    <row r="180" spans="1:17" x14ac:dyDescent="0.25">
      <c r="A180" s="11" t="s">
        <v>1349</v>
      </c>
      <c r="B180" s="13" t="s">
        <v>161</v>
      </c>
      <c r="C180" s="10" t="s">
        <v>1696</v>
      </c>
      <c r="D180" s="13" t="s">
        <v>1668</v>
      </c>
      <c r="E180" s="14" t="s">
        <v>301</v>
      </c>
      <c r="F180" s="14" t="s">
        <v>56</v>
      </c>
      <c r="G180" s="13">
        <v>1</v>
      </c>
      <c r="H180" s="14">
        <f t="shared" si="4"/>
        <v>1</v>
      </c>
      <c r="J180" s="14">
        <v>1</v>
      </c>
      <c r="K180" s="13" t="s">
        <v>1690</v>
      </c>
      <c r="L180" s="15" t="s">
        <v>164</v>
      </c>
      <c r="M180" s="15">
        <v>555</v>
      </c>
      <c r="N180" s="15">
        <v>725</v>
      </c>
      <c r="O180" s="15">
        <v>255500</v>
      </c>
      <c r="P180" s="15">
        <v>372500</v>
      </c>
      <c r="Q180" s="15"/>
    </row>
    <row r="181" spans="1:17" x14ac:dyDescent="0.25">
      <c r="A181" s="11" t="s">
        <v>1349</v>
      </c>
      <c r="B181" s="13" t="s">
        <v>66</v>
      </c>
      <c r="C181" s="10" t="s">
        <v>1441</v>
      </c>
      <c r="D181" s="13" t="s">
        <v>39</v>
      </c>
      <c r="E181" s="14" t="s">
        <v>274</v>
      </c>
      <c r="F181" s="14" t="s">
        <v>56</v>
      </c>
      <c r="G181" s="13"/>
      <c r="H181" s="14">
        <f t="shared" si="4"/>
        <v>1</v>
      </c>
      <c r="I181" s="14">
        <v>1</v>
      </c>
      <c r="J181" s="14">
        <v>1</v>
      </c>
      <c r="K181" s="13" t="s">
        <v>1195</v>
      </c>
      <c r="L181" s="15" t="s">
        <v>113</v>
      </c>
      <c r="M181" s="15">
        <v>250</v>
      </c>
      <c r="N181" s="15">
        <v>981</v>
      </c>
      <c r="O181" s="15">
        <v>302500</v>
      </c>
      <c r="P181" s="15">
        <v>209810</v>
      </c>
      <c r="Q181" s="15"/>
    </row>
    <row r="182" spans="1:17" x14ac:dyDescent="0.25">
      <c r="A182" s="11" t="s">
        <v>1349</v>
      </c>
      <c r="B182" s="13" t="s">
        <v>66</v>
      </c>
      <c r="C182" s="10" t="s">
        <v>1743</v>
      </c>
      <c r="D182" s="13" t="s">
        <v>90</v>
      </c>
      <c r="E182" s="14" t="s">
        <v>190</v>
      </c>
      <c r="F182" s="14" t="s">
        <v>56</v>
      </c>
      <c r="G182" s="13"/>
      <c r="H182" s="14">
        <f>G182+I182</f>
        <v>2</v>
      </c>
      <c r="I182" s="14">
        <v>2</v>
      </c>
      <c r="J182" s="14">
        <v>2</v>
      </c>
      <c r="K182" s="13" t="s">
        <v>1744</v>
      </c>
      <c r="L182" s="15" t="s">
        <v>189</v>
      </c>
      <c r="M182" s="15">
        <v>1895</v>
      </c>
      <c r="N182" s="15">
        <v>3053</v>
      </c>
      <c r="O182" s="15">
        <v>318950</v>
      </c>
      <c r="P182" s="15">
        <v>330530</v>
      </c>
      <c r="Q182" s="15"/>
    </row>
    <row r="183" spans="1:17" ht="22.5" x14ac:dyDescent="0.25">
      <c r="A183" s="11" t="s">
        <v>1349</v>
      </c>
      <c r="B183" s="13" t="s">
        <v>778</v>
      </c>
      <c r="C183" s="10" t="s">
        <v>1446</v>
      </c>
      <c r="D183" s="13" t="s">
        <v>780</v>
      </c>
      <c r="E183" s="14" t="s">
        <v>778</v>
      </c>
      <c r="F183" s="13" t="s">
        <v>776</v>
      </c>
      <c r="G183" s="13"/>
      <c r="H183" s="14">
        <f t="shared" si="4"/>
        <v>2</v>
      </c>
      <c r="I183" s="14">
        <v>2</v>
      </c>
      <c r="J183" s="14">
        <v>2</v>
      </c>
      <c r="K183" s="13" t="s">
        <v>1477</v>
      </c>
      <c r="L183" s="15" t="s">
        <v>782</v>
      </c>
      <c r="M183" s="15">
        <v>290</v>
      </c>
      <c r="N183" s="15">
        <v>794</v>
      </c>
      <c r="O183" s="45"/>
      <c r="P183" s="45"/>
      <c r="Q183" s="15"/>
    </row>
    <row r="184" spans="1:17" ht="22.5" x14ac:dyDescent="0.25">
      <c r="A184" s="11" t="s">
        <v>1349</v>
      </c>
      <c r="B184" s="13" t="s">
        <v>778</v>
      </c>
      <c r="C184" s="10" t="s">
        <v>1644</v>
      </c>
      <c r="D184" s="13" t="s">
        <v>1645</v>
      </c>
      <c r="E184" s="14" t="s">
        <v>778</v>
      </c>
      <c r="F184" s="13" t="s">
        <v>776</v>
      </c>
      <c r="G184" s="13"/>
      <c r="H184" s="14">
        <f t="shared" si="4"/>
        <v>1</v>
      </c>
      <c r="I184" s="14">
        <v>1</v>
      </c>
      <c r="J184" s="14">
        <v>1</v>
      </c>
      <c r="K184" s="13" t="s">
        <v>1639</v>
      </c>
      <c r="L184" s="15" t="s">
        <v>781</v>
      </c>
      <c r="M184" s="15">
        <v>82</v>
      </c>
      <c r="N184" s="15">
        <v>250</v>
      </c>
      <c r="O184" s="45"/>
      <c r="P184" s="45"/>
      <c r="Q184" s="15"/>
    </row>
    <row r="185" spans="1:17" ht="22.5" x14ac:dyDescent="0.25">
      <c r="A185" s="11" t="s">
        <v>1349</v>
      </c>
      <c r="B185" s="13" t="s">
        <v>778</v>
      </c>
      <c r="C185" s="10" t="s">
        <v>1405</v>
      </c>
      <c r="D185" s="13" t="s">
        <v>39</v>
      </c>
      <c r="E185" s="14" t="s">
        <v>1406</v>
      </c>
      <c r="F185" s="13" t="s">
        <v>776</v>
      </c>
      <c r="G185" s="13">
        <v>7</v>
      </c>
      <c r="H185" s="14">
        <f t="shared" si="4"/>
        <v>8</v>
      </c>
      <c r="I185" s="14">
        <v>1</v>
      </c>
      <c r="J185" s="14">
        <v>4</v>
      </c>
      <c r="K185" s="13" t="s">
        <v>1458</v>
      </c>
      <c r="L185" s="15" t="s">
        <v>781</v>
      </c>
      <c r="M185" s="15">
        <v>1908</v>
      </c>
      <c r="N185" s="15">
        <v>4180</v>
      </c>
      <c r="O185" s="45"/>
      <c r="P185" s="45"/>
      <c r="Q185" s="15"/>
    </row>
    <row r="186" spans="1:17" ht="22.5" x14ac:dyDescent="0.25">
      <c r="A186" s="11" t="s">
        <v>1349</v>
      </c>
      <c r="B186" s="13" t="s">
        <v>778</v>
      </c>
      <c r="C186" s="10" t="s">
        <v>1431</v>
      </c>
      <c r="D186" s="13" t="s">
        <v>39</v>
      </c>
      <c r="E186" s="14" t="s">
        <v>1432</v>
      </c>
      <c r="F186" s="13" t="s">
        <v>776</v>
      </c>
      <c r="G186" s="13">
        <v>3</v>
      </c>
      <c r="H186" s="14">
        <f t="shared" si="4"/>
        <v>3</v>
      </c>
      <c r="J186" s="14">
        <v>2</v>
      </c>
      <c r="K186" s="13" t="s">
        <v>1184</v>
      </c>
      <c r="L186" s="15" t="s">
        <v>781</v>
      </c>
      <c r="M186" s="15">
        <v>346</v>
      </c>
      <c r="N186" s="15">
        <v>43</v>
      </c>
      <c r="O186" s="45"/>
      <c r="P186" s="45"/>
      <c r="Q186" s="15"/>
    </row>
    <row r="187" spans="1:17" ht="22.5" x14ac:dyDescent="0.25">
      <c r="A187" s="11" t="s">
        <v>1349</v>
      </c>
      <c r="B187" s="13" t="s">
        <v>778</v>
      </c>
      <c r="C187" s="10" t="s">
        <v>777</v>
      </c>
      <c r="D187" s="13" t="s">
        <v>1282</v>
      </c>
      <c r="E187" s="14" t="s">
        <v>778</v>
      </c>
      <c r="F187" s="13" t="s">
        <v>776</v>
      </c>
      <c r="G187" s="13">
        <v>13</v>
      </c>
      <c r="H187" s="14">
        <f t="shared" si="4"/>
        <v>14</v>
      </c>
      <c r="I187" s="14">
        <v>1</v>
      </c>
      <c r="J187" s="14">
        <v>10</v>
      </c>
      <c r="K187" s="13" t="s">
        <v>1409</v>
      </c>
      <c r="L187" s="15" t="s">
        <v>782</v>
      </c>
      <c r="M187" s="15">
        <v>2478</v>
      </c>
      <c r="N187" s="15">
        <v>8284</v>
      </c>
      <c r="O187" s="15">
        <v>324780</v>
      </c>
      <c r="P187" s="15">
        <v>382840</v>
      </c>
      <c r="Q187" s="15"/>
    </row>
    <row r="188" spans="1:17" ht="22.5" x14ac:dyDescent="0.25">
      <c r="A188" s="11" t="s">
        <v>1349</v>
      </c>
      <c r="B188" s="13" t="s">
        <v>778</v>
      </c>
      <c r="C188" s="10" t="s">
        <v>1366</v>
      </c>
      <c r="D188" s="13" t="s">
        <v>1447</v>
      </c>
      <c r="E188" s="14" t="s">
        <v>1367</v>
      </c>
      <c r="F188" s="13" t="s">
        <v>776</v>
      </c>
      <c r="G188" s="13"/>
      <c r="H188" s="14">
        <f t="shared" si="4"/>
        <v>2</v>
      </c>
      <c r="I188" s="14">
        <v>2</v>
      </c>
      <c r="J188" s="14">
        <v>2</v>
      </c>
      <c r="K188" s="13" t="s">
        <v>1460</v>
      </c>
      <c r="L188" s="15" t="s">
        <v>781</v>
      </c>
      <c r="M188" s="15">
        <v>3294</v>
      </c>
      <c r="N188" s="15">
        <v>1501</v>
      </c>
      <c r="O188" s="15">
        <v>332940</v>
      </c>
      <c r="P188" s="15">
        <v>415010</v>
      </c>
      <c r="Q188" s="15"/>
    </row>
    <row r="189" spans="1:17" ht="22.5" x14ac:dyDescent="0.25">
      <c r="A189" s="11" t="s">
        <v>1349</v>
      </c>
      <c r="B189" s="13" t="s">
        <v>778</v>
      </c>
      <c r="C189" s="10" t="s">
        <v>1364</v>
      </c>
      <c r="D189" s="13" t="s">
        <v>1374</v>
      </c>
      <c r="E189" s="14" t="s">
        <v>778</v>
      </c>
      <c r="F189" s="13" t="s">
        <v>776</v>
      </c>
      <c r="G189" s="13">
        <v>1</v>
      </c>
      <c r="H189" s="14">
        <f t="shared" si="4"/>
        <v>2</v>
      </c>
      <c r="I189" s="14">
        <v>1</v>
      </c>
      <c r="J189" s="14">
        <v>2</v>
      </c>
      <c r="K189" s="13" t="s">
        <v>1434</v>
      </c>
      <c r="L189" s="15" t="s">
        <v>1374</v>
      </c>
      <c r="Q189" s="15"/>
    </row>
    <row r="190" spans="1:17" ht="22.5" x14ac:dyDescent="0.25">
      <c r="A190" s="11" t="s">
        <v>1349</v>
      </c>
      <c r="B190" s="13" t="s">
        <v>778</v>
      </c>
      <c r="C190" s="10" t="s">
        <v>1287</v>
      </c>
      <c r="D190" s="13" t="s">
        <v>151</v>
      </c>
      <c r="E190" s="14" t="s">
        <v>778</v>
      </c>
      <c r="F190" s="13" t="s">
        <v>776</v>
      </c>
      <c r="G190" s="13">
        <v>2</v>
      </c>
      <c r="H190" s="14">
        <f t="shared" si="4"/>
        <v>2</v>
      </c>
      <c r="J190" s="14">
        <v>2</v>
      </c>
      <c r="K190" s="13" t="s">
        <v>1436</v>
      </c>
      <c r="L190" s="15" t="s">
        <v>781</v>
      </c>
      <c r="M190" s="15">
        <v>148</v>
      </c>
      <c r="N190" s="15">
        <v>510</v>
      </c>
      <c r="O190" s="15">
        <v>314800</v>
      </c>
      <c r="P190" s="15">
        <v>451000</v>
      </c>
      <c r="Q190" s="15"/>
    </row>
    <row r="191" spans="1:17" ht="22.5" x14ac:dyDescent="0.25">
      <c r="A191" s="11" t="s">
        <v>1349</v>
      </c>
      <c r="B191" s="13" t="s">
        <v>778</v>
      </c>
      <c r="C191" s="10" t="s">
        <v>943</v>
      </c>
      <c r="D191" s="13" t="s">
        <v>151</v>
      </c>
      <c r="E191" s="14" t="s">
        <v>778</v>
      </c>
      <c r="F191" s="13" t="s">
        <v>776</v>
      </c>
      <c r="G191" s="13">
        <v>3</v>
      </c>
      <c r="H191" s="14">
        <f t="shared" si="4"/>
        <v>3</v>
      </c>
      <c r="J191" s="14">
        <v>3</v>
      </c>
      <c r="K191" s="13" t="s">
        <v>1435</v>
      </c>
      <c r="L191" s="15" t="s">
        <v>781</v>
      </c>
      <c r="M191" s="15">
        <v>193</v>
      </c>
      <c r="N191" s="15">
        <v>268</v>
      </c>
      <c r="O191" s="15">
        <v>319300</v>
      </c>
      <c r="P191" s="15">
        <v>426800</v>
      </c>
      <c r="Q191" s="15"/>
    </row>
    <row r="192" spans="1:17" ht="22.5" x14ac:dyDescent="0.25">
      <c r="A192" s="11" t="s">
        <v>1349</v>
      </c>
      <c r="B192" s="13" t="s">
        <v>1444</v>
      </c>
      <c r="C192" s="10" t="s">
        <v>1445</v>
      </c>
      <c r="D192" s="13" t="s">
        <v>780</v>
      </c>
      <c r="E192" s="14" t="s">
        <v>1444</v>
      </c>
      <c r="F192" s="13" t="s">
        <v>776</v>
      </c>
      <c r="G192" s="13"/>
      <c r="H192" s="14">
        <f t="shared" si="4"/>
        <v>3</v>
      </c>
      <c r="I192" s="14">
        <v>3</v>
      </c>
      <c r="J192" s="14">
        <v>3</v>
      </c>
      <c r="K192" s="13" t="s">
        <v>1476</v>
      </c>
      <c r="L192" s="15" t="s">
        <v>992</v>
      </c>
      <c r="M192" s="15">
        <v>905</v>
      </c>
      <c r="N192" s="15">
        <v>178</v>
      </c>
      <c r="O192" s="45"/>
      <c r="P192" s="45"/>
      <c r="Q192" s="15"/>
    </row>
    <row r="193" spans="1:17" ht="22.5" x14ac:dyDescent="0.25">
      <c r="A193" s="11" t="s">
        <v>1349</v>
      </c>
      <c r="B193" s="13" t="s">
        <v>1444</v>
      </c>
      <c r="C193" s="10" t="s">
        <v>1449</v>
      </c>
      <c r="D193" s="13" t="s">
        <v>780</v>
      </c>
      <c r="E193" s="14" t="s">
        <v>1448</v>
      </c>
      <c r="F193" s="13" t="s">
        <v>776</v>
      </c>
      <c r="G193" s="13"/>
      <c r="H193" s="14">
        <f t="shared" si="4"/>
        <v>2</v>
      </c>
      <c r="I193" s="14">
        <v>2</v>
      </c>
      <c r="J193" s="14">
        <v>2</v>
      </c>
      <c r="K193" s="13" t="s">
        <v>1477</v>
      </c>
      <c r="L193" s="15" t="s">
        <v>782</v>
      </c>
      <c r="M193" s="15">
        <v>66</v>
      </c>
      <c r="N193" s="15">
        <v>240</v>
      </c>
      <c r="O193" s="45"/>
      <c r="P193" s="45"/>
      <c r="Q193" s="15"/>
    </row>
    <row r="194" spans="1:17" ht="22.5" x14ac:dyDescent="0.25">
      <c r="A194" s="11" t="s">
        <v>1349</v>
      </c>
      <c r="B194" s="13" t="s">
        <v>1444</v>
      </c>
      <c r="C194" s="10" t="s">
        <v>1773</v>
      </c>
      <c r="D194" s="13" t="s">
        <v>39</v>
      </c>
      <c r="E194" s="14" t="s">
        <v>1774</v>
      </c>
      <c r="F194" s="13" t="s">
        <v>776</v>
      </c>
      <c r="G194" s="13"/>
      <c r="H194" s="14">
        <f t="shared" si="4"/>
        <v>1</v>
      </c>
      <c r="I194" s="14">
        <v>1</v>
      </c>
      <c r="J194" s="14">
        <v>1</v>
      </c>
      <c r="K194" s="13" t="s">
        <v>1770</v>
      </c>
      <c r="L194" s="15" t="s">
        <v>992</v>
      </c>
      <c r="M194" s="15">
        <v>938</v>
      </c>
      <c r="N194" s="15">
        <v>640</v>
      </c>
      <c r="O194" s="45"/>
      <c r="P194" s="45"/>
      <c r="Q194" s="15"/>
    </row>
    <row r="195" spans="1:17" ht="22.5" x14ac:dyDescent="0.25">
      <c r="A195" s="11" t="s">
        <v>1349</v>
      </c>
      <c r="B195" s="13" t="s">
        <v>1631</v>
      </c>
      <c r="C195" s="10" t="s">
        <v>1632</v>
      </c>
      <c r="D195" s="13" t="s">
        <v>1587</v>
      </c>
      <c r="E195" s="14" t="s">
        <v>1633</v>
      </c>
      <c r="F195" s="13" t="s">
        <v>776</v>
      </c>
      <c r="G195" s="13"/>
      <c r="H195" s="14">
        <f t="shared" si="4"/>
        <v>1</v>
      </c>
      <c r="I195" s="14">
        <v>1</v>
      </c>
      <c r="J195" s="14">
        <v>1</v>
      </c>
      <c r="K195" s="13" t="s">
        <v>1635</v>
      </c>
      <c r="L195" s="15" t="s">
        <v>992</v>
      </c>
      <c r="M195" s="15">
        <v>81</v>
      </c>
      <c r="N195" s="15">
        <v>381</v>
      </c>
      <c r="O195" s="45"/>
      <c r="P195" s="45"/>
      <c r="Q195" s="15"/>
    </row>
    <row r="196" spans="1:17" ht="22.5" x14ac:dyDescent="0.25">
      <c r="A196" s="11" t="s">
        <v>1349</v>
      </c>
      <c r="B196" s="13" t="s">
        <v>1099</v>
      </c>
      <c r="C196" s="10" t="s">
        <v>1398</v>
      </c>
      <c r="D196" s="13" t="s">
        <v>41</v>
      </c>
      <c r="E196" s="14" t="s">
        <v>1292</v>
      </c>
      <c r="F196" s="13" t="s">
        <v>776</v>
      </c>
      <c r="G196" s="13">
        <v>3</v>
      </c>
      <c r="H196" s="14">
        <f t="shared" si="4"/>
        <v>3</v>
      </c>
      <c r="J196" s="14">
        <v>3</v>
      </c>
      <c r="K196" s="13" t="s">
        <v>1411</v>
      </c>
      <c r="L196" s="15" t="s">
        <v>782</v>
      </c>
      <c r="M196" s="15">
        <v>531</v>
      </c>
      <c r="N196" s="15">
        <v>448</v>
      </c>
      <c r="O196" s="45"/>
      <c r="P196" s="45"/>
      <c r="Q196" s="15"/>
    </row>
    <row r="197" spans="1:17" ht="22.5" x14ac:dyDescent="0.25">
      <c r="A197" s="11" t="s">
        <v>1349</v>
      </c>
      <c r="B197" s="13" t="s">
        <v>1099</v>
      </c>
      <c r="C197" s="10" t="s">
        <v>1674</v>
      </c>
      <c r="D197" s="13" t="s">
        <v>1668</v>
      </c>
      <c r="E197" s="14" t="s">
        <v>1675</v>
      </c>
      <c r="F197" s="13" t="s">
        <v>776</v>
      </c>
      <c r="G197" s="13">
        <v>1</v>
      </c>
      <c r="H197" s="14">
        <f t="shared" si="4"/>
        <v>1</v>
      </c>
      <c r="J197" s="14">
        <v>1</v>
      </c>
      <c r="K197" s="13" t="s">
        <v>1676</v>
      </c>
      <c r="L197" s="15" t="s">
        <v>782</v>
      </c>
      <c r="M197" s="15">
        <v>164</v>
      </c>
      <c r="N197" s="15">
        <v>260</v>
      </c>
      <c r="O197" s="45"/>
      <c r="P197" s="45"/>
      <c r="Q197" s="15"/>
    </row>
    <row r="198" spans="1:17" ht="22.5" x14ac:dyDescent="0.25">
      <c r="A198" s="11" t="s">
        <v>1349</v>
      </c>
      <c r="B198" s="13" t="s">
        <v>1099</v>
      </c>
      <c r="C198" s="10" t="s">
        <v>1292</v>
      </c>
      <c r="D198" s="13" t="s">
        <v>39</v>
      </c>
      <c r="E198" s="14" t="s">
        <v>1292</v>
      </c>
      <c r="F198" s="13" t="s">
        <v>776</v>
      </c>
      <c r="G198" s="13"/>
      <c r="H198" s="14">
        <f t="shared" si="4"/>
        <v>2</v>
      </c>
      <c r="I198" s="14">
        <v>2</v>
      </c>
      <c r="J198" s="14">
        <v>2</v>
      </c>
      <c r="K198" s="13" t="s">
        <v>1750</v>
      </c>
      <c r="L198" s="15" t="s">
        <v>782</v>
      </c>
      <c r="M198" s="15">
        <v>486</v>
      </c>
      <c r="N198" s="15">
        <v>450</v>
      </c>
      <c r="O198" s="45">
        <v>348600</v>
      </c>
      <c r="P198" s="45">
        <v>345000</v>
      </c>
      <c r="Q198" s="15"/>
    </row>
    <row r="199" spans="1:17" ht="22.5" x14ac:dyDescent="0.25">
      <c r="A199" s="11" t="s">
        <v>1349</v>
      </c>
      <c r="B199" s="13" t="s">
        <v>1099</v>
      </c>
      <c r="C199" s="10" t="s">
        <v>1404</v>
      </c>
      <c r="D199" s="13" t="s">
        <v>39</v>
      </c>
      <c r="E199" s="14" t="s">
        <v>1292</v>
      </c>
      <c r="F199" s="13" t="s">
        <v>776</v>
      </c>
      <c r="G199" s="13">
        <v>4</v>
      </c>
      <c r="H199" s="14">
        <f t="shared" si="4"/>
        <v>4</v>
      </c>
      <c r="J199" s="14">
        <v>3</v>
      </c>
      <c r="K199" s="13" t="s">
        <v>1413</v>
      </c>
      <c r="L199" s="15" t="s">
        <v>782</v>
      </c>
      <c r="M199" s="15">
        <v>409</v>
      </c>
      <c r="N199" s="15">
        <v>373</v>
      </c>
      <c r="O199" s="45"/>
      <c r="P199" s="45"/>
      <c r="Q199" s="15"/>
    </row>
    <row r="200" spans="1:17" ht="22.5" x14ac:dyDescent="0.25">
      <c r="A200" s="11" t="s">
        <v>1349</v>
      </c>
      <c r="B200" s="13" t="s">
        <v>1099</v>
      </c>
      <c r="C200" s="10" t="s">
        <v>1399</v>
      </c>
      <c r="D200" s="13" t="s">
        <v>39</v>
      </c>
      <c r="E200" s="14" t="s">
        <v>1292</v>
      </c>
      <c r="F200" s="13" t="s">
        <v>776</v>
      </c>
      <c r="G200" s="13">
        <v>3</v>
      </c>
      <c r="H200" s="14">
        <f t="shared" ref="H200:H241" si="5">G200+I200</f>
        <v>3</v>
      </c>
      <c r="J200" s="14">
        <v>3</v>
      </c>
      <c r="K200" s="13" t="s">
        <v>1411</v>
      </c>
      <c r="L200" s="15" t="s">
        <v>782</v>
      </c>
      <c r="M200" s="15">
        <v>414</v>
      </c>
      <c r="N200" s="15">
        <v>351</v>
      </c>
      <c r="O200" s="45"/>
      <c r="P200" s="45"/>
      <c r="Q200" s="15"/>
    </row>
    <row r="201" spans="1:17" ht="22.5" x14ac:dyDescent="0.25">
      <c r="A201" s="11" t="s">
        <v>1349</v>
      </c>
      <c r="B201" s="13" t="s">
        <v>1099</v>
      </c>
      <c r="C201" s="10" t="s">
        <v>1448</v>
      </c>
      <c r="D201" s="13" t="s">
        <v>1645</v>
      </c>
      <c r="E201" s="14" t="s">
        <v>1292</v>
      </c>
      <c r="F201" s="13" t="s">
        <v>776</v>
      </c>
      <c r="G201" s="13"/>
      <c r="H201" s="14">
        <f t="shared" si="5"/>
        <v>1</v>
      </c>
      <c r="I201" s="14">
        <v>1</v>
      </c>
      <c r="J201" s="14">
        <v>1</v>
      </c>
      <c r="K201" s="13" t="s">
        <v>1639</v>
      </c>
      <c r="L201" s="15" t="s">
        <v>782</v>
      </c>
      <c r="M201" s="15">
        <v>154</v>
      </c>
      <c r="N201" s="15">
        <v>275</v>
      </c>
      <c r="O201" s="45"/>
      <c r="P201" s="45"/>
      <c r="Q201" s="15"/>
    </row>
    <row r="202" spans="1:17" ht="22.5" x14ac:dyDescent="0.25">
      <c r="A202" s="11" t="s">
        <v>1349</v>
      </c>
      <c r="B202" s="13" t="s">
        <v>1099</v>
      </c>
      <c r="C202" s="10" t="s">
        <v>1368</v>
      </c>
      <c r="D202" s="13" t="s">
        <v>39</v>
      </c>
      <c r="E202" s="14" t="s">
        <v>1292</v>
      </c>
      <c r="F202" s="13" t="s">
        <v>776</v>
      </c>
      <c r="G202" s="13">
        <v>1</v>
      </c>
      <c r="H202" s="14">
        <f t="shared" si="5"/>
        <v>2</v>
      </c>
      <c r="I202" s="14">
        <v>1</v>
      </c>
      <c r="J202" s="14">
        <v>2</v>
      </c>
      <c r="K202" s="13" t="s">
        <v>1434</v>
      </c>
      <c r="L202" s="15" t="s">
        <v>782</v>
      </c>
      <c r="M202" s="15">
        <v>518</v>
      </c>
      <c r="N202" s="15">
        <v>661</v>
      </c>
      <c r="O202" s="15">
        <v>351800</v>
      </c>
      <c r="P202" s="15">
        <v>366100</v>
      </c>
      <c r="Q202" s="15"/>
    </row>
    <row r="203" spans="1:17" ht="22.5" x14ac:dyDescent="0.25">
      <c r="A203" s="11" t="s">
        <v>1349</v>
      </c>
      <c r="B203" s="13" t="s">
        <v>1264</v>
      </c>
      <c r="C203" s="10" t="s">
        <v>1362</v>
      </c>
      <c r="D203" s="13" t="s">
        <v>39</v>
      </c>
      <c r="E203" s="14" t="s">
        <v>1363</v>
      </c>
      <c r="F203" s="13" t="s">
        <v>776</v>
      </c>
      <c r="G203" s="13">
        <v>3</v>
      </c>
      <c r="H203" s="14">
        <f t="shared" si="5"/>
        <v>12</v>
      </c>
      <c r="I203" s="14">
        <v>9</v>
      </c>
      <c r="J203" s="14">
        <v>9</v>
      </c>
      <c r="K203" s="13" t="s">
        <v>1723</v>
      </c>
      <c r="L203" s="15" t="s">
        <v>992</v>
      </c>
      <c r="M203" s="15">
        <v>743</v>
      </c>
      <c r="N203" s="15">
        <v>837</v>
      </c>
      <c r="O203" s="15">
        <v>274300</v>
      </c>
      <c r="P203" s="15">
        <v>383700</v>
      </c>
      <c r="Q203" s="15"/>
    </row>
    <row r="204" spans="1:17" ht="22.5" x14ac:dyDescent="0.25">
      <c r="A204" s="11" t="s">
        <v>1349</v>
      </c>
      <c r="B204" s="13" t="s">
        <v>1264</v>
      </c>
      <c r="C204" s="10" t="s">
        <v>1586</v>
      </c>
      <c r="D204" s="13" t="s">
        <v>1587</v>
      </c>
      <c r="E204" s="14" t="s">
        <v>1264</v>
      </c>
      <c r="F204" s="13" t="s">
        <v>776</v>
      </c>
      <c r="G204" s="13"/>
      <c r="H204" s="14">
        <f t="shared" si="5"/>
        <v>2</v>
      </c>
      <c r="I204" s="14">
        <v>2</v>
      </c>
      <c r="J204" s="14">
        <v>2</v>
      </c>
      <c r="K204" s="13" t="s">
        <v>1588</v>
      </c>
      <c r="L204" s="15" t="s">
        <v>992</v>
      </c>
      <c r="M204" s="15">
        <v>3364</v>
      </c>
      <c r="N204" s="15">
        <v>6061</v>
      </c>
      <c r="O204" s="45"/>
      <c r="P204" s="45"/>
      <c r="Q204" s="15"/>
    </row>
    <row r="205" spans="1:17" ht="22.5" x14ac:dyDescent="0.25">
      <c r="A205" s="11" t="s">
        <v>1349</v>
      </c>
      <c r="B205" s="13" t="s">
        <v>1264</v>
      </c>
      <c r="C205" s="10" t="s">
        <v>1408</v>
      </c>
      <c r="D205" s="13" t="s">
        <v>39</v>
      </c>
      <c r="E205" s="14" t="s">
        <v>1264</v>
      </c>
      <c r="F205" s="13" t="s">
        <v>776</v>
      </c>
      <c r="G205" s="13">
        <v>1</v>
      </c>
      <c r="H205" s="14">
        <f t="shared" si="5"/>
        <v>2</v>
      </c>
      <c r="I205" s="14">
        <v>1</v>
      </c>
      <c r="J205" s="14">
        <v>2</v>
      </c>
      <c r="K205" s="13" t="s">
        <v>1459</v>
      </c>
      <c r="L205" s="45"/>
      <c r="M205" s="45"/>
      <c r="N205" s="45"/>
      <c r="O205" s="45"/>
      <c r="P205" s="45"/>
      <c r="Q205" s="15"/>
    </row>
    <row r="206" spans="1:17" ht="22.5" x14ac:dyDescent="0.25">
      <c r="A206" s="11" t="s">
        <v>1349</v>
      </c>
      <c r="B206" s="13" t="s">
        <v>1264</v>
      </c>
      <c r="C206" s="10" t="s">
        <v>1646</v>
      </c>
      <c r="D206" s="13" t="s">
        <v>1645</v>
      </c>
      <c r="E206" s="14" t="s">
        <v>1264</v>
      </c>
      <c r="F206" s="13" t="s">
        <v>776</v>
      </c>
      <c r="G206" s="13"/>
      <c r="H206" s="14">
        <f t="shared" si="5"/>
        <v>1</v>
      </c>
      <c r="I206" s="14">
        <v>1</v>
      </c>
      <c r="J206" s="14">
        <v>1</v>
      </c>
      <c r="K206" s="13" t="s">
        <v>1639</v>
      </c>
      <c r="L206" s="46" t="s">
        <v>992</v>
      </c>
      <c r="M206" s="46">
        <v>645</v>
      </c>
      <c r="N206" s="46">
        <v>750</v>
      </c>
      <c r="O206" s="45"/>
      <c r="P206" s="45"/>
      <c r="Q206" s="15"/>
    </row>
    <row r="207" spans="1:17" x14ac:dyDescent="0.25">
      <c r="A207" s="11" t="s">
        <v>1349</v>
      </c>
      <c r="B207" s="13" t="s">
        <v>1248</v>
      </c>
      <c r="C207" s="10" t="s">
        <v>1672</v>
      </c>
      <c r="D207" s="13" t="s">
        <v>1668</v>
      </c>
      <c r="E207" s="14" t="s">
        <v>1248</v>
      </c>
      <c r="F207" s="13" t="s">
        <v>773</v>
      </c>
      <c r="G207" s="13"/>
      <c r="H207" s="14">
        <f t="shared" si="5"/>
        <v>1</v>
      </c>
      <c r="I207" s="14">
        <v>1</v>
      </c>
      <c r="J207" s="14">
        <v>1</v>
      </c>
      <c r="K207" s="13" t="s">
        <v>1673</v>
      </c>
      <c r="L207" s="15" t="s">
        <v>808</v>
      </c>
      <c r="M207" s="15">
        <v>684</v>
      </c>
      <c r="N207" s="15">
        <v>43</v>
      </c>
      <c r="O207" s="15">
        <v>168400</v>
      </c>
      <c r="P207" s="15">
        <v>104300</v>
      </c>
      <c r="Q207" s="15"/>
    </row>
    <row r="208" spans="1:17" x14ac:dyDescent="0.25">
      <c r="A208" s="11" t="s">
        <v>1349</v>
      </c>
      <c r="B208" s="13" t="s">
        <v>1688</v>
      </c>
      <c r="C208" s="10" t="s">
        <v>1689</v>
      </c>
      <c r="D208" s="13" t="s">
        <v>1668</v>
      </c>
      <c r="E208" s="14" t="s">
        <v>1688</v>
      </c>
      <c r="F208" s="13" t="s">
        <v>773</v>
      </c>
      <c r="G208" s="13">
        <v>2</v>
      </c>
      <c r="H208" s="14">
        <f t="shared" si="5"/>
        <v>2</v>
      </c>
      <c r="J208" s="14">
        <v>1</v>
      </c>
      <c r="K208" s="13" t="s">
        <v>1690</v>
      </c>
      <c r="L208" s="15" t="s">
        <v>1348</v>
      </c>
      <c r="M208" s="15">
        <v>325</v>
      </c>
      <c r="N208" s="15">
        <v>244</v>
      </c>
      <c r="O208" s="15">
        <v>232500</v>
      </c>
      <c r="P208" s="15">
        <v>424400</v>
      </c>
      <c r="Q208" s="15"/>
    </row>
    <row r="209" spans="1:17" x14ac:dyDescent="0.25">
      <c r="A209" s="11" t="s">
        <v>1349</v>
      </c>
      <c r="B209" s="13" t="s">
        <v>793</v>
      </c>
      <c r="C209" s="10" t="s">
        <v>1370</v>
      </c>
      <c r="F209" s="13" t="s">
        <v>773</v>
      </c>
      <c r="G209" s="13">
        <v>2</v>
      </c>
      <c r="H209" s="14">
        <f t="shared" si="5"/>
        <v>3</v>
      </c>
      <c r="I209" s="14">
        <v>1</v>
      </c>
      <c r="J209" s="14">
        <v>3</v>
      </c>
      <c r="K209" s="13" t="s">
        <v>1433</v>
      </c>
      <c r="L209" s="15" t="s">
        <v>798</v>
      </c>
      <c r="M209" s="15">
        <v>260</v>
      </c>
      <c r="N209" s="15">
        <v>255</v>
      </c>
      <c r="O209" s="15">
        <v>326000</v>
      </c>
      <c r="P209" s="15">
        <v>225500</v>
      </c>
      <c r="Q209" s="15"/>
    </row>
    <row r="210" spans="1:17" x14ac:dyDescent="0.25">
      <c r="A210" s="11" t="s">
        <v>1349</v>
      </c>
      <c r="B210" s="13" t="s">
        <v>793</v>
      </c>
      <c r="C210" s="10" t="s">
        <v>1369</v>
      </c>
      <c r="F210" s="13" t="s">
        <v>773</v>
      </c>
      <c r="G210" s="13">
        <v>1</v>
      </c>
      <c r="H210" s="14">
        <f t="shared" si="5"/>
        <v>2</v>
      </c>
      <c r="I210" s="14">
        <v>1</v>
      </c>
      <c r="J210" s="14">
        <v>2</v>
      </c>
      <c r="K210" s="13" t="s">
        <v>1434</v>
      </c>
      <c r="L210" s="15" t="s">
        <v>798</v>
      </c>
      <c r="M210" s="15">
        <v>269</v>
      </c>
      <c r="N210" s="15">
        <v>394</v>
      </c>
      <c r="O210" s="15">
        <v>326900</v>
      </c>
      <c r="P210" s="15">
        <v>239400</v>
      </c>
      <c r="Q210" s="15"/>
    </row>
    <row r="211" spans="1:17" x14ac:dyDescent="0.25">
      <c r="A211" s="11" t="s">
        <v>1349</v>
      </c>
      <c r="B211" s="13" t="s">
        <v>1666</v>
      </c>
      <c r="C211" s="10" t="s">
        <v>1667</v>
      </c>
      <c r="D211" s="13" t="s">
        <v>1668</v>
      </c>
      <c r="E211" s="14" t="s">
        <v>1670</v>
      </c>
      <c r="F211" s="13" t="s">
        <v>773</v>
      </c>
      <c r="G211" s="13"/>
      <c r="H211" s="14">
        <f t="shared" si="5"/>
        <v>2</v>
      </c>
      <c r="I211" s="14">
        <v>2</v>
      </c>
      <c r="J211" s="14">
        <v>2</v>
      </c>
      <c r="K211" s="13" t="s">
        <v>1669</v>
      </c>
      <c r="L211" s="15" t="s">
        <v>1160</v>
      </c>
      <c r="M211" s="15">
        <v>399</v>
      </c>
      <c r="N211" s="15">
        <v>563</v>
      </c>
      <c r="O211" s="15">
        <v>139900</v>
      </c>
      <c r="P211" s="15">
        <v>256300</v>
      </c>
      <c r="Q211" s="15"/>
    </row>
    <row r="212" spans="1:17" x14ac:dyDescent="0.25">
      <c r="A212" s="11" t="s">
        <v>1349</v>
      </c>
      <c r="B212" s="13" t="s">
        <v>1691</v>
      </c>
      <c r="C212" s="10" t="s">
        <v>1692</v>
      </c>
      <c r="D212" s="13" t="s">
        <v>1668</v>
      </c>
      <c r="E212" s="14" t="s">
        <v>1693</v>
      </c>
      <c r="F212" s="13" t="s">
        <v>773</v>
      </c>
      <c r="G212" s="13">
        <v>2</v>
      </c>
      <c r="H212" s="14">
        <f t="shared" si="5"/>
        <v>2</v>
      </c>
      <c r="J212" s="14">
        <v>1</v>
      </c>
      <c r="K212" s="13" t="s">
        <v>1690</v>
      </c>
      <c r="L212" s="15" t="s">
        <v>802</v>
      </c>
      <c r="M212" s="15">
        <v>958</v>
      </c>
      <c r="N212" s="15">
        <v>46</v>
      </c>
      <c r="O212" s="15">
        <v>195800</v>
      </c>
      <c r="P212" s="15">
        <v>304600</v>
      </c>
      <c r="Q212" s="15"/>
    </row>
    <row r="213" spans="1:17" x14ac:dyDescent="0.25">
      <c r="A213" s="11" t="s">
        <v>1349</v>
      </c>
      <c r="B213" s="13" t="s">
        <v>804</v>
      </c>
      <c r="C213" s="10" t="s">
        <v>1423</v>
      </c>
      <c r="D213" s="13" t="s">
        <v>8</v>
      </c>
      <c r="E213" s="14" t="s">
        <v>804</v>
      </c>
      <c r="F213" s="13" t="s">
        <v>773</v>
      </c>
      <c r="G213" s="13">
        <v>1</v>
      </c>
      <c r="H213" s="14">
        <f t="shared" si="5"/>
        <v>1</v>
      </c>
      <c r="J213" s="14">
        <v>1</v>
      </c>
      <c r="K213" s="13" t="s">
        <v>866</v>
      </c>
      <c r="L213" s="45"/>
      <c r="M213" s="45"/>
      <c r="N213" s="45"/>
      <c r="O213" s="45"/>
      <c r="P213" s="45"/>
      <c r="Q213" s="15"/>
    </row>
    <row r="214" spans="1:17" ht="22.5" x14ac:dyDescent="0.25">
      <c r="A214" s="11" t="s">
        <v>1349</v>
      </c>
      <c r="B214" s="13" t="s">
        <v>804</v>
      </c>
      <c r="C214" s="10" t="s">
        <v>1397</v>
      </c>
      <c r="D214" s="13" t="s">
        <v>41</v>
      </c>
      <c r="E214" s="14" t="s">
        <v>804</v>
      </c>
      <c r="F214" s="13" t="s">
        <v>773</v>
      </c>
      <c r="G214" s="13">
        <v>1</v>
      </c>
      <c r="H214" s="14">
        <f t="shared" si="5"/>
        <v>1</v>
      </c>
      <c r="J214" s="14">
        <v>1</v>
      </c>
      <c r="K214" s="13" t="s">
        <v>1396</v>
      </c>
      <c r="L214" s="15" t="s">
        <v>808</v>
      </c>
      <c r="M214" s="15">
        <v>646</v>
      </c>
      <c r="N214" s="15">
        <v>403</v>
      </c>
      <c r="O214" s="45"/>
      <c r="P214" s="45"/>
      <c r="Q214" s="15"/>
    </row>
    <row r="215" spans="1:17" x14ac:dyDescent="0.25">
      <c r="A215" s="11" t="s">
        <v>1349</v>
      </c>
      <c r="B215" s="13" t="s">
        <v>785</v>
      </c>
      <c r="C215" s="10" t="s">
        <v>1647</v>
      </c>
      <c r="D215" s="13" t="s">
        <v>1645</v>
      </c>
      <c r="E215" s="14" t="s">
        <v>1647</v>
      </c>
      <c r="F215" s="13" t="s">
        <v>773</v>
      </c>
      <c r="G215" s="13"/>
      <c r="H215" s="14">
        <f t="shared" si="5"/>
        <v>1</v>
      </c>
      <c r="I215" s="14">
        <v>1</v>
      </c>
      <c r="J215" s="14">
        <v>1</v>
      </c>
      <c r="K215" s="13" t="s">
        <v>1639</v>
      </c>
      <c r="L215" s="15" t="s">
        <v>802</v>
      </c>
      <c r="M215" s="15">
        <v>2950</v>
      </c>
      <c r="N215" s="15">
        <v>1430</v>
      </c>
      <c r="O215" s="45"/>
      <c r="P215" s="45"/>
      <c r="Q215" s="15"/>
    </row>
    <row r="216" spans="1:17" ht="22.5" x14ac:dyDescent="0.25">
      <c r="A216" s="11" t="s">
        <v>1349</v>
      </c>
      <c r="B216" s="13" t="s">
        <v>795</v>
      </c>
      <c r="C216" s="10" t="s">
        <v>1156</v>
      </c>
      <c r="D216" s="13" t="s">
        <v>41</v>
      </c>
      <c r="E216" s="14" t="s">
        <v>797</v>
      </c>
      <c r="F216" s="13" t="s">
        <v>773</v>
      </c>
      <c r="G216" s="13">
        <v>1</v>
      </c>
      <c r="H216" s="14">
        <f t="shared" si="5"/>
        <v>4</v>
      </c>
      <c r="I216" s="14">
        <v>3</v>
      </c>
      <c r="J216" s="14">
        <v>4</v>
      </c>
      <c r="K216" s="13" t="s">
        <v>1478</v>
      </c>
      <c r="L216" s="15" t="s">
        <v>798</v>
      </c>
      <c r="M216" s="15">
        <v>109</v>
      </c>
      <c r="N216" s="15">
        <v>620</v>
      </c>
      <c r="O216" s="15">
        <v>310900</v>
      </c>
      <c r="P216" s="15">
        <v>262000</v>
      </c>
      <c r="Q216" s="15"/>
    </row>
    <row r="217" spans="1:17" ht="22.5" x14ac:dyDescent="0.25">
      <c r="A217" s="11" t="s">
        <v>1349</v>
      </c>
      <c r="B217" s="13" t="s">
        <v>795</v>
      </c>
      <c r="C217" s="10" t="s">
        <v>983</v>
      </c>
      <c r="D217" s="13" t="s">
        <v>41</v>
      </c>
      <c r="E217" s="14" t="s">
        <v>797</v>
      </c>
      <c r="F217" s="13" t="s">
        <v>773</v>
      </c>
      <c r="G217" s="13">
        <v>2</v>
      </c>
      <c r="H217" s="14">
        <f t="shared" si="5"/>
        <v>7</v>
      </c>
      <c r="I217" s="14">
        <v>5</v>
      </c>
      <c r="J217" s="14">
        <v>6</v>
      </c>
      <c r="K217" s="13" t="s">
        <v>1567</v>
      </c>
      <c r="L217" s="15" t="s">
        <v>667</v>
      </c>
      <c r="M217" s="15">
        <v>996</v>
      </c>
      <c r="N217" s="15">
        <v>735</v>
      </c>
      <c r="O217" s="15">
        <v>299600</v>
      </c>
      <c r="P217" s="15">
        <v>273500</v>
      </c>
      <c r="Q217" s="15"/>
    </row>
    <row r="218" spans="1:17" x14ac:dyDescent="0.25">
      <c r="A218" s="11" t="s">
        <v>1349</v>
      </c>
      <c r="B218" s="13" t="s">
        <v>795</v>
      </c>
      <c r="C218" s="10" t="s">
        <v>983</v>
      </c>
      <c r="D218" s="13" t="s">
        <v>1450</v>
      </c>
      <c r="E218" s="14" t="s">
        <v>797</v>
      </c>
      <c r="F218" s="13" t="s">
        <v>773</v>
      </c>
      <c r="G218" s="13"/>
      <c r="H218" s="14">
        <f t="shared" si="5"/>
        <v>2</v>
      </c>
      <c r="I218" s="14">
        <v>2</v>
      </c>
      <c r="J218" s="14">
        <v>2</v>
      </c>
      <c r="K218" s="13" t="s">
        <v>1477</v>
      </c>
      <c r="L218" s="15" t="s">
        <v>667</v>
      </c>
      <c r="M218" s="15">
        <v>996</v>
      </c>
      <c r="N218" s="15">
        <v>735</v>
      </c>
      <c r="O218" s="15">
        <v>299600</v>
      </c>
      <c r="P218" s="15">
        <v>273500</v>
      </c>
      <c r="Q218" s="15"/>
    </row>
    <row r="219" spans="1:17" ht="22.5" x14ac:dyDescent="0.25">
      <c r="A219" s="11" t="s">
        <v>1349</v>
      </c>
      <c r="B219" s="13" t="s">
        <v>795</v>
      </c>
      <c r="C219" s="10" t="s">
        <v>799</v>
      </c>
      <c r="D219" s="13" t="s">
        <v>800</v>
      </c>
      <c r="E219" s="14" t="s">
        <v>797</v>
      </c>
      <c r="F219" s="13" t="s">
        <v>773</v>
      </c>
      <c r="G219" s="13">
        <v>1</v>
      </c>
      <c r="H219" s="14">
        <f t="shared" si="5"/>
        <v>1</v>
      </c>
      <c r="J219" s="14">
        <v>1</v>
      </c>
      <c r="K219" s="13" t="s">
        <v>849</v>
      </c>
      <c r="L219" s="15" t="s">
        <v>667</v>
      </c>
      <c r="M219" s="15">
        <v>585</v>
      </c>
      <c r="N219" s="15">
        <v>775</v>
      </c>
      <c r="O219" s="15">
        <v>258500</v>
      </c>
      <c r="P219" s="15">
        <v>277500</v>
      </c>
      <c r="Q219" s="15"/>
    </row>
    <row r="220" spans="1:17" ht="22.5" x14ac:dyDescent="0.25">
      <c r="A220" s="11" t="s">
        <v>1349</v>
      </c>
      <c r="B220" s="13" t="s">
        <v>795</v>
      </c>
      <c r="C220" s="10" t="s">
        <v>796</v>
      </c>
      <c r="D220" s="13" t="s">
        <v>41</v>
      </c>
      <c r="E220" s="14" t="s">
        <v>797</v>
      </c>
      <c r="F220" s="13" t="s">
        <v>773</v>
      </c>
      <c r="G220" s="13">
        <v>3</v>
      </c>
      <c r="H220" s="14">
        <f t="shared" si="5"/>
        <v>8</v>
      </c>
      <c r="I220" s="14">
        <v>5</v>
      </c>
      <c r="J220" s="14">
        <v>6</v>
      </c>
      <c r="K220" s="13" t="s">
        <v>1568</v>
      </c>
      <c r="L220" s="15" t="s">
        <v>798</v>
      </c>
      <c r="M220" s="15">
        <v>6</v>
      </c>
      <c r="N220" s="15">
        <v>727</v>
      </c>
      <c r="O220" s="15">
        <v>300600</v>
      </c>
      <c r="P220" s="15">
        <v>272700</v>
      </c>
      <c r="Q220" s="15"/>
    </row>
    <row r="221" spans="1:17" x14ac:dyDescent="0.25">
      <c r="A221" s="11" t="s">
        <v>1349</v>
      </c>
      <c r="B221" s="13" t="s">
        <v>795</v>
      </c>
      <c r="C221" s="10" t="s">
        <v>1451</v>
      </c>
      <c r="D221" s="13" t="s">
        <v>1450</v>
      </c>
      <c r="E221" s="14" t="s">
        <v>797</v>
      </c>
      <c r="F221" s="13" t="s">
        <v>773</v>
      </c>
      <c r="G221" s="13"/>
      <c r="H221" s="14">
        <f t="shared" si="5"/>
        <v>2</v>
      </c>
      <c r="I221" s="14">
        <v>2</v>
      </c>
      <c r="J221" s="14">
        <v>2</v>
      </c>
      <c r="K221" s="13" t="s">
        <v>1479</v>
      </c>
      <c r="L221" s="15" t="s">
        <v>667</v>
      </c>
      <c r="M221" s="15">
        <v>91917</v>
      </c>
      <c r="N221" s="15">
        <v>59833</v>
      </c>
      <c r="O221" s="15">
        <v>291917</v>
      </c>
      <c r="P221" s="15">
        <v>259833</v>
      </c>
      <c r="Q221" s="15"/>
    </row>
    <row r="222" spans="1:17" ht="22.5" x14ac:dyDescent="0.25">
      <c r="A222" s="11" t="s">
        <v>1349</v>
      </c>
      <c r="B222" s="13" t="s">
        <v>795</v>
      </c>
      <c r="C222" s="10" t="s">
        <v>1213</v>
      </c>
      <c r="D222" s="13" t="s">
        <v>41</v>
      </c>
      <c r="E222" s="14" t="s">
        <v>797</v>
      </c>
      <c r="F222" s="13" t="s">
        <v>773</v>
      </c>
      <c r="G222" s="13">
        <v>6</v>
      </c>
      <c r="H222" s="14">
        <f t="shared" si="5"/>
        <v>12</v>
      </c>
      <c r="I222" s="14">
        <v>6</v>
      </c>
      <c r="J222" s="14">
        <v>8</v>
      </c>
      <c r="K222" s="13" t="s">
        <v>1480</v>
      </c>
      <c r="L222" s="15" t="s">
        <v>798</v>
      </c>
      <c r="M222" s="15">
        <v>23</v>
      </c>
      <c r="N222" s="15">
        <v>758</v>
      </c>
      <c r="O222" s="15">
        <v>302300</v>
      </c>
      <c r="P222" s="15">
        <v>275800</v>
      </c>
      <c r="Q222" s="15"/>
    </row>
    <row r="223" spans="1:17" x14ac:dyDescent="0.25">
      <c r="A223" s="11" t="s">
        <v>1349</v>
      </c>
      <c r="B223" s="13" t="s">
        <v>1677</v>
      </c>
      <c r="C223" s="10" t="s">
        <v>1678</v>
      </c>
      <c r="D223" s="13" t="s">
        <v>1668</v>
      </c>
      <c r="E223" s="14" t="s">
        <v>1679</v>
      </c>
      <c r="F223" s="13" t="s">
        <v>773</v>
      </c>
      <c r="G223" s="13">
        <v>1</v>
      </c>
      <c r="H223" s="14">
        <f t="shared" si="5"/>
        <v>1</v>
      </c>
      <c r="J223" s="14">
        <v>1</v>
      </c>
      <c r="K223" s="13" t="s">
        <v>1673</v>
      </c>
      <c r="L223" s="15" t="s">
        <v>667</v>
      </c>
      <c r="M223" s="15">
        <v>181</v>
      </c>
      <c r="N223" s="15">
        <v>141</v>
      </c>
      <c r="O223" s="45"/>
      <c r="P223" s="45"/>
      <c r="Q223" s="15"/>
    </row>
    <row r="224" spans="1:17" ht="22.5" x14ac:dyDescent="0.25">
      <c r="A224" s="11" t="s">
        <v>1349</v>
      </c>
      <c r="B224" s="13" t="s">
        <v>772</v>
      </c>
      <c r="C224" s="10" t="s">
        <v>801</v>
      </c>
      <c r="D224" s="13" t="s">
        <v>800</v>
      </c>
      <c r="E224" s="14" t="s">
        <v>772</v>
      </c>
      <c r="F224" s="14" t="s">
        <v>773</v>
      </c>
      <c r="G224" s="13">
        <v>4</v>
      </c>
      <c r="H224" s="14">
        <f t="shared" si="5"/>
        <v>4</v>
      </c>
      <c r="J224" s="14">
        <v>2</v>
      </c>
      <c r="K224" s="13" t="s">
        <v>1407</v>
      </c>
      <c r="L224" s="15" t="s">
        <v>802</v>
      </c>
      <c r="M224" s="15">
        <v>755</v>
      </c>
      <c r="N224" s="15">
        <v>115</v>
      </c>
      <c r="O224" s="15">
        <v>175500</v>
      </c>
      <c r="P224" s="15">
        <v>311500</v>
      </c>
      <c r="Q224" s="15"/>
    </row>
    <row r="225" spans="1:17" x14ac:dyDescent="0.25">
      <c r="A225" s="11" t="s">
        <v>1349</v>
      </c>
      <c r="B225" s="13" t="s">
        <v>772</v>
      </c>
      <c r="C225" s="10" t="s">
        <v>1629</v>
      </c>
      <c r="D225" s="13" t="s">
        <v>90</v>
      </c>
      <c r="E225" s="14" t="s">
        <v>1630</v>
      </c>
      <c r="F225" s="14" t="s">
        <v>773</v>
      </c>
      <c r="G225" s="13"/>
      <c r="H225" s="14">
        <f t="shared" si="5"/>
        <v>1</v>
      </c>
      <c r="I225" s="14">
        <v>1</v>
      </c>
      <c r="J225" s="14">
        <v>1</v>
      </c>
      <c r="K225" s="13" t="s">
        <v>1635</v>
      </c>
      <c r="L225" s="15" t="s">
        <v>802</v>
      </c>
      <c r="M225" s="15">
        <v>608</v>
      </c>
      <c r="N225" s="15">
        <v>256</v>
      </c>
      <c r="O225" s="45"/>
      <c r="P225" s="45"/>
      <c r="Q225" s="15"/>
    </row>
    <row r="226" spans="1:17" x14ac:dyDescent="0.25">
      <c r="A226" s="11" t="s">
        <v>1349</v>
      </c>
      <c r="C226" s="10" t="s">
        <v>489</v>
      </c>
      <c r="F226" s="14" t="s">
        <v>874</v>
      </c>
      <c r="G226" s="13">
        <v>3</v>
      </c>
      <c r="H226" s="14">
        <f t="shared" si="5"/>
        <v>3</v>
      </c>
      <c r="J226" s="14">
        <v>3</v>
      </c>
      <c r="K226" s="13" t="s">
        <v>1585</v>
      </c>
      <c r="Q226" s="15"/>
    </row>
    <row r="227" spans="1:17" x14ac:dyDescent="0.25">
      <c r="A227" s="11" t="s">
        <v>1349</v>
      </c>
      <c r="C227" s="10" t="s">
        <v>679</v>
      </c>
      <c r="F227" s="14" t="s">
        <v>11</v>
      </c>
      <c r="G227" s="13">
        <v>13</v>
      </c>
      <c r="H227" s="14">
        <f t="shared" si="5"/>
        <v>13</v>
      </c>
      <c r="J227" s="14">
        <v>9</v>
      </c>
      <c r="K227" s="13" t="s">
        <v>1700</v>
      </c>
      <c r="Q227" s="15"/>
    </row>
    <row r="228" spans="1:17" x14ac:dyDescent="0.25">
      <c r="A228" s="11" t="s">
        <v>1349</v>
      </c>
      <c r="C228" s="10" t="s">
        <v>265</v>
      </c>
      <c r="F228" s="14" t="s">
        <v>874</v>
      </c>
      <c r="G228" s="13">
        <v>7</v>
      </c>
      <c r="H228" s="14">
        <f t="shared" si="5"/>
        <v>7</v>
      </c>
      <c r="J228" s="14">
        <v>5</v>
      </c>
      <c r="K228" s="13" t="s">
        <v>1659</v>
      </c>
      <c r="Q228" s="15"/>
    </row>
    <row r="229" spans="1:17" x14ac:dyDescent="0.25">
      <c r="A229" s="11" t="s">
        <v>1349</v>
      </c>
      <c r="C229" s="10" t="s">
        <v>303</v>
      </c>
      <c r="F229" s="14" t="s">
        <v>11</v>
      </c>
      <c r="G229" s="13">
        <v>1</v>
      </c>
      <c r="H229" s="14">
        <f t="shared" si="5"/>
        <v>1</v>
      </c>
      <c r="J229" s="14">
        <v>1</v>
      </c>
      <c r="K229" s="13" t="s">
        <v>1704</v>
      </c>
      <c r="Q229" s="15"/>
    </row>
    <row r="230" spans="1:17" ht="22.5" x14ac:dyDescent="0.25">
      <c r="A230" s="11" t="s">
        <v>1349</v>
      </c>
      <c r="C230" s="10" t="s">
        <v>302</v>
      </c>
      <c r="F230" s="14" t="s">
        <v>35</v>
      </c>
      <c r="G230" s="13">
        <v>14</v>
      </c>
      <c r="H230" s="14">
        <f t="shared" si="5"/>
        <v>14</v>
      </c>
      <c r="J230" s="14">
        <v>11</v>
      </c>
      <c r="K230" s="13" t="s">
        <v>1660</v>
      </c>
      <c r="Q230" s="15"/>
    </row>
    <row r="231" spans="1:17" ht="22.5" x14ac:dyDescent="0.25">
      <c r="A231" s="11" t="s">
        <v>1349</v>
      </c>
      <c r="B231" s="13" t="s">
        <v>532</v>
      </c>
      <c r="C231" s="10" t="s">
        <v>1385</v>
      </c>
      <c r="F231" s="14" t="s">
        <v>11</v>
      </c>
      <c r="G231" s="13">
        <v>1</v>
      </c>
      <c r="H231" s="14">
        <f t="shared" si="5"/>
        <v>1</v>
      </c>
      <c r="J231" s="14">
        <v>1</v>
      </c>
      <c r="K231" s="13" t="s">
        <v>842</v>
      </c>
      <c r="Q231" s="15"/>
    </row>
    <row r="232" spans="1:17" x14ac:dyDescent="0.25">
      <c r="A232" s="11" t="s">
        <v>1349</v>
      </c>
      <c r="B232" s="13" t="s">
        <v>42</v>
      </c>
      <c r="C232" s="10" t="s">
        <v>42</v>
      </c>
      <c r="F232" s="14" t="s">
        <v>11</v>
      </c>
      <c r="G232" s="13">
        <v>10</v>
      </c>
      <c r="H232" s="14">
        <f t="shared" si="5"/>
        <v>10</v>
      </c>
      <c r="J232" s="14">
        <v>7</v>
      </c>
      <c r="K232" s="13" t="s">
        <v>1589</v>
      </c>
      <c r="Q232" s="15"/>
    </row>
    <row r="233" spans="1:17" x14ac:dyDescent="0.25">
      <c r="A233" s="11" t="s">
        <v>1349</v>
      </c>
      <c r="B233" s="13" t="s">
        <v>42</v>
      </c>
      <c r="E233" s="14" t="s">
        <v>323</v>
      </c>
      <c r="F233" s="14" t="s">
        <v>11</v>
      </c>
      <c r="G233" s="13">
        <v>2</v>
      </c>
      <c r="H233" s="14">
        <f t="shared" si="5"/>
        <v>2</v>
      </c>
      <c r="J233" s="14">
        <v>2</v>
      </c>
      <c r="K233" s="13" t="s">
        <v>1383</v>
      </c>
      <c r="Q233" s="15"/>
    </row>
    <row r="234" spans="1:17" x14ac:dyDescent="0.25">
      <c r="A234" s="11" t="s">
        <v>1349</v>
      </c>
      <c r="B234" s="13" t="s">
        <v>42</v>
      </c>
      <c r="E234" s="14" t="s">
        <v>1438</v>
      </c>
      <c r="F234" s="14" t="s">
        <v>11</v>
      </c>
      <c r="G234" s="13">
        <v>1</v>
      </c>
      <c r="H234" s="14">
        <f t="shared" si="5"/>
        <v>1</v>
      </c>
      <c r="J234" s="14">
        <v>1</v>
      </c>
      <c r="K234" s="13" t="s">
        <v>1187</v>
      </c>
      <c r="Q234" s="15"/>
    </row>
    <row r="235" spans="1:17" x14ac:dyDescent="0.25">
      <c r="A235" s="11" t="s">
        <v>1349</v>
      </c>
      <c r="B235" s="13" t="s">
        <v>42</v>
      </c>
      <c r="C235" s="10" t="s">
        <v>1625</v>
      </c>
      <c r="F235" s="14" t="s">
        <v>11</v>
      </c>
      <c r="G235" s="13">
        <v>1</v>
      </c>
      <c r="H235" s="14">
        <f t="shared" si="5"/>
        <v>1</v>
      </c>
      <c r="J235" s="14">
        <v>1</v>
      </c>
      <c r="K235" s="13" t="s">
        <v>1623</v>
      </c>
      <c r="Q235" s="15"/>
    </row>
    <row r="236" spans="1:17" x14ac:dyDescent="0.25">
      <c r="A236" s="11" t="s">
        <v>1349</v>
      </c>
      <c r="B236" s="13" t="s">
        <v>10</v>
      </c>
      <c r="E236" s="14" t="s">
        <v>716</v>
      </c>
      <c r="F236" s="14" t="s">
        <v>11</v>
      </c>
      <c r="G236" s="13">
        <v>1</v>
      </c>
      <c r="H236" s="14">
        <f t="shared" si="5"/>
        <v>1</v>
      </c>
      <c r="J236" s="14">
        <v>1</v>
      </c>
      <c r="K236" s="13" t="s">
        <v>1396</v>
      </c>
      <c r="Q236" s="15"/>
    </row>
    <row r="237" spans="1:17" x14ac:dyDescent="0.25">
      <c r="A237" s="11" t="s">
        <v>1349</v>
      </c>
      <c r="B237" s="13" t="s">
        <v>10</v>
      </c>
      <c r="E237" s="14" t="s">
        <v>708</v>
      </c>
      <c r="F237" s="14" t="s">
        <v>11</v>
      </c>
      <c r="G237" s="13">
        <v>2</v>
      </c>
      <c r="H237" s="14">
        <f t="shared" si="5"/>
        <v>2</v>
      </c>
      <c r="J237" s="14">
        <v>2</v>
      </c>
      <c r="K237" s="13" t="s">
        <v>1436</v>
      </c>
      <c r="Q237" s="15"/>
    </row>
    <row r="238" spans="1:17" x14ac:dyDescent="0.25">
      <c r="A238" s="11" t="s">
        <v>1349</v>
      </c>
      <c r="B238" s="13" t="s">
        <v>191</v>
      </c>
      <c r="F238" s="14" t="s">
        <v>11</v>
      </c>
      <c r="G238" s="13">
        <v>3</v>
      </c>
      <c r="H238" s="14">
        <f t="shared" si="5"/>
        <v>3</v>
      </c>
      <c r="J238" s="14">
        <v>3</v>
      </c>
      <c r="K238" s="13" t="s">
        <v>1437</v>
      </c>
      <c r="Q238" s="15"/>
    </row>
    <row r="239" spans="1:17" x14ac:dyDescent="0.25">
      <c r="A239" s="11" t="s">
        <v>1349</v>
      </c>
      <c r="B239" s="13" t="s">
        <v>68</v>
      </c>
      <c r="C239" s="10" t="s">
        <v>68</v>
      </c>
      <c r="E239" s="14" t="s">
        <v>70</v>
      </c>
      <c r="F239" s="14" t="s">
        <v>11</v>
      </c>
      <c r="G239" s="13">
        <v>5</v>
      </c>
      <c r="H239" s="14">
        <f t="shared" si="5"/>
        <v>5</v>
      </c>
      <c r="J239" s="14">
        <v>5</v>
      </c>
      <c r="K239" s="13" t="s">
        <v>1649</v>
      </c>
      <c r="Q239" s="15"/>
    </row>
    <row r="240" spans="1:17" x14ac:dyDescent="0.25">
      <c r="A240" s="11" t="s">
        <v>1349</v>
      </c>
      <c r="B240" s="13" t="s">
        <v>327</v>
      </c>
      <c r="C240" s="10" t="s">
        <v>282</v>
      </c>
      <c r="E240" s="14" t="s">
        <v>677</v>
      </c>
      <c r="F240" s="14" t="s">
        <v>11</v>
      </c>
      <c r="G240" s="13">
        <v>9</v>
      </c>
      <c r="H240" s="14">
        <f t="shared" si="5"/>
        <v>9</v>
      </c>
      <c r="J240" s="14">
        <v>7</v>
      </c>
      <c r="K240" s="13" t="s">
        <v>1621</v>
      </c>
      <c r="Q240" s="15"/>
    </row>
    <row r="241" spans="1:17" x14ac:dyDescent="0.25">
      <c r="A241" s="11" t="s">
        <v>1349</v>
      </c>
      <c r="B241" s="13" t="s">
        <v>283</v>
      </c>
      <c r="F241" s="14" t="s">
        <v>11</v>
      </c>
      <c r="G241" s="13">
        <v>1</v>
      </c>
      <c r="H241" s="14">
        <f t="shared" si="5"/>
        <v>1</v>
      </c>
      <c r="J241" s="14">
        <v>1</v>
      </c>
      <c r="K241" s="13" t="s">
        <v>1187</v>
      </c>
      <c r="Q241" s="15"/>
    </row>
    <row r="242" spans="1:17" x14ac:dyDescent="0.25">
      <c r="A242" s="11" t="s">
        <v>1349</v>
      </c>
      <c r="B242" s="13" t="s">
        <v>430</v>
      </c>
      <c r="F242" s="14" t="s">
        <v>11</v>
      </c>
      <c r="G242" s="13">
        <v>1</v>
      </c>
      <c r="H242" s="14">
        <f t="shared" ref="H242:H277" si="6">G242+I242</f>
        <v>1</v>
      </c>
      <c r="J242" s="14">
        <v>1</v>
      </c>
      <c r="K242" s="13" t="s">
        <v>1187</v>
      </c>
      <c r="Q242" s="15"/>
    </row>
    <row r="243" spans="1:17" x14ac:dyDescent="0.25">
      <c r="A243" s="11" t="s">
        <v>1349</v>
      </c>
      <c r="B243" s="13" t="s">
        <v>46</v>
      </c>
      <c r="F243" s="14" t="s">
        <v>11</v>
      </c>
      <c r="G243" s="13">
        <v>2</v>
      </c>
      <c r="H243" s="14">
        <f t="shared" si="6"/>
        <v>2</v>
      </c>
      <c r="J243" s="14">
        <v>2</v>
      </c>
      <c r="K243" s="13" t="s">
        <v>1419</v>
      </c>
      <c r="Q243" s="15"/>
    </row>
    <row r="244" spans="1:17" x14ac:dyDescent="0.25">
      <c r="A244" s="11" t="s">
        <v>1349</v>
      </c>
      <c r="B244" s="13" t="s">
        <v>62</v>
      </c>
      <c r="F244" s="14" t="s">
        <v>11</v>
      </c>
      <c r="G244" s="13">
        <v>1</v>
      </c>
      <c r="H244" s="14">
        <f t="shared" si="6"/>
        <v>1</v>
      </c>
      <c r="J244" s="14">
        <v>1</v>
      </c>
      <c r="K244" s="13" t="s">
        <v>1379</v>
      </c>
      <c r="Q244" s="15"/>
    </row>
    <row r="245" spans="1:17" x14ac:dyDescent="0.25">
      <c r="A245" s="11" t="s">
        <v>1349</v>
      </c>
      <c r="B245" s="13" t="s">
        <v>82</v>
      </c>
      <c r="C245" s="10" t="s">
        <v>1699</v>
      </c>
      <c r="D245" s="13" t="s">
        <v>1668</v>
      </c>
      <c r="F245" s="14" t="s">
        <v>11</v>
      </c>
      <c r="G245" s="13">
        <v>1</v>
      </c>
      <c r="H245" s="14">
        <f t="shared" si="6"/>
        <v>1</v>
      </c>
      <c r="J245" s="14">
        <v>1</v>
      </c>
      <c r="K245" s="13" t="s">
        <v>1690</v>
      </c>
      <c r="Q245" s="15"/>
    </row>
    <row r="246" spans="1:17" x14ac:dyDescent="0.25">
      <c r="A246" s="11" t="s">
        <v>1349</v>
      </c>
      <c r="B246" s="13" t="s">
        <v>22</v>
      </c>
      <c r="C246" s="10" t="s">
        <v>22</v>
      </c>
      <c r="E246" s="14" t="s">
        <v>22</v>
      </c>
      <c r="F246" s="14" t="s">
        <v>11</v>
      </c>
      <c r="G246" s="13">
        <v>1</v>
      </c>
      <c r="H246" s="14">
        <f t="shared" si="6"/>
        <v>1</v>
      </c>
      <c r="J246" s="14">
        <v>1</v>
      </c>
      <c r="K246" s="13" t="s">
        <v>1396</v>
      </c>
      <c r="Q246" s="15"/>
    </row>
    <row r="247" spans="1:17" ht="22.5" x14ac:dyDescent="0.25">
      <c r="A247" s="11" t="s">
        <v>1349</v>
      </c>
      <c r="B247" s="13" t="s">
        <v>22</v>
      </c>
      <c r="C247" s="10" t="s">
        <v>1387</v>
      </c>
      <c r="E247" s="13" t="s">
        <v>1386</v>
      </c>
      <c r="F247" s="14" t="s">
        <v>11</v>
      </c>
      <c r="G247" s="13">
        <v>1</v>
      </c>
      <c r="H247" s="14">
        <f t="shared" si="6"/>
        <v>1</v>
      </c>
      <c r="J247" s="14">
        <v>1</v>
      </c>
      <c r="K247" s="13" t="s">
        <v>842</v>
      </c>
      <c r="Q247" s="15"/>
    </row>
    <row r="248" spans="1:17" x14ac:dyDescent="0.25">
      <c r="A248" s="11" t="s">
        <v>1349</v>
      </c>
      <c r="B248" s="13" t="s">
        <v>93</v>
      </c>
      <c r="E248" s="14" t="s">
        <v>1382</v>
      </c>
      <c r="F248" s="14" t="s">
        <v>11</v>
      </c>
      <c r="G248" s="13">
        <v>1</v>
      </c>
      <c r="H248" s="14">
        <f t="shared" si="6"/>
        <v>1</v>
      </c>
      <c r="J248" s="14">
        <v>1</v>
      </c>
      <c r="K248" s="13" t="s">
        <v>1379</v>
      </c>
      <c r="Q248" s="15"/>
    </row>
    <row r="249" spans="1:17" x14ac:dyDescent="0.25">
      <c r="A249" s="11" t="s">
        <v>1349</v>
      </c>
      <c r="B249" s="13" t="s">
        <v>93</v>
      </c>
      <c r="F249" s="14" t="s">
        <v>11</v>
      </c>
      <c r="G249" s="13">
        <v>3</v>
      </c>
      <c r="H249" s="14">
        <f t="shared" si="6"/>
        <v>4</v>
      </c>
      <c r="I249" s="14">
        <v>1</v>
      </c>
      <c r="J249" s="14">
        <v>4</v>
      </c>
      <c r="K249" s="13" t="s">
        <v>1384</v>
      </c>
      <c r="Q249" s="15"/>
    </row>
    <row r="250" spans="1:17" x14ac:dyDescent="0.25">
      <c r="A250" s="11" t="s">
        <v>1349</v>
      </c>
      <c r="B250" s="13" t="s">
        <v>24</v>
      </c>
      <c r="C250" s="10" t="s">
        <v>24</v>
      </c>
      <c r="F250" s="14" t="s">
        <v>11</v>
      </c>
      <c r="G250" s="13">
        <v>5</v>
      </c>
      <c r="H250" s="14">
        <f t="shared" si="6"/>
        <v>5</v>
      </c>
      <c r="J250" s="14">
        <v>5</v>
      </c>
      <c r="K250" s="13" t="s">
        <v>1650</v>
      </c>
      <c r="Q250" s="15"/>
    </row>
    <row r="251" spans="1:17" ht="22.5" x14ac:dyDescent="0.25">
      <c r="A251" s="11" t="s">
        <v>1349</v>
      </c>
      <c r="B251" s="13" t="s">
        <v>269</v>
      </c>
      <c r="E251" s="13" t="s">
        <v>1390</v>
      </c>
      <c r="F251" s="14" t="s">
        <v>11</v>
      </c>
      <c r="G251" s="13">
        <v>1</v>
      </c>
      <c r="H251" s="14">
        <f t="shared" si="6"/>
        <v>1</v>
      </c>
      <c r="J251" s="14">
        <v>1</v>
      </c>
      <c r="K251" s="13" t="s">
        <v>1391</v>
      </c>
      <c r="Q251" s="15"/>
    </row>
    <row r="252" spans="1:17" x14ac:dyDescent="0.25">
      <c r="A252" s="11" t="s">
        <v>1349</v>
      </c>
      <c r="B252" s="13" t="s">
        <v>139</v>
      </c>
      <c r="F252" s="14" t="s">
        <v>11</v>
      </c>
      <c r="G252" s="13">
        <v>1</v>
      </c>
      <c r="H252" s="14">
        <f t="shared" si="6"/>
        <v>2</v>
      </c>
      <c r="I252" s="14">
        <v>1</v>
      </c>
      <c r="J252" s="14">
        <v>2</v>
      </c>
      <c r="K252" s="13" t="s">
        <v>1718</v>
      </c>
      <c r="Q252" s="15"/>
    </row>
    <row r="253" spans="1:17" x14ac:dyDescent="0.25">
      <c r="A253" s="11" t="s">
        <v>1349</v>
      </c>
      <c r="C253" s="10" t="s">
        <v>416</v>
      </c>
      <c r="F253" s="14" t="s">
        <v>11</v>
      </c>
      <c r="G253" s="13">
        <v>11</v>
      </c>
      <c r="H253" s="14">
        <f t="shared" si="6"/>
        <v>11</v>
      </c>
      <c r="J253" s="14">
        <v>8</v>
      </c>
      <c r="K253" s="13" t="s">
        <v>1573</v>
      </c>
      <c r="Q253" s="15"/>
    </row>
    <row r="254" spans="1:17" x14ac:dyDescent="0.25">
      <c r="A254" s="11" t="s">
        <v>1349</v>
      </c>
      <c r="C254" s="10" t="s">
        <v>1580</v>
      </c>
      <c r="F254" s="14" t="s">
        <v>11</v>
      </c>
      <c r="G254" s="13">
        <v>2</v>
      </c>
      <c r="H254" s="14">
        <f t="shared" si="6"/>
        <v>2</v>
      </c>
      <c r="J254" s="14">
        <v>2</v>
      </c>
      <c r="K254" s="13" t="s">
        <v>1638</v>
      </c>
      <c r="Q254" s="15"/>
    </row>
    <row r="255" spans="1:17" x14ac:dyDescent="0.25">
      <c r="A255" s="11" t="s">
        <v>1349</v>
      </c>
      <c r="C255" s="10" t="s">
        <v>1599</v>
      </c>
      <c r="F255" s="14" t="s">
        <v>11</v>
      </c>
      <c r="G255" s="13">
        <v>1</v>
      </c>
      <c r="H255" s="14">
        <f t="shared" si="6"/>
        <v>1</v>
      </c>
      <c r="J255" s="14">
        <v>1</v>
      </c>
      <c r="K255" s="13" t="s">
        <v>1593</v>
      </c>
      <c r="Q255" s="15"/>
    </row>
    <row r="256" spans="1:17" x14ac:dyDescent="0.25">
      <c r="A256" s="11" t="s">
        <v>1349</v>
      </c>
      <c r="C256" s="10" t="s">
        <v>281</v>
      </c>
      <c r="F256" s="14" t="s">
        <v>11</v>
      </c>
      <c r="G256" s="13">
        <v>2</v>
      </c>
      <c r="H256" s="14">
        <f t="shared" si="6"/>
        <v>2</v>
      </c>
      <c r="J256" s="14">
        <v>1</v>
      </c>
      <c r="K256" s="13" t="s">
        <v>1706</v>
      </c>
      <c r="Q256" s="15"/>
    </row>
    <row r="257" spans="1:17" x14ac:dyDescent="0.25">
      <c r="A257" s="11" t="s">
        <v>1349</v>
      </c>
      <c r="C257" s="10" t="s">
        <v>1422</v>
      </c>
      <c r="F257" s="14" t="s">
        <v>11</v>
      </c>
      <c r="G257" s="13">
        <v>1</v>
      </c>
      <c r="H257" s="14">
        <f t="shared" si="6"/>
        <v>1</v>
      </c>
      <c r="J257" s="14">
        <v>1</v>
      </c>
      <c r="K257" s="13" t="s">
        <v>863</v>
      </c>
    </row>
    <row r="258" spans="1:17" x14ac:dyDescent="0.25">
      <c r="A258" s="11" t="s">
        <v>1349</v>
      </c>
      <c r="C258" s="10" t="s">
        <v>48</v>
      </c>
      <c r="F258" s="14" t="s">
        <v>11</v>
      </c>
      <c r="G258" s="13">
        <v>3</v>
      </c>
      <c r="H258" s="14">
        <f t="shared" si="6"/>
        <v>3</v>
      </c>
      <c r="J258" s="14">
        <v>2</v>
      </c>
      <c r="K258" s="13" t="s">
        <v>1717</v>
      </c>
    </row>
    <row r="259" spans="1:17" s="39" customFormat="1" ht="22.5" x14ac:dyDescent="0.25">
      <c r="A259" s="37" t="s">
        <v>1349</v>
      </c>
      <c r="B259" s="26"/>
      <c r="C259" s="38" t="s">
        <v>11</v>
      </c>
      <c r="D259" s="26"/>
      <c r="E259" s="25"/>
      <c r="F259" s="25" t="s">
        <v>11</v>
      </c>
      <c r="G259" s="26">
        <v>17</v>
      </c>
      <c r="H259" s="14">
        <f t="shared" si="6"/>
        <v>17</v>
      </c>
      <c r="I259" s="25"/>
      <c r="J259" s="25">
        <v>10</v>
      </c>
      <c r="K259" s="26" t="s">
        <v>1637</v>
      </c>
      <c r="Q259" s="26"/>
    </row>
    <row r="260" spans="1:17" x14ac:dyDescent="0.25">
      <c r="A260" s="11" t="s">
        <v>1349</v>
      </c>
      <c r="E260" s="14" t="s">
        <v>851</v>
      </c>
      <c r="F260" s="14" t="s">
        <v>11</v>
      </c>
      <c r="G260" s="13">
        <v>7</v>
      </c>
      <c r="H260" s="14">
        <f t="shared" si="6"/>
        <v>7</v>
      </c>
      <c r="J260" s="14">
        <v>5</v>
      </c>
      <c r="K260" s="13" t="s">
        <v>1719</v>
      </c>
    </row>
    <row r="261" spans="1:17" x14ac:dyDescent="0.25">
      <c r="A261" s="11" t="s">
        <v>1349</v>
      </c>
      <c r="E261" s="14" t="s">
        <v>852</v>
      </c>
      <c r="F261" s="14" t="s">
        <v>11</v>
      </c>
      <c r="G261" s="13">
        <v>10</v>
      </c>
      <c r="H261" s="14">
        <f t="shared" si="6"/>
        <v>10</v>
      </c>
      <c r="J261" s="14">
        <v>7</v>
      </c>
      <c r="K261" s="13" t="s">
        <v>1714</v>
      </c>
    </row>
    <row r="262" spans="1:17" x14ac:dyDescent="0.25">
      <c r="A262" s="11" t="s">
        <v>1349</v>
      </c>
      <c r="C262" s="10" t="s">
        <v>255</v>
      </c>
      <c r="F262" s="14" t="s">
        <v>11</v>
      </c>
      <c r="G262" s="13">
        <v>1</v>
      </c>
      <c r="H262" s="14">
        <f t="shared" si="6"/>
        <v>1</v>
      </c>
      <c r="J262" s="14">
        <v>1</v>
      </c>
      <c r="K262" s="13" t="s">
        <v>1583</v>
      </c>
    </row>
    <row r="263" spans="1:17" x14ac:dyDescent="0.25">
      <c r="A263" s="11" t="s">
        <v>1349</v>
      </c>
      <c r="C263" s="10" t="s">
        <v>296</v>
      </c>
      <c r="F263" s="14" t="s">
        <v>11</v>
      </c>
      <c r="G263" s="13">
        <v>1</v>
      </c>
      <c r="H263" s="14">
        <f t="shared" si="6"/>
        <v>2</v>
      </c>
      <c r="I263" s="14">
        <v>1</v>
      </c>
      <c r="J263" s="14">
        <v>2</v>
      </c>
      <c r="K263" s="13" t="s">
        <v>1576</v>
      </c>
    </row>
    <row r="264" spans="1:17" x14ac:dyDescent="0.25">
      <c r="A264" s="11" t="s">
        <v>1349</v>
      </c>
      <c r="C264" s="10" t="s">
        <v>259</v>
      </c>
      <c r="F264" s="14" t="s">
        <v>11</v>
      </c>
      <c r="G264" s="13">
        <v>3</v>
      </c>
      <c r="H264" s="14">
        <f t="shared" si="6"/>
        <v>3</v>
      </c>
      <c r="J264" s="14">
        <v>3</v>
      </c>
      <c r="K264" s="13" t="s">
        <v>1661</v>
      </c>
    </row>
    <row r="265" spans="1:17" x14ac:dyDescent="0.25">
      <c r="A265" s="11" t="s">
        <v>1349</v>
      </c>
      <c r="C265" s="10" t="s">
        <v>295</v>
      </c>
      <c r="F265" s="14" t="s">
        <v>11</v>
      </c>
      <c r="G265" s="13">
        <v>1</v>
      </c>
      <c r="H265" s="14">
        <f t="shared" si="6"/>
        <v>1</v>
      </c>
      <c r="J265" s="14">
        <v>1</v>
      </c>
      <c r="K265" s="13" t="s">
        <v>1623</v>
      </c>
    </row>
    <row r="266" spans="1:17" x14ac:dyDescent="0.25">
      <c r="A266" s="11" t="s">
        <v>1349</v>
      </c>
      <c r="C266" s="10" t="s">
        <v>1624</v>
      </c>
      <c r="F266" s="14" t="s">
        <v>11</v>
      </c>
      <c r="G266" s="13">
        <v>1</v>
      </c>
      <c r="H266" s="14">
        <f t="shared" si="6"/>
        <v>1</v>
      </c>
      <c r="J266" s="14">
        <v>1</v>
      </c>
      <c r="K266" s="13" t="s">
        <v>1623</v>
      </c>
    </row>
    <row r="267" spans="1:17" ht="22.5" x14ac:dyDescent="0.25">
      <c r="A267" s="11" t="s">
        <v>1349</v>
      </c>
      <c r="C267" s="10" t="s">
        <v>266</v>
      </c>
      <c r="F267" s="14" t="s">
        <v>11</v>
      </c>
      <c r="G267" s="13">
        <v>21</v>
      </c>
      <c r="H267" s="14">
        <f t="shared" si="6"/>
        <v>25</v>
      </c>
      <c r="I267" s="14">
        <v>4</v>
      </c>
      <c r="J267" s="14">
        <v>20</v>
      </c>
      <c r="K267" s="13" t="s">
        <v>1662</v>
      </c>
    </row>
    <row r="268" spans="1:17" x14ac:dyDescent="0.25">
      <c r="A268" s="11" t="s">
        <v>1349</v>
      </c>
      <c r="C268" s="10" t="s">
        <v>682</v>
      </c>
      <c r="E268" s="14" t="s">
        <v>683</v>
      </c>
      <c r="F268" s="14" t="s">
        <v>11</v>
      </c>
      <c r="G268" s="13">
        <v>3</v>
      </c>
      <c r="H268" s="14">
        <f t="shared" si="6"/>
        <v>3</v>
      </c>
      <c r="J268" s="14">
        <v>3</v>
      </c>
      <c r="K268" s="13" t="s">
        <v>1703</v>
      </c>
      <c r="Q268" s="15"/>
    </row>
    <row r="269" spans="1:17" x14ac:dyDescent="0.25">
      <c r="A269" s="11" t="s">
        <v>1349</v>
      </c>
      <c r="C269" s="10" t="s">
        <v>1584</v>
      </c>
      <c r="F269" s="14" t="s">
        <v>11</v>
      </c>
      <c r="G269" s="13">
        <v>1</v>
      </c>
      <c r="H269" s="14">
        <f t="shared" si="6"/>
        <v>1</v>
      </c>
      <c r="J269" s="14">
        <v>1</v>
      </c>
      <c r="K269" s="13" t="s">
        <v>1583</v>
      </c>
      <c r="Q269" s="15"/>
    </row>
    <row r="270" spans="1:17" x14ac:dyDescent="0.25">
      <c r="A270" s="11" t="s">
        <v>1349</v>
      </c>
      <c r="C270" s="10" t="s">
        <v>282</v>
      </c>
      <c r="F270" s="14" t="s">
        <v>11</v>
      </c>
      <c r="G270" s="13">
        <v>1</v>
      </c>
      <c r="H270" s="14">
        <f t="shared" si="6"/>
        <v>2</v>
      </c>
      <c r="I270" s="14">
        <v>1</v>
      </c>
      <c r="J270" s="14">
        <v>2</v>
      </c>
      <c r="K270" s="13" t="s">
        <v>1574</v>
      </c>
      <c r="Q270" s="15"/>
    </row>
    <row r="271" spans="1:17" x14ac:dyDescent="0.25">
      <c r="A271" s="11" t="s">
        <v>1349</v>
      </c>
      <c r="C271" s="10" t="s">
        <v>678</v>
      </c>
      <c r="F271" s="14" t="s">
        <v>11</v>
      </c>
      <c r="G271" s="13">
        <v>1</v>
      </c>
      <c r="H271" s="14">
        <f t="shared" si="6"/>
        <v>2</v>
      </c>
      <c r="I271" s="14">
        <v>1</v>
      </c>
      <c r="J271" s="14">
        <v>2</v>
      </c>
      <c r="K271" s="13" t="s">
        <v>1575</v>
      </c>
      <c r="Q271" s="15"/>
    </row>
    <row r="272" spans="1:17" ht="33.75" x14ac:dyDescent="0.25">
      <c r="A272" s="11" t="s">
        <v>1349</v>
      </c>
      <c r="C272" s="10" t="s">
        <v>21</v>
      </c>
      <c r="E272" s="14" t="s">
        <v>21</v>
      </c>
      <c r="F272" s="14" t="s">
        <v>11</v>
      </c>
      <c r="G272" s="13">
        <v>73</v>
      </c>
      <c r="H272" s="14">
        <f t="shared" si="6"/>
        <v>74</v>
      </c>
      <c r="I272" s="14">
        <v>1</v>
      </c>
      <c r="J272" s="14">
        <v>27</v>
      </c>
      <c r="K272" s="13" t="s">
        <v>1702</v>
      </c>
      <c r="Q272" s="15"/>
    </row>
    <row r="273" spans="1:17" ht="22.5" x14ac:dyDescent="0.25">
      <c r="A273" s="11" t="s">
        <v>1349</v>
      </c>
      <c r="C273" s="10" t="s">
        <v>351</v>
      </c>
      <c r="F273" s="13" t="s">
        <v>1104</v>
      </c>
      <c r="G273" s="13">
        <v>1</v>
      </c>
      <c r="H273" s="14">
        <f t="shared" si="6"/>
        <v>2</v>
      </c>
      <c r="I273" s="14">
        <v>1</v>
      </c>
      <c r="J273" s="14">
        <v>2</v>
      </c>
      <c r="K273" s="13" t="s">
        <v>1443</v>
      </c>
    </row>
    <row r="274" spans="1:17" s="44" customFormat="1" x14ac:dyDescent="0.25">
      <c r="A274" s="40" t="s">
        <v>1349</v>
      </c>
      <c r="B274" s="43"/>
      <c r="C274" s="42" t="s">
        <v>56</v>
      </c>
      <c r="D274" s="43"/>
      <c r="E274" s="41"/>
      <c r="F274" s="41" t="s">
        <v>56</v>
      </c>
      <c r="G274" s="43">
        <v>8</v>
      </c>
      <c r="H274" s="14">
        <f t="shared" si="6"/>
        <v>9</v>
      </c>
      <c r="I274" s="41">
        <v>1</v>
      </c>
      <c r="J274" s="41">
        <v>7</v>
      </c>
      <c r="K274" s="43" t="s">
        <v>1663</v>
      </c>
      <c r="Q274" s="43"/>
    </row>
    <row r="275" spans="1:17" x14ac:dyDescent="0.25">
      <c r="A275" s="11" t="s">
        <v>1349</v>
      </c>
      <c r="C275" s="10" t="s">
        <v>371</v>
      </c>
      <c r="E275" s="14" t="s">
        <v>1143</v>
      </c>
      <c r="F275" s="14" t="s">
        <v>56</v>
      </c>
      <c r="G275" s="13">
        <v>1</v>
      </c>
      <c r="H275" s="14">
        <f t="shared" si="6"/>
        <v>2</v>
      </c>
      <c r="I275" s="14">
        <v>1</v>
      </c>
      <c r="J275" s="14">
        <v>2</v>
      </c>
      <c r="K275" s="13" t="s">
        <v>1664</v>
      </c>
    </row>
    <row r="276" spans="1:17" x14ac:dyDescent="0.25">
      <c r="A276" s="11" t="s">
        <v>1349</v>
      </c>
      <c r="C276" s="10" t="s">
        <v>253</v>
      </c>
      <c r="F276" s="14" t="s">
        <v>56</v>
      </c>
      <c r="G276" s="13">
        <v>2</v>
      </c>
      <c r="H276" s="14">
        <f t="shared" si="6"/>
        <v>2</v>
      </c>
      <c r="J276" s="14">
        <v>2</v>
      </c>
      <c r="K276" s="13" t="s">
        <v>1622</v>
      </c>
    </row>
    <row r="277" spans="1:17" x14ac:dyDescent="0.25">
      <c r="A277" s="11" t="s">
        <v>1349</v>
      </c>
      <c r="C277" s="10" t="s">
        <v>254</v>
      </c>
      <c r="F277" s="14" t="s">
        <v>56</v>
      </c>
      <c r="G277" s="13">
        <v>4</v>
      </c>
      <c r="H277" s="14">
        <f t="shared" si="6"/>
        <v>4</v>
      </c>
      <c r="J277" s="14">
        <v>2</v>
      </c>
      <c r="K277" s="13" t="s">
        <v>1716</v>
      </c>
    </row>
    <row r="278" spans="1:17" x14ac:dyDescent="0.25">
      <c r="A278" s="11" t="s">
        <v>1349</v>
      </c>
      <c r="C278" s="10" t="s">
        <v>950</v>
      </c>
      <c r="E278" s="13" t="s">
        <v>57</v>
      </c>
      <c r="F278" s="14" t="s">
        <v>56</v>
      </c>
      <c r="G278" s="13">
        <v>2</v>
      </c>
      <c r="H278" s="14">
        <f t="shared" ref="H278:H306" si="7">G278+I278</f>
        <v>2</v>
      </c>
      <c r="J278" s="14">
        <v>2</v>
      </c>
      <c r="K278" s="13" t="s">
        <v>1715</v>
      </c>
    </row>
    <row r="279" spans="1:17" x14ac:dyDescent="0.25">
      <c r="A279" s="11" t="s">
        <v>1349</v>
      </c>
      <c r="C279" s="10" t="s">
        <v>301</v>
      </c>
      <c r="F279" s="14" t="s">
        <v>56</v>
      </c>
      <c r="G279" s="13"/>
      <c r="H279" s="14">
        <f t="shared" si="7"/>
        <v>1</v>
      </c>
      <c r="I279" s="14">
        <v>1</v>
      </c>
      <c r="J279" s="14">
        <v>1</v>
      </c>
      <c r="K279" s="13" t="s">
        <v>1593</v>
      </c>
    </row>
    <row r="280" spans="1:17" x14ac:dyDescent="0.25">
      <c r="A280" s="11" t="s">
        <v>1349</v>
      </c>
      <c r="B280" s="13" t="s">
        <v>161</v>
      </c>
      <c r="E280" s="14" t="s">
        <v>254</v>
      </c>
      <c r="F280" s="14" t="s">
        <v>56</v>
      </c>
      <c r="G280" s="13">
        <v>1</v>
      </c>
      <c r="H280" s="14">
        <f t="shared" si="7"/>
        <v>1</v>
      </c>
      <c r="J280" s="14">
        <v>1</v>
      </c>
      <c r="K280" s="13" t="s">
        <v>1187</v>
      </c>
    </row>
    <row r="281" spans="1:17" s="36" customFormat="1" ht="33.75" x14ac:dyDescent="0.25">
      <c r="A281" s="32" t="s">
        <v>1349</v>
      </c>
      <c r="B281" s="35"/>
      <c r="C281" s="34" t="s">
        <v>35</v>
      </c>
      <c r="D281" s="35"/>
      <c r="E281" s="33"/>
      <c r="F281" s="33" t="s">
        <v>35</v>
      </c>
      <c r="G281" s="35">
        <v>42</v>
      </c>
      <c r="H281" s="14">
        <f t="shared" si="7"/>
        <v>43</v>
      </c>
      <c r="I281" s="33">
        <v>1</v>
      </c>
      <c r="J281" s="33">
        <v>25</v>
      </c>
      <c r="K281" s="35" t="s">
        <v>1665</v>
      </c>
      <c r="Q281" s="35"/>
    </row>
    <row r="282" spans="1:17" x14ac:dyDescent="0.25">
      <c r="A282" s="11" t="s">
        <v>1349</v>
      </c>
      <c r="C282" s="10" t="s">
        <v>260</v>
      </c>
      <c r="F282" s="14" t="s">
        <v>35</v>
      </c>
      <c r="G282" s="13">
        <v>1</v>
      </c>
      <c r="H282" s="14">
        <f t="shared" si="7"/>
        <v>1</v>
      </c>
      <c r="J282" s="14">
        <v>1</v>
      </c>
      <c r="K282" s="13" t="s">
        <v>1583</v>
      </c>
      <c r="Q282" s="15"/>
    </row>
    <row r="283" spans="1:17" x14ac:dyDescent="0.25">
      <c r="A283" s="11" t="s">
        <v>1349</v>
      </c>
      <c r="C283" s="10" t="s">
        <v>821</v>
      </c>
      <c r="F283" s="14" t="s">
        <v>35</v>
      </c>
      <c r="G283" s="13">
        <v>1</v>
      </c>
      <c r="H283" s="14">
        <f t="shared" si="7"/>
        <v>1</v>
      </c>
      <c r="J283" s="14">
        <v>1</v>
      </c>
      <c r="K283" s="13" t="s">
        <v>860</v>
      </c>
      <c r="Q283" s="15"/>
    </row>
    <row r="284" spans="1:17" x14ac:dyDescent="0.25">
      <c r="A284" s="11" t="s">
        <v>1349</v>
      </c>
      <c r="B284" s="13" t="s">
        <v>953</v>
      </c>
      <c r="C284" s="10" t="s">
        <v>1414</v>
      </c>
      <c r="E284" s="14" t="s">
        <v>728</v>
      </c>
      <c r="F284" s="14" t="s">
        <v>35</v>
      </c>
      <c r="G284" s="13">
        <v>2</v>
      </c>
      <c r="H284" s="14">
        <f t="shared" si="7"/>
        <v>2</v>
      </c>
      <c r="J284" s="14">
        <v>1</v>
      </c>
      <c r="K284" s="13" t="s">
        <v>860</v>
      </c>
      <c r="Q284" s="15"/>
    </row>
    <row r="285" spans="1:17" x14ac:dyDescent="0.25">
      <c r="A285" s="11" t="s">
        <v>1349</v>
      </c>
      <c r="B285" s="13" t="s">
        <v>238</v>
      </c>
      <c r="E285" s="14" t="s">
        <v>236</v>
      </c>
      <c r="F285" s="14" t="s">
        <v>35</v>
      </c>
      <c r="G285" s="13">
        <v>3</v>
      </c>
      <c r="H285" s="14">
        <f t="shared" si="7"/>
        <v>3</v>
      </c>
      <c r="J285" s="14">
        <v>2</v>
      </c>
      <c r="K285" s="13" t="s">
        <v>1524</v>
      </c>
      <c r="Q285" s="15"/>
    </row>
    <row r="286" spans="1:17" ht="33.75" x14ac:dyDescent="0.25">
      <c r="A286" s="11" t="s">
        <v>1349</v>
      </c>
      <c r="D286" s="13" t="s">
        <v>736</v>
      </c>
      <c r="F286" s="13" t="s">
        <v>2248</v>
      </c>
      <c r="G286" s="13">
        <v>24</v>
      </c>
      <c r="H286" s="14">
        <f t="shared" si="7"/>
        <v>27</v>
      </c>
      <c r="I286" s="14">
        <v>3</v>
      </c>
      <c r="J286" s="14">
        <v>13</v>
      </c>
      <c r="K286" s="13" t="s">
        <v>1544</v>
      </c>
      <c r="O286" s="51"/>
      <c r="Q286" s="15"/>
    </row>
    <row r="287" spans="1:17" x14ac:dyDescent="0.25">
      <c r="A287" s="11" t="s">
        <v>1349</v>
      </c>
      <c r="C287" s="10" t="s">
        <v>1489</v>
      </c>
      <c r="F287" s="13" t="s">
        <v>35</v>
      </c>
      <c r="G287" s="13">
        <v>2</v>
      </c>
      <c r="H287" s="14">
        <f t="shared" si="7"/>
        <v>2</v>
      </c>
      <c r="J287" s="14">
        <v>2</v>
      </c>
      <c r="K287" s="13" t="s">
        <v>1545</v>
      </c>
      <c r="Q287" s="15"/>
    </row>
    <row r="288" spans="1:17" x14ac:dyDescent="0.25">
      <c r="A288" s="11" t="s">
        <v>1349</v>
      </c>
      <c r="B288" s="13" t="s">
        <v>676</v>
      </c>
      <c r="F288" s="14" t="s">
        <v>35</v>
      </c>
      <c r="G288" s="13">
        <v>5</v>
      </c>
      <c r="H288" s="14">
        <f t="shared" si="7"/>
        <v>5</v>
      </c>
      <c r="J288" s="14">
        <v>5</v>
      </c>
      <c r="K288" s="13" t="s">
        <v>1560</v>
      </c>
      <c r="Q288" s="15"/>
    </row>
    <row r="289" spans="1:17" x14ac:dyDescent="0.25">
      <c r="A289" s="11" t="s">
        <v>1349</v>
      </c>
      <c r="B289" s="13" t="s">
        <v>676</v>
      </c>
      <c r="E289" s="14" t="s">
        <v>746</v>
      </c>
      <c r="F289" s="14" t="s">
        <v>35</v>
      </c>
      <c r="G289" s="13">
        <v>1</v>
      </c>
      <c r="H289" s="14">
        <f t="shared" si="7"/>
        <v>1</v>
      </c>
      <c r="J289" s="14">
        <v>1</v>
      </c>
      <c r="K289" s="13" t="s">
        <v>1286</v>
      </c>
      <c r="Q289" s="15"/>
    </row>
    <row r="290" spans="1:17" ht="22.5" x14ac:dyDescent="0.25">
      <c r="A290" s="11" t="s">
        <v>1349</v>
      </c>
      <c r="B290" s="13" t="s">
        <v>226</v>
      </c>
      <c r="D290" s="13" t="s">
        <v>1034</v>
      </c>
      <c r="E290" s="13" t="s">
        <v>1490</v>
      </c>
      <c r="F290" s="14" t="s">
        <v>35</v>
      </c>
      <c r="G290" s="13">
        <v>8</v>
      </c>
      <c r="H290" s="14">
        <f>G290+I290</f>
        <v>10</v>
      </c>
      <c r="I290" s="14">
        <v>2</v>
      </c>
      <c r="J290" s="14">
        <v>5</v>
      </c>
      <c r="K290" s="13" t="s">
        <v>1546</v>
      </c>
    </row>
    <row r="291" spans="1:17" x14ac:dyDescent="0.25">
      <c r="A291" s="11" t="s">
        <v>1349</v>
      </c>
      <c r="B291" s="13" t="s">
        <v>249</v>
      </c>
      <c r="D291" s="13" t="s">
        <v>465</v>
      </c>
      <c r="E291" s="14" t="s">
        <v>464</v>
      </c>
      <c r="F291" s="14" t="s">
        <v>35</v>
      </c>
      <c r="G291" s="13">
        <v>9</v>
      </c>
      <c r="H291" s="14">
        <f t="shared" si="7"/>
        <v>10</v>
      </c>
      <c r="I291" s="14">
        <v>1</v>
      </c>
      <c r="J291" s="14">
        <v>5</v>
      </c>
      <c r="K291" s="13" t="s">
        <v>1557</v>
      </c>
      <c r="Q291" s="15"/>
    </row>
    <row r="292" spans="1:17" x14ac:dyDescent="0.25">
      <c r="A292" s="11" t="s">
        <v>1349</v>
      </c>
      <c r="B292" s="13" t="s">
        <v>249</v>
      </c>
      <c r="C292" s="10" t="s">
        <v>1527</v>
      </c>
      <c r="E292" s="14" t="s">
        <v>464</v>
      </c>
      <c r="F292" s="14" t="s">
        <v>35</v>
      </c>
      <c r="G292" s="13">
        <v>1</v>
      </c>
      <c r="H292" s="14">
        <f t="shared" si="7"/>
        <v>1</v>
      </c>
      <c r="J292" s="14">
        <v>1</v>
      </c>
      <c r="K292" s="13" t="s">
        <v>1329</v>
      </c>
      <c r="Q292" s="15"/>
    </row>
    <row r="293" spans="1:17" ht="22.5" x14ac:dyDescent="0.25">
      <c r="A293" s="11" t="s">
        <v>1349</v>
      </c>
      <c r="B293" s="13" t="s">
        <v>34</v>
      </c>
      <c r="F293" s="14" t="s">
        <v>35</v>
      </c>
      <c r="G293" s="13">
        <v>18</v>
      </c>
      <c r="H293" s="14">
        <f t="shared" si="7"/>
        <v>18</v>
      </c>
      <c r="J293" s="14">
        <v>11</v>
      </c>
      <c r="K293" s="13" t="s">
        <v>1555</v>
      </c>
      <c r="Q293" s="15"/>
    </row>
    <row r="294" spans="1:17" ht="22.5" x14ac:dyDescent="0.25">
      <c r="A294" s="11" t="s">
        <v>1349</v>
      </c>
      <c r="B294" s="13" t="s">
        <v>34</v>
      </c>
      <c r="D294" s="13" t="s">
        <v>1034</v>
      </c>
      <c r="E294" s="14" t="s">
        <v>1048</v>
      </c>
      <c r="F294" s="14" t="s">
        <v>35</v>
      </c>
      <c r="G294" s="13">
        <v>1</v>
      </c>
      <c r="H294" s="14">
        <f t="shared" si="7"/>
        <v>1</v>
      </c>
      <c r="J294" s="14">
        <v>1</v>
      </c>
      <c r="K294" s="13" t="s">
        <v>1559</v>
      </c>
    </row>
    <row r="295" spans="1:17" ht="22.5" x14ac:dyDescent="0.25">
      <c r="A295" s="11" t="s">
        <v>1349</v>
      </c>
      <c r="B295" s="13" t="s">
        <v>34</v>
      </c>
      <c r="D295" s="13" t="s">
        <v>1034</v>
      </c>
      <c r="E295" s="14" t="s">
        <v>1047</v>
      </c>
      <c r="F295" s="14" t="s">
        <v>35</v>
      </c>
      <c r="G295" s="13">
        <v>5</v>
      </c>
      <c r="H295" s="14">
        <f t="shared" si="7"/>
        <v>6</v>
      </c>
      <c r="I295" s="14">
        <v>1</v>
      </c>
      <c r="J295" s="14">
        <v>3</v>
      </c>
      <c r="K295" s="13" t="s">
        <v>1556</v>
      </c>
    </row>
    <row r="296" spans="1:17" ht="33.75" x14ac:dyDescent="0.25">
      <c r="A296" s="11" t="s">
        <v>1349</v>
      </c>
      <c r="B296" s="13" t="s">
        <v>34</v>
      </c>
      <c r="D296" s="13" t="s">
        <v>753</v>
      </c>
      <c r="E296" s="13" t="s">
        <v>1504</v>
      </c>
      <c r="F296" s="14" t="s">
        <v>35</v>
      </c>
      <c r="G296" s="13">
        <v>10</v>
      </c>
      <c r="H296" s="14">
        <f t="shared" si="7"/>
        <v>17</v>
      </c>
      <c r="I296" s="14">
        <v>7</v>
      </c>
      <c r="J296" s="14">
        <v>10</v>
      </c>
      <c r="K296" s="13" t="s">
        <v>1554</v>
      </c>
    </row>
    <row r="297" spans="1:17" x14ac:dyDescent="0.25">
      <c r="A297" s="11" t="s">
        <v>1349</v>
      </c>
      <c r="B297" s="13" t="s">
        <v>34</v>
      </c>
      <c r="E297" s="13" t="s">
        <v>469</v>
      </c>
      <c r="F297" s="14" t="s">
        <v>35</v>
      </c>
      <c r="G297" s="13">
        <v>1</v>
      </c>
      <c r="H297" s="14">
        <f t="shared" si="7"/>
        <v>1</v>
      </c>
      <c r="J297" s="14">
        <v>1</v>
      </c>
      <c r="K297" s="13" t="s">
        <v>1521</v>
      </c>
    </row>
    <row r="298" spans="1:17" x14ac:dyDescent="0.25">
      <c r="A298" s="11" t="s">
        <v>1349</v>
      </c>
      <c r="B298" s="13" t="s">
        <v>99</v>
      </c>
      <c r="C298" s="10" t="s">
        <v>1505</v>
      </c>
      <c r="E298" s="13"/>
      <c r="F298" s="14" t="s">
        <v>35</v>
      </c>
      <c r="G298" s="13">
        <v>5</v>
      </c>
      <c r="H298" s="14">
        <f t="shared" si="7"/>
        <v>5</v>
      </c>
      <c r="J298" s="14">
        <v>4</v>
      </c>
      <c r="K298" s="13" t="s">
        <v>1525</v>
      </c>
    </row>
    <row r="299" spans="1:17" x14ac:dyDescent="0.25">
      <c r="A299" s="11" t="s">
        <v>1349</v>
      </c>
      <c r="B299" s="13" t="s">
        <v>99</v>
      </c>
      <c r="C299" s="10" t="s">
        <v>745</v>
      </c>
      <c r="E299" s="14" t="s">
        <v>249</v>
      </c>
      <c r="F299" s="14" t="s">
        <v>35</v>
      </c>
      <c r="G299" s="13">
        <v>1</v>
      </c>
      <c r="H299" s="14">
        <f t="shared" si="7"/>
        <v>1</v>
      </c>
      <c r="J299" s="14">
        <v>1</v>
      </c>
      <c r="K299" s="13" t="s">
        <v>860</v>
      </c>
    </row>
    <row r="300" spans="1:17" x14ac:dyDescent="0.25">
      <c r="A300" s="11" t="s">
        <v>1349</v>
      </c>
      <c r="B300" s="13" t="s">
        <v>99</v>
      </c>
      <c r="C300" s="10" t="s">
        <v>98</v>
      </c>
      <c r="F300" s="14" t="s">
        <v>35</v>
      </c>
      <c r="G300" s="13">
        <v>1</v>
      </c>
      <c r="H300" s="14">
        <f t="shared" si="7"/>
        <v>1</v>
      </c>
      <c r="J300" s="14">
        <v>1</v>
      </c>
      <c r="K300" s="13" t="s">
        <v>860</v>
      </c>
    </row>
    <row r="301" spans="1:17" x14ac:dyDescent="0.25">
      <c r="A301" s="11" t="s">
        <v>1349</v>
      </c>
      <c r="B301" s="13" t="s">
        <v>319</v>
      </c>
      <c r="C301" s="10" t="s">
        <v>315</v>
      </c>
      <c r="F301" s="14" t="s">
        <v>35</v>
      </c>
      <c r="G301" s="13">
        <v>9</v>
      </c>
      <c r="H301" s="14">
        <f t="shared" si="7"/>
        <v>9</v>
      </c>
      <c r="J301" s="14">
        <v>6</v>
      </c>
      <c r="K301" s="13" t="s">
        <v>1558</v>
      </c>
    </row>
    <row r="302" spans="1:17" s="31" customFormat="1" ht="33.75" x14ac:dyDescent="0.25">
      <c r="A302" s="27" t="s">
        <v>1349</v>
      </c>
      <c r="B302" s="30"/>
      <c r="C302" s="29" t="s">
        <v>771</v>
      </c>
      <c r="D302" s="30"/>
      <c r="E302" s="28"/>
      <c r="F302" s="28" t="s">
        <v>771</v>
      </c>
      <c r="G302" s="30">
        <v>38</v>
      </c>
      <c r="H302" s="14">
        <f t="shared" si="7"/>
        <v>40</v>
      </c>
      <c r="I302" s="28">
        <v>2</v>
      </c>
      <c r="J302" s="28">
        <v>26</v>
      </c>
      <c r="K302" s="30" t="s">
        <v>1720</v>
      </c>
      <c r="Q302" s="30"/>
    </row>
    <row r="303" spans="1:17" x14ac:dyDescent="0.25">
      <c r="A303" s="11" t="s">
        <v>1349</v>
      </c>
      <c r="B303" s="13" t="s">
        <v>1400</v>
      </c>
      <c r="C303" s="10" t="s">
        <v>1401</v>
      </c>
      <c r="F303" s="14" t="s">
        <v>1402</v>
      </c>
      <c r="G303" s="13">
        <v>13</v>
      </c>
      <c r="H303" s="14">
        <f t="shared" si="7"/>
        <v>13</v>
      </c>
      <c r="J303" s="14">
        <v>5</v>
      </c>
      <c r="K303" s="13" t="s">
        <v>1430</v>
      </c>
    </row>
    <row r="304" spans="1:17" ht="22.5" x14ac:dyDescent="0.25">
      <c r="A304" s="11" t="s">
        <v>1349</v>
      </c>
      <c r="B304" s="13" t="s">
        <v>778</v>
      </c>
      <c r="F304" s="13" t="s">
        <v>776</v>
      </c>
      <c r="G304" s="13">
        <v>1</v>
      </c>
      <c r="H304" s="14">
        <f t="shared" si="7"/>
        <v>1</v>
      </c>
      <c r="J304" s="14">
        <v>1</v>
      </c>
      <c r="K304" s="13" t="s">
        <v>1187</v>
      </c>
    </row>
    <row r="305" spans="1:17" x14ac:dyDescent="0.25">
      <c r="A305" s="11" t="s">
        <v>1349</v>
      </c>
      <c r="D305" s="13" t="s">
        <v>969</v>
      </c>
      <c r="F305" s="14" t="s">
        <v>771</v>
      </c>
      <c r="G305" s="13"/>
      <c r="H305" s="14">
        <f t="shared" si="7"/>
        <v>1</v>
      </c>
      <c r="I305" s="14">
        <v>1</v>
      </c>
      <c r="J305" s="14">
        <v>1</v>
      </c>
      <c r="K305" s="13" t="s">
        <v>893</v>
      </c>
      <c r="Q305" s="15"/>
    </row>
    <row r="306" spans="1:17" x14ac:dyDescent="0.25">
      <c r="A306" s="11" t="s">
        <v>1349</v>
      </c>
      <c r="D306" s="13" t="s">
        <v>1219</v>
      </c>
      <c r="F306" s="14" t="s">
        <v>771</v>
      </c>
      <c r="G306" s="13"/>
      <c r="H306" s="14">
        <f t="shared" si="7"/>
        <v>2</v>
      </c>
      <c r="I306" s="14">
        <v>2</v>
      </c>
      <c r="J306" s="14">
        <v>2</v>
      </c>
      <c r="K306" s="13" t="s">
        <v>1453</v>
      </c>
      <c r="Q306" s="15"/>
    </row>
    <row r="307" spans="1:17" x14ac:dyDescent="0.25">
      <c r="A307" s="11" t="s">
        <v>1349</v>
      </c>
      <c r="B307" s="13" t="s">
        <v>804</v>
      </c>
      <c r="F307" s="13" t="s">
        <v>773</v>
      </c>
      <c r="G307" s="13">
        <v>2</v>
      </c>
      <c r="H307" s="14">
        <f t="shared" ref="H307:H314" si="8">G307+I307</f>
        <v>2</v>
      </c>
      <c r="J307" s="14">
        <v>2</v>
      </c>
      <c r="K307" s="13" t="s">
        <v>1403</v>
      </c>
      <c r="Q307" s="15"/>
    </row>
    <row r="308" spans="1:17" x14ac:dyDescent="0.25">
      <c r="A308" s="11" t="s">
        <v>1349</v>
      </c>
      <c r="B308" s="13" t="s">
        <v>795</v>
      </c>
      <c r="C308" s="10" t="s">
        <v>944</v>
      </c>
      <c r="D308" s="13" t="s">
        <v>1223</v>
      </c>
      <c r="E308" s="14" t="s">
        <v>797</v>
      </c>
      <c r="F308" s="13" t="s">
        <v>773</v>
      </c>
      <c r="G308" s="13">
        <v>3</v>
      </c>
      <c r="H308" s="14">
        <f t="shared" si="8"/>
        <v>3</v>
      </c>
      <c r="J308" s="14">
        <v>2</v>
      </c>
      <c r="K308" s="13" t="s">
        <v>1454</v>
      </c>
      <c r="Q308" s="15"/>
    </row>
    <row r="309" spans="1:17" x14ac:dyDescent="0.25">
      <c r="A309" s="11" t="s">
        <v>1349</v>
      </c>
      <c r="B309" s="13" t="s">
        <v>1671</v>
      </c>
      <c r="F309" s="13" t="s">
        <v>773</v>
      </c>
      <c r="G309" s="13">
        <v>2</v>
      </c>
      <c r="H309" s="14">
        <f t="shared" si="8"/>
        <v>2</v>
      </c>
      <c r="J309" s="14">
        <v>2</v>
      </c>
      <c r="K309" s="13" t="s">
        <v>1669</v>
      </c>
      <c r="Q309" s="15"/>
    </row>
    <row r="310" spans="1:17" x14ac:dyDescent="0.25">
      <c r="A310" s="11" t="s">
        <v>1349</v>
      </c>
      <c r="B310" s="13" t="s">
        <v>1264</v>
      </c>
      <c r="F310" s="14" t="s">
        <v>773</v>
      </c>
      <c r="G310" s="13">
        <v>2</v>
      </c>
      <c r="H310" s="14">
        <f t="shared" si="8"/>
        <v>2</v>
      </c>
      <c r="J310" s="14">
        <v>2</v>
      </c>
      <c r="K310" s="13" t="s">
        <v>1704</v>
      </c>
      <c r="Q310" s="15"/>
    </row>
    <row r="311" spans="1:17" x14ac:dyDescent="0.25">
      <c r="A311" s="11" t="s">
        <v>1349</v>
      </c>
      <c r="E311" s="13" t="s">
        <v>1221</v>
      </c>
      <c r="F311" s="14" t="s">
        <v>771</v>
      </c>
      <c r="G311" s="13">
        <v>1</v>
      </c>
      <c r="H311" s="14">
        <f t="shared" si="8"/>
        <v>1</v>
      </c>
      <c r="J311" s="14">
        <v>1</v>
      </c>
      <c r="K311" s="13" t="s">
        <v>1258</v>
      </c>
      <c r="Q311" s="15"/>
    </row>
    <row r="312" spans="1:17" x14ac:dyDescent="0.25">
      <c r="A312" s="11" t="s">
        <v>1349</v>
      </c>
      <c r="E312" s="14" t="s">
        <v>776</v>
      </c>
      <c r="F312" s="14" t="s">
        <v>771</v>
      </c>
      <c r="G312" s="13">
        <v>3</v>
      </c>
      <c r="H312" s="14">
        <f t="shared" si="8"/>
        <v>6</v>
      </c>
      <c r="I312" s="14">
        <v>3</v>
      </c>
      <c r="J312" s="14">
        <v>5</v>
      </c>
      <c r="K312" s="13" t="s">
        <v>1503</v>
      </c>
      <c r="Q312" s="15"/>
    </row>
    <row r="313" spans="1:17" x14ac:dyDescent="0.25">
      <c r="A313" s="11" t="s">
        <v>1349</v>
      </c>
      <c r="E313" s="14" t="s">
        <v>1023</v>
      </c>
      <c r="F313" s="14" t="s">
        <v>771</v>
      </c>
      <c r="G313" s="13">
        <v>1</v>
      </c>
      <c r="H313" s="14">
        <f t="shared" si="8"/>
        <v>1</v>
      </c>
      <c r="J313" s="14">
        <v>1</v>
      </c>
      <c r="K313" s="13" t="s">
        <v>1187</v>
      </c>
      <c r="Q313" s="15"/>
    </row>
    <row r="314" spans="1:17" x14ac:dyDescent="0.25">
      <c r="A314" s="11" t="s">
        <v>1349</v>
      </c>
      <c r="C314" s="10" t="s">
        <v>774</v>
      </c>
      <c r="F314" s="14" t="s">
        <v>771</v>
      </c>
      <c r="G314" s="13">
        <v>1</v>
      </c>
      <c r="H314" s="14">
        <f t="shared" si="8"/>
        <v>1</v>
      </c>
      <c r="J314" s="14">
        <v>1</v>
      </c>
      <c r="K314" s="13" t="s">
        <v>1258</v>
      </c>
      <c r="Q314" s="15"/>
    </row>
    <row r="317" spans="1:17" ht="22.5" x14ac:dyDescent="0.25">
      <c r="B317" s="13" t="s">
        <v>532</v>
      </c>
      <c r="C317" s="10">
        <f>H2+H231</f>
        <v>3</v>
      </c>
      <c r="Q317" s="15"/>
    </row>
    <row r="318" spans="1:17" x14ac:dyDescent="0.25">
      <c r="B318" s="13" t="s">
        <v>411</v>
      </c>
      <c r="C318" s="10">
        <v>0</v>
      </c>
      <c r="Q318" s="15"/>
    </row>
    <row r="319" spans="1:17" x14ac:dyDescent="0.25">
      <c r="B319" s="13" t="s">
        <v>297</v>
      </c>
      <c r="C319" s="10">
        <f>H3</f>
        <v>5</v>
      </c>
      <c r="Q319" s="15"/>
    </row>
    <row r="320" spans="1:17" x14ac:dyDescent="0.25">
      <c r="B320" s="13" t="s">
        <v>2249</v>
      </c>
      <c r="C320" s="10">
        <f>H4</f>
        <v>1</v>
      </c>
      <c r="Q320" s="15"/>
    </row>
    <row r="321" spans="1:17" x14ac:dyDescent="0.25">
      <c r="B321" s="13" t="s">
        <v>76</v>
      </c>
      <c r="C321" s="10">
        <f>SUM(H5:H7)</f>
        <v>31</v>
      </c>
      <c r="Q321" s="15"/>
    </row>
    <row r="322" spans="1:17" x14ac:dyDescent="0.25">
      <c r="B322" s="13" t="s">
        <v>1424</v>
      </c>
      <c r="C322" s="10">
        <f>SUM(H8:H9)</f>
        <v>2</v>
      </c>
      <c r="Q322" s="15"/>
    </row>
    <row r="323" spans="1:17" x14ac:dyDescent="0.25">
      <c r="B323" s="13" t="s">
        <v>213</v>
      </c>
      <c r="C323" s="10">
        <v>0</v>
      </c>
      <c r="D323" s="15"/>
      <c r="E323" s="15"/>
      <c r="F323" s="15"/>
      <c r="G323" s="15"/>
      <c r="I323" s="15"/>
      <c r="J323" s="15"/>
      <c r="K323" s="16"/>
      <c r="Q323" s="15"/>
    </row>
    <row r="324" spans="1:17" x14ac:dyDescent="0.25">
      <c r="B324" s="13" t="s">
        <v>42</v>
      </c>
      <c r="C324" s="10">
        <f>H10+SUM(H232:H235)</f>
        <v>16</v>
      </c>
      <c r="D324" s="15"/>
      <c r="E324" s="15"/>
      <c r="F324" s="15"/>
      <c r="G324" s="15"/>
      <c r="I324" s="15"/>
      <c r="J324" s="15"/>
      <c r="K324" s="16"/>
      <c r="Q324" s="15"/>
    </row>
    <row r="325" spans="1:17" x14ac:dyDescent="0.25">
      <c r="B325" s="13" t="s">
        <v>10</v>
      </c>
      <c r="C325" s="10">
        <f>SUM(H11:H12)+SUM(H236:H237)</f>
        <v>9</v>
      </c>
      <c r="D325" s="15"/>
      <c r="E325" s="15"/>
      <c r="F325" s="15"/>
      <c r="G325" s="15"/>
      <c r="I325" s="15"/>
      <c r="J325" s="15"/>
      <c r="K325" s="16"/>
      <c r="Q325" s="15"/>
    </row>
    <row r="326" spans="1:17" x14ac:dyDescent="0.25">
      <c r="B326" s="13" t="s">
        <v>126</v>
      </c>
      <c r="C326" s="10">
        <f>SUM(H13:H21)</f>
        <v>12</v>
      </c>
      <c r="D326" s="15"/>
      <c r="E326" s="15"/>
      <c r="F326" s="15"/>
      <c r="G326" s="15"/>
      <c r="I326" s="15"/>
      <c r="J326" s="15"/>
      <c r="K326" s="16"/>
      <c r="Q326" s="15"/>
    </row>
    <row r="327" spans="1:17" x14ac:dyDescent="0.25">
      <c r="B327" s="13" t="s">
        <v>191</v>
      </c>
      <c r="C327" s="10">
        <f>SUM(H22:H25)+H238</f>
        <v>33</v>
      </c>
      <c r="Q327" s="15"/>
    </row>
    <row r="328" spans="1:17" x14ac:dyDescent="0.25">
      <c r="B328" s="13" t="s">
        <v>68</v>
      </c>
      <c r="C328" s="10">
        <f>SUM(H26:H33)+H239</f>
        <v>42</v>
      </c>
      <c r="Q328" s="15"/>
    </row>
    <row r="329" spans="1:17" x14ac:dyDescent="0.25">
      <c r="B329" s="13" t="s">
        <v>674</v>
      </c>
      <c r="C329" s="10">
        <v>0</v>
      </c>
      <c r="Q329" s="15"/>
    </row>
    <row r="330" spans="1:17" x14ac:dyDescent="0.25">
      <c r="B330" s="13" t="s">
        <v>327</v>
      </c>
      <c r="C330" s="10">
        <v>0</v>
      </c>
      <c r="Q330" s="15"/>
    </row>
    <row r="331" spans="1:17" x14ac:dyDescent="0.25">
      <c r="B331" s="13" t="s">
        <v>209</v>
      </c>
      <c r="C331" s="10">
        <f>H34</f>
        <v>5</v>
      </c>
      <c r="Q331" s="15"/>
    </row>
    <row r="332" spans="1:17" x14ac:dyDescent="0.25">
      <c r="B332" s="13" t="s">
        <v>64</v>
      </c>
      <c r="C332" s="10">
        <f>H35</f>
        <v>6</v>
      </c>
      <c r="Q332" s="15"/>
    </row>
    <row r="333" spans="1:17" x14ac:dyDescent="0.25">
      <c r="B333" s="13" t="s">
        <v>261</v>
      </c>
      <c r="C333" s="10">
        <f>H36</f>
        <v>2</v>
      </c>
      <c r="Q333" s="15"/>
    </row>
    <row r="334" spans="1:17" customFormat="1" ht="15" x14ac:dyDescent="0.25">
      <c r="A334" s="48"/>
      <c r="B334" s="13" t="s">
        <v>1346</v>
      </c>
      <c r="C334" s="21">
        <v>0</v>
      </c>
      <c r="H334" s="14"/>
    </row>
    <row r="335" spans="1:17" customFormat="1" ht="15" x14ac:dyDescent="0.25">
      <c r="A335" s="48"/>
      <c r="B335" s="13" t="s">
        <v>705</v>
      </c>
      <c r="C335" s="21">
        <f>H37</f>
        <v>4</v>
      </c>
      <c r="H335" s="14"/>
    </row>
    <row r="336" spans="1:17" x14ac:dyDescent="0.25">
      <c r="B336" s="13" t="s">
        <v>283</v>
      </c>
      <c r="C336" s="10">
        <f>H38+H241</f>
        <v>11</v>
      </c>
      <c r="D336" s="15"/>
      <c r="E336" s="15"/>
      <c r="F336" s="15"/>
      <c r="G336" s="15"/>
      <c r="I336" s="15"/>
      <c r="J336" s="15"/>
      <c r="K336" s="15"/>
      <c r="Q336" s="15"/>
    </row>
    <row r="337" spans="1:17" x14ac:dyDescent="0.25">
      <c r="B337" s="13" t="s">
        <v>430</v>
      </c>
      <c r="C337" s="10">
        <f>H242</f>
        <v>1</v>
      </c>
      <c r="D337" s="15"/>
      <c r="E337" s="15"/>
      <c r="F337" s="15"/>
      <c r="G337" s="15"/>
      <c r="I337" s="15"/>
      <c r="J337" s="15"/>
      <c r="K337" s="15"/>
      <c r="Q337" s="15"/>
    </row>
    <row r="338" spans="1:17" x14ac:dyDescent="0.25">
      <c r="B338" s="13" t="s">
        <v>328</v>
      </c>
      <c r="C338" s="10">
        <f>H39</f>
        <v>3</v>
      </c>
      <c r="D338" s="15"/>
      <c r="E338" s="15"/>
      <c r="F338" s="15"/>
      <c r="G338" s="15"/>
      <c r="I338" s="15"/>
      <c r="J338" s="15"/>
      <c r="K338" s="15"/>
      <c r="Q338" s="15"/>
    </row>
    <row r="339" spans="1:17" x14ac:dyDescent="0.25">
      <c r="B339" s="13" t="s">
        <v>483</v>
      </c>
      <c r="C339" s="10">
        <v>0</v>
      </c>
      <c r="D339" s="15"/>
      <c r="E339" s="15"/>
      <c r="F339" s="15"/>
      <c r="G339" s="15"/>
      <c r="I339" s="15"/>
      <c r="J339" s="15"/>
      <c r="K339" s="15"/>
      <c r="Q339" s="15"/>
    </row>
    <row r="340" spans="1:17" x14ac:dyDescent="0.25">
      <c r="B340" s="13" t="s">
        <v>78</v>
      </c>
      <c r="C340" s="10">
        <f>SUM(H40:H42)</f>
        <v>8</v>
      </c>
      <c r="D340" s="15"/>
      <c r="E340" s="15"/>
      <c r="F340" s="15"/>
      <c r="G340" s="15"/>
      <c r="I340" s="15"/>
      <c r="J340" s="15"/>
      <c r="K340" s="15"/>
      <c r="Q340" s="15"/>
    </row>
    <row r="341" spans="1:17" x14ac:dyDescent="0.25">
      <c r="A341" s="15"/>
      <c r="B341" s="13" t="s">
        <v>206</v>
      </c>
      <c r="C341" s="10">
        <f>H43</f>
        <v>2</v>
      </c>
      <c r="D341" s="15"/>
      <c r="E341" s="15"/>
      <c r="F341" s="15"/>
      <c r="G341" s="15"/>
      <c r="I341" s="15"/>
      <c r="J341" s="15"/>
      <c r="K341" s="15"/>
      <c r="Q341" s="15"/>
    </row>
    <row r="342" spans="1:17" x14ac:dyDescent="0.25">
      <c r="A342" s="15"/>
      <c r="B342" s="13" t="s">
        <v>46</v>
      </c>
      <c r="C342" s="10">
        <f>SUM(H44:H46)+H243</f>
        <v>5</v>
      </c>
      <c r="D342" s="15"/>
      <c r="E342" s="15"/>
      <c r="F342" s="15"/>
      <c r="G342" s="15"/>
      <c r="I342" s="15"/>
      <c r="J342" s="15"/>
      <c r="K342" s="15"/>
      <c r="Q342" s="15"/>
    </row>
    <row r="343" spans="1:17" x14ac:dyDescent="0.25">
      <c r="A343" s="15"/>
      <c r="B343" s="13" t="s">
        <v>62</v>
      </c>
      <c r="C343" s="10">
        <f>SUM(H47:H51)+H244</f>
        <v>19</v>
      </c>
      <c r="D343" s="15"/>
      <c r="E343" s="15"/>
      <c r="F343" s="15"/>
      <c r="G343" s="15"/>
      <c r="I343" s="15"/>
      <c r="J343" s="15"/>
      <c r="K343" s="15"/>
      <c r="Q343" s="15"/>
    </row>
    <row r="344" spans="1:17" x14ac:dyDescent="0.25">
      <c r="A344" s="15"/>
      <c r="B344" s="13" t="s">
        <v>82</v>
      </c>
      <c r="C344" s="10">
        <f>H245</f>
        <v>1</v>
      </c>
      <c r="D344" s="15"/>
      <c r="E344" s="15"/>
      <c r="F344" s="15"/>
      <c r="G344" s="15"/>
      <c r="I344" s="15"/>
      <c r="J344" s="15"/>
      <c r="K344" s="15"/>
      <c r="Q344" s="15"/>
    </row>
    <row r="345" spans="1:17" x14ac:dyDescent="0.25">
      <c r="A345" s="15"/>
      <c r="B345" s="13" t="s">
        <v>22</v>
      </c>
      <c r="C345" s="10">
        <f>SUM(H52:H53)+SUM(H246:H247)</f>
        <v>5</v>
      </c>
      <c r="D345" s="15"/>
      <c r="E345" s="15"/>
      <c r="F345" s="15"/>
      <c r="G345" s="15"/>
      <c r="I345" s="15"/>
      <c r="J345" s="15"/>
      <c r="K345" s="15"/>
      <c r="Q345" s="15"/>
    </row>
    <row r="346" spans="1:17" x14ac:dyDescent="0.25">
      <c r="A346" s="15"/>
      <c r="B346" s="13" t="s">
        <v>446</v>
      </c>
      <c r="C346" s="10">
        <v>0</v>
      </c>
      <c r="D346" s="15"/>
      <c r="E346" s="15"/>
      <c r="F346" s="15"/>
      <c r="G346" s="15"/>
      <c r="I346" s="15"/>
      <c r="J346" s="15"/>
      <c r="K346" s="15"/>
      <c r="Q346" s="15"/>
    </row>
    <row r="347" spans="1:17" x14ac:dyDescent="0.25">
      <c r="A347" s="15"/>
      <c r="B347" s="13" t="s">
        <v>609</v>
      </c>
      <c r="C347" s="10">
        <f>SUM(H54:H59)</f>
        <v>10</v>
      </c>
      <c r="D347" s="15"/>
      <c r="E347" s="15"/>
      <c r="F347" s="15"/>
      <c r="G347" s="15"/>
      <c r="I347" s="15"/>
      <c r="J347" s="15"/>
      <c r="K347" s="15"/>
      <c r="Q347" s="15"/>
    </row>
    <row r="348" spans="1:17" x14ac:dyDescent="0.25">
      <c r="A348" s="15"/>
      <c r="B348" s="13" t="s">
        <v>699</v>
      </c>
      <c r="C348" s="10">
        <v>0</v>
      </c>
      <c r="D348" s="15"/>
      <c r="E348" s="15"/>
      <c r="F348" s="15"/>
      <c r="G348" s="15"/>
      <c r="I348" s="15"/>
      <c r="J348" s="15"/>
      <c r="K348" s="15"/>
      <c r="Q348" s="15"/>
    </row>
    <row r="349" spans="1:17" x14ac:dyDescent="0.25">
      <c r="A349" s="15"/>
      <c r="B349" s="13" t="s">
        <v>93</v>
      </c>
      <c r="C349" s="10">
        <f>SUM(H60:H62)+SUM(H248:H249)</f>
        <v>13</v>
      </c>
      <c r="D349" s="15"/>
      <c r="E349" s="15"/>
      <c r="F349" s="15"/>
      <c r="G349" s="15"/>
      <c r="I349" s="15"/>
      <c r="J349" s="15"/>
      <c r="K349" s="15"/>
      <c r="Q349" s="15"/>
    </row>
    <row r="350" spans="1:17" x14ac:dyDescent="0.25">
      <c r="A350" s="15"/>
      <c r="B350" s="13" t="s">
        <v>1731</v>
      </c>
      <c r="C350" s="10">
        <f>H63</f>
        <v>2</v>
      </c>
      <c r="D350" s="15"/>
      <c r="E350" s="15"/>
      <c r="F350" s="15"/>
      <c r="G350" s="15"/>
      <c r="I350" s="15"/>
      <c r="J350" s="15"/>
      <c r="K350" s="15"/>
      <c r="Q350" s="15"/>
    </row>
    <row r="351" spans="1:17" x14ac:dyDescent="0.25">
      <c r="A351" s="15"/>
      <c r="B351" s="13" t="s">
        <v>50</v>
      </c>
      <c r="C351" s="10">
        <f>H64</f>
        <v>6</v>
      </c>
      <c r="D351" s="15"/>
      <c r="E351" s="15"/>
      <c r="F351" s="15"/>
      <c r="G351" s="15"/>
      <c r="I351" s="15"/>
      <c r="J351" s="15"/>
      <c r="K351" s="15"/>
      <c r="Q351" s="15"/>
    </row>
    <row r="352" spans="1:17" x14ac:dyDescent="0.25">
      <c r="A352" s="15"/>
      <c r="B352" s="13" t="s">
        <v>24</v>
      </c>
      <c r="C352" s="10">
        <f>SUM(H65:H83)+H250</f>
        <v>100</v>
      </c>
      <c r="D352" s="15"/>
      <c r="E352" s="15"/>
      <c r="F352" s="15"/>
      <c r="G352" s="15"/>
      <c r="I352" s="15"/>
      <c r="J352" s="15"/>
      <c r="K352" s="15"/>
      <c r="Q352" s="15"/>
    </row>
    <row r="353" spans="1:17" x14ac:dyDescent="0.25">
      <c r="A353" s="15"/>
      <c r="B353" s="13" t="s">
        <v>139</v>
      </c>
      <c r="C353" s="10">
        <f>SUM(H84:H88)+H252</f>
        <v>13</v>
      </c>
      <c r="D353" s="15"/>
      <c r="E353" s="15"/>
      <c r="F353" s="15"/>
      <c r="G353" s="15"/>
      <c r="I353" s="15"/>
      <c r="J353" s="15"/>
      <c r="K353" s="15"/>
      <c r="Q353" s="15"/>
    </row>
    <row r="354" spans="1:17" x14ac:dyDescent="0.25">
      <c r="A354" s="15"/>
      <c r="B354" s="13" t="s">
        <v>269</v>
      </c>
      <c r="C354" s="10">
        <f>SUM(H89:H92)+H251</f>
        <v>18</v>
      </c>
      <c r="D354" s="15"/>
      <c r="E354" s="15"/>
      <c r="F354" s="15"/>
      <c r="G354" s="15"/>
      <c r="I354" s="15"/>
      <c r="J354" s="15"/>
      <c r="K354" s="15"/>
      <c r="Q354" s="15"/>
    </row>
    <row r="355" spans="1:17" x14ac:dyDescent="0.25">
      <c r="A355" s="15"/>
      <c r="B355" s="13" t="s">
        <v>1347</v>
      </c>
      <c r="C355" s="10">
        <v>0</v>
      </c>
      <c r="D355" s="15"/>
      <c r="E355" s="15"/>
      <c r="F355" s="15"/>
      <c r="G355" s="15"/>
      <c r="I355" s="15"/>
      <c r="J355" s="15"/>
      <c r="K355" s="15"/>
      <c r="Q355" s="15"/>
    </row>
    <row r="356" spans="1:17" x14ac:dyDescent="0.25">
      <c r="A356" s="15"/>
      <c r="B356" s="13" t="s">
        <v>718</v>
      </c>
      <c r="C356" s="10">
        <f>H170</f>
        <v>1</v>
      </c>
      <c r="D356" s="15"/>
      <c r="E356" s="15"/>
      <c r="F356" s="15"/>
      <c r="G356" s="15"/>
      <c r="I356" s="15"/>
      <c r="J356" s="15"/>
      <c r="K356" s="15"/>
      <c r="Q356" s="15"/>
    </row>
    <row r="357" spans="1:17" x14ac:dyDescent="0.25">
      <c r="A357" s="15"/>
      <c r="B357" s="13" t="s">
        <v>1682</v>
      </c>
      <c r="C357" s="10">
        <f>H93</f>
        <v>4</v>
      </c>
      <c r="D357" s="15"/>
      <c r="E357" s="15"/>
      <c r="F357" s="15"/>
      <c r="G357" s="15"/>
      <c r="I357" s="15"/>
      <c r="J357" s="15"/>
      <c r="K357" s="15"/>
      <c r="Q357" s="15"/>
    </row>
    <row r="358" spans="1:17" x14ac:dyDescent="0.25">
      <c r="A358" s="15"/>
      <c r="B358" s="12" t="s">
        <v>11</v>
      </c>
      <c r="C358" s="10">
        <f>H227+SUM(H259:H261)+SUM(C359:C363)</f>
        <v>586</v>
      </c>
      <c r="D358" s="15"/>
      <c r="E358" s="15"/>
      <c r="F358" s="15"/>
      <c r="G358" s="15"/>
      <c r="I358" s="15"/>
      <c r="J358" s="15"/>
      <c r="K358" s="15"/>
      <c r="Q358" s="15"/>
    </row>
    <row r="359" spans="1:17" x14ac:dyDescent="0.25">
      <c r="A359" s="15"/>
      <c r="B359" s="13" t="s">
        <v>663</v>
      </c>
      <c r="C359" s="10">
        <f>C338+C342+C350+SUM(C353:C354)+H266+(H255/2)+(H264/2)+SUM(H253:H254)+H262+(H263/2)</f>
        <v>59</v>
      </c>
      <c r="D359" s="15"/>
      <c r="E359" s="15"/>
      <c r="F359" s="15"/>
      <c r="G359" s="15"/>
      <c r="I359" s="15"/>
      <c r="J359" s="15"/>
      <c r="K359" s="15"/>
      <c r="Q359" s="15"/>
    </row>
    <row r="360" spans="1:17" x14ac:dyDescent="0.25">
      <c r="A360" s="15"/>
      <c r="B360" s="13" t="s">
        <v>664</v>
      </c>
      <c r="C360" s="10">
        <f>C356+C322+C325+C337+(H255/2)+(H263/2)</f>
        <v>14.5</v>
      </c>
      <c r="D360" s="15"/>
      <c r="E360" s="15"/>
      <c r="F360" s="15"/>
      <c r="G360" s="15"/>
      <c r="I360" s="15"/>
      <c r="J360" s="15"/>
      <c r="K360" s="15"/>
      <c r="Q360" s="15"/>
    </row>
    <row r="361" spans="1:17" x14ac:dyDescent="0.25">
      <c r="A361" s="15"/>
      <c r="B361" s="13" t="s">
        <v>271</v>
      </c>
      <c r="C361" s="10">
        <f>C320+C331+C333+SUM(C335:C336)+C340+C347+C349+H240+SUM(H256:H258)+(H264/2)+SUM(H267:H268)/2+H270</f>
        <v>86.5</v>
      </c>
      <c r="D361" s="15"/>
      <c r="E361" s="15"/>
      <c r="F361" s="15"/>
      <c r="G361" s="15"/>
      <c r="H361" s="15"/>
      <c r="I361" s="15"/>
      <c r="J361" s="15"/>
      <c r="K361" s="15"/>
      <c r="Q361" s="15"/>
    </row>
    <row r="362" spans="1:17" x14ac:dyDescent="0.25">
      <c r="A362" s="15"/>
      <c r="B362" s="13" t="s">
        <v>144</v>
      </c>
      <c r="C362" s="10">
        <f>C317+C324+SUM(C327:C328)+C332+C345+C352+C357+H229+SUM(H267:H268)/2+SUM(H271:H272)+(H273/2)</f>
        <v>301</v>
      </c>
      <c r="D362" s="15"/>
      <c r="E362" s="15"/>
      <c r="F362" s="15"/>
      <c r="G362" s="15"/>
      <c r="H362" s="15"/>
      <c r="I362" s="15"/>
      <c r="J362" s="15"/>
      <c r="K362" s="15"/>
      <c r="Q362" s="15"/>
    </row>
    <row r="363" spans="1:17" x14ac:dyDescent="0.25">
      <c r="A363" s="15"/>
      <c r="B363" s="13" t="s">
        <v>666</v>
      </c>
      <c r="C363" s="10">
        <f>C319+C321+C326+C341+SUM(C343:C344)+C351+H265+H269</f>
        <v>78</v>
      </c>
      <c r="D363" s="15"/>
      <c r="E363" s="15"/>
      <c r="F363" s="15"/>
      <c r="G363" s="15"/>
      <c r="H363" s="15"/>
      <c r="I363" s="15"/>
      <c r="J363" s="15"/>
      <c r="K363" s="15"/>
      <c r="Q363" s="15"/>
    </row>
    <row r="364" spans="1:17" x14ac:dyDescent="0.25">
      <c r="A364" s="15"/>
      <c r="D364" s="15"/>
      <c r="E364" s="15"/>
      <c r="F364" s="15"/>
      <c r="G364" s="15"/>
      <c r="H364" s="15"/>
      <c r="I364" s="15"/>
      <c r="J364" s="15"/>
      <c r="K364" s="15"/>
      <c r="Q364" s="15"/>
    </row>
    <row r="365" spans="1:17" x14ac:dyDescent="0.25">
      <c r="A365" s="15"/>
      <c r="B365" s="13" t="s">
        <v>231</v>
      </c>
      <c r="C365" s="10">
        <f>SUM(H94:H97)</f>
        <v>11</v>
      </c>
      <c r="D365" s="15"/>
      <c r="E365" s="15"/>
      <c r="F365" s="15"/>
      <c r="G365" s="15"/>
      <c r="H365" s="15"/>
      <c r="I365" s="15"/>
      <c r="J365" s="15"/>
      <c r="K365" s="15"/>
      <c r="Q365" s="15"/>
    </row>
    <row r="366" spans="1:17" x14ac:dyDescent="0.25">
      <c r="A366" s="15"/>
      <c r="B366" s="13" t="s">
        <v>995</v>
      </c>
      <c r="C366" s="10">
        <v>0</v>
      </c>
      <c r="D366" s="15"/>
      <c r="E366" s="15"/>
      <c r="F366" s="15"/>
      <c r="G366" s="15"/>
      <c r="H366" s="15"/>
      <c r="I366" s="15"/>
      <c r="J366" s="15"/>
      <c r="K366" s="15"/>
      <c r="Q366" s="15"/>
    </row>
    <row r="367" spans="1:17" x14ac:dyDescent="0.25">
      <c r="A367" s="15"/>
      <c r="B367" s="13" t="s">
        <v>953</v>
      </c>
      <c r="C367" s="10">
        <f>SUM(H98:H108)+H284</f>
        <v>34</v>
      </c>
      <c r="D367" s="15"/>
      <c r="E367" s="15"/>
      <c r="F367" s="15"/>
      <c r="G367" s="15"/>
      <c r="H367" s="15"/>
      <c r="I367" s="15"/>
      <c r="J367" s="15"/>
      <c r="K367" s="15"/>
      <c r="Q367" s="15"/>
    </row>
    <row r="368" spans="1:17" x14ac:dyDescent="0.25">
      <c r="A368" s="15"/>
      <c r="B368" s="13" t="s">
        <v>394</v>
      </c>
      <c r="C368" s="10">
        <v>0</v>
      </c>
      <c r="D368" s="15"/>
      <c r="E368" s="15"/>
      <c r="F368" s="15"/>
      <c r="G368" s="15"/>
      <c r="H368" s="15"/>
      <c r="I368" s="15"/>
      <c r="J368" s="15"/>
      <c r="K368" s="15"/>
      <c r="Q368" s="15"/>
    </row>
    <row r="369" spans="1:17" x14ac:dyDescent="0.25">
      <c r="A369" s="15"/>
      <c r="B369" s="13" t="s">
        <v>238</v>
      </c>
      <c r="C369" s="10">
        <f>SUM(H109:H114)+H285</f>
        <v>22</v>
      </c>
      <c r="D369" s="15"/>
      <c r="E369" s="15"/>
      <c r="F369" s="15"/>
      <c r="G369" s="15"/>
      <c r="H369" s="15"/>
      <c r="I369" s="15"/>
      <c r="J369" s="15"/>
      <c r="K369" s="15"/>
      <c r="Q369" s="15"/>
    </row>
    <row r="370" spans="1:17" x14ac:dyDescent="0.25">
      <c r="A370" s="15"/>
      <c r="B370" s="13" t="s">
        <v>226</v>
      </c>
      <c r="C370" s="10">
        <f>SUM(H115:H124)+H290</f>
        <v>33</v>
      </c>
      <c r="D370" s="15"/>
      <c r="E370" s="15"/>
      <c r="F370" s="15"/>
      <c r="G370" s="15"/>
      <c r="H370" s="15"/>
      <c r="I370" s="15"/>
      <c r="J370" s="15"/>
      <c r="K370" s="15"/>
      <c r="Q370" s="15"/>
    </row>
    <row r="371" spans="1:17" x14ac:dyDescent="0.25">
      <c r="A371" s="15"/>
      <c r="B371" s="13" t="s">
        <v>1641</v>
      </c>
      <c r="C371" s="10">
        <f>H125</f>
        <v>1</v>
      </c>
      <c r="D371" s="15"/>
      <c r="E371" s="15"/>
      <c r="F371" s="15"/>
      <c r="G371" s="15"/>
      <c r="H371" s="15"/>
      <c r="I371" s="15"/>
      <c r="J371" s="15"/>
      <c r="K371" s="15"/>
      <c r="Q371" s="15"/>
    </row>
    <row r="372" spans="1:17" x14ac:dyDescent="0.25">
      <c r="A372" s="15"/>
      <c r="B372" s="13" t="s">
        <v>998</v>
      </c>
      <c r="C372" s="10">
        <f>H126</f>
        <v>1</v>
      </c>
      <c r="D372" s="15"/>
      <c r="E372" s="15"/>
      <c r="F372" s="15"/>
      <c r="G372" s="15"/>
      <c r="H372" s="15"/>
      <c r="I372" s="15"/>
      <c r="J372" s="15"/>
      <c r="K372" s="15"/>
      <c r="Q372" s="15"/>
    </row>
    <row r="373" spans="1:17" x14ac:dyDescent="0.25">
      <c r="A373" s="15"/>
      <c r="B373" s="13" t="s">
        <v>407</v>
      </c>
      <c r="C373" s="10">
        <v>0</v>
      </c>
      <c r="D373" s="15"/>
      <c r="E373" s="15"/>
      <c r="F373" s="15"/>
      <c r="G373" s="15"/>
      <c r="H373" s="15"/>
      <c r="I373" s="15"/>
      <c r="J373" s="15"/>
      <c r="K373" s="15"/>
      <c r="Q373" s="15"/>
    </row>
    <row r="374" spans="1:17" x14ac:dyDescent="0.25">
      <c r="A374" s="15"/>
      <c r="B374" s="13" t="s">
        <v>1612</v>
      </c>
      <c r="C374" s="10">
        <f>H127</f>
        <v>3</v>
      </c>
      <c r="D374" s="15"/>
      <c r="E374" s="15"/>
      <c r="F374" s="15"/>
      <c r="G374" s="15"/>
      <c r="H374" s="15"/>
      <c r="I374" s="15"/>
      <c r="J374" s="15"/>
      <c r="K374" s="15"/>
      <c r="Q374" s="15"/>
    </row>
    <row r="375" spans="1:17" x14ac:dyDescent="0.25">
      <c r="A375" s="15"/>
      <c r="B375" s="13" t="s">
        <v>86</v>
      </c>
      <c r="C375" s="10">
        <v>0</v>
      </c>
      <c r="D375" s="15"/>
      <c r="E375" s="15"/>
      <c r="F375" s="15"/>
      <c r="G375" s="15"/>
      <c r="H375" s="15"/>
      <c r="I375" s="15"/>
      <c r="J375" s="15"/>
      <c r="K375" s="15"/>
      <c r="Q375" s="15"/>
    </row>
    <row r="376" spans="1:17" x14ac:dyDescent="0.25">
      <c r="A376" s="15"/>
      <c r="B376" s="13" t="s">
        <v>676</v>
      </c>
      <c r="C376" s="10">
        <f>SUM(H128:H132)+SUM(H288:H289)</f>
        <v>18</v>
      </c>
      <c r="D376" s="15"/>
      <c r="E376" s="15"/>
      <c r="F376" s="15"/>
      <c r="G376" s="15"/>
      <c r="H376" s="15"/>
      <c r="I376" s="15"/>
      <c r="J376" s="15"/>
      <c r="K376" s="15"/>
      <c r="Q376" s="15"/>
    </row>
    <row r="377" spans="1:17" x14ac:dyDescent="0.25">
      <c r="A377" s="15"/>
      <c r="B377" s="13" t="s">
        <v>975</v>
      </c>
      <c r="C377" s="10">
        <v>0</v>
      </c>
      <c r="D377" s="15"/>
      <c r="E377" s="15"/>
      <c r="F377" s="15"/>
      <c r="G377" s="15"/>
      <c r="H377" s="15"/>
      <c r="I377" s="15"/>
      <c r="J377" s="15"/>
      <c r="K377" s="15"/>
      <c r="Q377" s="15"/>
    </row>
    <row r="378" spans="1:17" x14ac:dyDescent="0.25">
      <c r="B378" s="13" t="s">
        <v>249</v>
      </c>
      <c r="C378" s="10">
        <f>SUM(H133:H135)+SUM(H291:H292)</f>
        <v>15</v>
      </c>
      <c r="D378" s="15"/>
      <c r="E378" s="15"/>
      <c r="F378" s="15"/>
      <c r="G378" s="15"/>
      <c r="H378" s="15"/>
      <c r="I378" s="15"/>
      <c r="J378" s="15"/>
      <c r="K378" s="15"/>
      <c r="Q378" s="15"/>
    </row>
    <row r="379" spans="1:17" x14ac:dyDescent="0.25">
      <c r="B379" s="13" t="s">
        <v>1709</v>
      </c>
      <c r="C379" s="10">
        <f>H136</f>
        <v>1</v>
      </c>
      <c r="D379" s="15"/>
      <c r="E379" s="15"/>
      <c r="F379" s="15"/>
      <c r="G379" s="15"/>
      <c r="H379" s="15"/>
      <c r="I379" s="15"/>
      <c r="J379" s="15"/>
      <c r="K379" s="15"/>
      <c r="Q379" s="15"/>
    </row>
    <row r="380" spans="1:17" x14ac:dyDescent="0.25">
      <c r="B380" s="13" t="s">
        <v>426</v>
      </c>
      <c r="C380" s="10">
        <f>SUM(H137:H138)</f>
        <v>3</v>
      </c>
      <c r="D380" s="15"/>
      <c r="E380" s="15"/>
      <c r="F380" s="15"/>
      <c r="G380" s="15"/>
      <c r="H380" s="15"/>
      <c r="I380" s="15"/>
      <c r="J380" s="15"/>
      <c r="K380" s="15"/>
      <c r="Q380" s="15"/>
    </row>
    <row r="381" spans="1:17" x14ac:dyDescent="0.25">
      <c r="B381" s="13" t="s">
        <v>34</v>
      </c>
      <c r="C381" s="10">
        <f>SUM(H139:H148)+SUM(H293:H297)</f>
        <v>71</v>
      </c>
      <c r="D381" s="15"/>
      <c r="E381" s="15"/>
      <c r="F381" s="15"/>
      <c r="G381" s="15"/>
      <c r="H381" s="15"/>
      <c r="I381" s="15"/>
      <c r="J381" s="15"/>
      <c r="K381" s="15"/>
      <c r="Q381" s="15"/>
    </row>
    <row r="382" spans="1:17" x14ac:dyDescent="0.25">
      <c r="B382" s="13" t="s">
        <v>99</v>
      </c>
      <c r="C382" s="10">
        <f>SUM(H149:H150)+SUM(H298:H300)</f>
        <v>13</v>
      </c>
      <c r="D382" s="15"/>
      <c r="E382" s="15"/>
      <c r="F382" s="15"/>
      <c r="G382" s="15"/>
      <c r="H382" s="15"/>
      <c r="I382" s="15"/>
      <c r="J382" s="15"/>
      <c r="K382" s="15"/>
      <c r="Q382" s="15"/>
    </row>
    <row r="383" spans="1:17" x14ac:dyDescent="0.25">
      <c r="B383" s="13" t="s">
        <v>170</v>
      </c>
      <c r="C383" s="10">
        <f>SUM(H151:H152)</f>
        <v>8</v>
      </c>
      <c r="D383" s="15"/>
      <c r="E383" s="15"/>
      <c r="F383" s="15"/>
      <c r="G383" s="15"/>
      <c r="H383" s="15"/>
      <c r="I383" s="15"/>
      <c r="J383" s="15"/>
      <c r="K383" s="15"/>
      <c r="Q383" s="15"/>
    </row>
    <row r="384" spans="1:17" x14ac:dyDescent="0.25">
      <c r="B384" s="13" t="s">
        <v>1694</v>
      </c>
      <c r="C384" s="10">
        <f>H153</f>
        <v>1</v>
      </c>
      <c r="D384" s="15"/>
      <c r="E384" s="15"/>
      <c r="F384" s="15"/>
      <c r="G384" s="15"/>
      <c r="H384" s="15"/>
      <c r="I384" s="15"/>
      <c r="J384" s="15"/>
      <c r="K384" s="15"/>
      <c r="Q384" s="15"/>
    </row>
    <row r="385" spans="1:17" x14ac:dyDescent="0.25">
      <c r="B385" s="13" t="s">
        <v>1031</v>
      </c>
      <c r="C385" s="10">
        <f>SUM(H154:H155)</f>
        <v>4</v>
      </c>
      <c r="D385" s="15"/>
      <c r="E385" s="15"/>
      <c r="F385" s="15"/>
      <c r="G385" s="15"/>
      <c r="H385" s="15"/>
      <c r="I385" s="15"/>
      <c r="J385" s="15"/>
      <c r="K385" s="15"/>
      <c r="Q385" s="15"/>
    </row>
    <row r="386" spans="1:17" x14ac:dyDescent="0.25">
      <c r="B386" s="13" t="s">
        <v>319</v>
      </c>
      <c r="C386" s="10">
        <f>SUM(H156:H160)+H301</f>
        <v>22</v>
      </c>
      <c r="D386" s="15"/>
      <c r="E386" s="15"/>
      <c r="F386" s="15"/>
      <c r="G386" s="15"/>
      <c r="H386" s="15"/>
      <c r="I386" s="15"/>
      <c r="J386" s="15"/>
      <c r="K386" s="15"/>
      <c r="Q386" s="15"/>
    </row>
    <row r="387" spans="1:17" x14ac:dyDescent="0.25">
      <c r="B387" s="13" t="s">
        <v>1606</v>
      </c>
      <c r="C387" s="10">
        <f>H161</f>
        <v>1</v>
      </c>
      <c r="D387" s="15"/>
      <c r="E387" s="15"/>
      <c r="F387" s="15"/>
      <c r="G387" s="15"/>
      <c r="H387" s="15"/>
      <c r="I387" s="15"/>
      <c r="J387" s="15"/>
      <c r="K387" s="15"/>
      <c r="Q387" s="15"/>
    </row>
    <row r="388" spans="1:17" x14ac:dyDescent="0.25">
      <c r="B388" s="13" t="s">
        <v>1610</v>
      </c>
      <c r="C388" s="10">
        <f>SUM(H162:H163)</f>
        <v>3</v>
      </c>
      <c r="D388" s="15"/>
      <c r="E388" s="15"/>
      <c r="F388" s="15"/>
      <c r="G388" s="15"/>
      <c r="H388" s="15"/>
      <c r="I388" s="15"/>
      <c r="J388" s="15"/>
      <c r="K388" s="15"/>
      <c r="Q388" s="15"/>
    </row>
    <row r="389" spans="1:17" customFormat="1" ht="15" x14ac:dyDescent="0.25">
      <c r="A389" s="48"/>
      <c r="B389" s="13" t="s">
        <v>709</v>
      </c>
      <c r="C389" s="21">
        <v>0</v>
      </c>
      <c r="H389" s="15"/>
    </row>
    <row r="390" spans="1:17" customFormat="1" ht="15" x14ac:dyDescent="0.25">
      <c r="A390" s="48"/>
      <c r="B390" s="13" t="s">
        <v>743</v>
      </c>
      <c r="C390" s="21">
        <f>SUM(H164:H168)</f>
        <v>12</v>
      </c>
      <c r="H390" s="15"/>
    </row>
    <row r="391" spans="1:17" customFormat="1" ht="15" x14ac:dyDescent="0.25">
      <c r="A391" s="48"/>
      <c r="B391" s="13" t="s">
        <v>167</v>
      </c>
      <c r="C391" s="21">
        <v>0</v>
      </c>
    </row>
    <row r="392" spans="1:17" customFormat="1" ht="15" x14ac:dyDescent="0.25">
      <c r="A392" s="48"/>
      <c r="B392" s="13" t="s">
        <v>522</v>
      </c>
      <c r="C392" s="21">
        <v>0</v>
      </c>
    </row>
    <row r="393" spans="1:17" customFormat="1" ht="15" x14ac:dyDescent="0.25">
      <c r="A393" s="48"/>
      <c r="B393" s="13" t="s">
        <v>1594</v>
      </c>
      <c r="C393" s="21">
        <f>H169</f>
        <v>1</v>
      </c>
    </row>
    <row r="394" spans="1:17" customFormat="1" ht="15" x14ac:dyDescent="0.25">
      <c r="A394" s="48"/>
      <c r="B394" s="13" t="s">
        <v>1347</v>
      </c>
      <c r="C394" s="21">
        <v>0</v>
      </c>
    </row>
    <row r="395" spans="1:17" ht="15" x14ac:dyDescent="0.25">
      <c r="B395" s="12" t="s">
        <v>35</v>
      </c>
      <c r="C395" s="10">
        <f>H230+H281+H287+SUM(C396:C400)</f>
        <v>352.5</v>
      </c>
      <c r="D395" s="15"/>
      <c r="E395" s="15"/>
      <c r="F395" s="15"/>
      <c r="G395" s="15"/>
      <c r="H395"/>
      <c r="I395" s="15"/>
      <c r="J395" s="15"/>
      <c r="K395" s="15"/>
      <c r="Q395" s="15"/>
    </row>
    <row r="396" spans="1:17" x14ac:dyDescent="0.25">
      <c r="B396" s="13" t="s">
        <v>667</v>
      </c>
      <c r="C396" s="10">
        <f>C365+C369+C376+SUM(C381:C382)+SUM(C385:C386)+C390</f>
        <v>173</v>
      </c>
      <c r="D396" s="15"/>
      <c r="E396" s="15"/>
      <c r="F396" s="15"/>
      <c r="G396" s="15"/>
      <c r="H396" s="15"/>
      <c r="I396" s="15"/>
      <c r="J396" s="15"/>
      <c r="K396" s="15"/>
      <c r="Q396" s="15"/>
    </row>
    <row r="397" spans="1:17" x14ac:dyDescent="0.25">
      <c r="B397" s="13" t="s">
        <v>668</v>
      </c>
      <c r="C397" s="10">
        <f>H283+C370+C387</f>
        <v>35</v>
      </c>
      <c r="D397" s="15"/>
      <c r="E397" s="15"/>
      <c r="F397" s="15"/>
      <c r="G397" s="15"/>
      <c r="H397" s="15"/>
      <c r="I397" s="15"/>
      <c r="J397" s="15"/>
      <c r="K397" s="15"/>
      <c r="Q397" s="15"/>
    </row>
    <row r="398" spans="1:17" x14ac:dyDescent="0.25">
      <c r="B398" s="13" t="s">
        <v>669</v>
      </c>
      <c r="C398" s="10">
        <f>H282+C372+SUM(C378:C379)</f>
        <v>18</v>
      </c>
      <c r="D398" s="15"/>
      <c r="E398" s="15"/>
      <c r="F398" s="15"/>
      <c r="G398" s="15"/>
      <c r="H398" s="15"/>
      <c r="I398" s="15"/>
      <c r="J398" s="15"/>
      <c r="K398" s="15"/>
      <c r="Q398" s="15"/>
    </row>
    <row r="399" spans="1:17" x14ac:dyDescent="0.25">
      <c r="B399" s="13" t="s">
        <v>670</v>
      </c>
      <c r="C399" s="10">
        <f>(H286/2)+C367+C374+C380+C384</f>
        <v>54.5</v>
      </c>
      <c r="D399" s="15"/>
      <c r="E399" s="15"/>
      <c r="F399" s="15"/>
      <c r="G399" s="15"/>
      <c r="H399" s="15"/>
      <c r="I399" s="15"/>
      <c r="J399" s="15"/>
      <c r="K399" s="15"/>
      <c r="Q399" s="15"/>
    </row>
    <row r="400" spans="1:17" x14ac:dyDescent="0.25">
      <c r="B400" s="13" t="s">
        <v>666</v>
      </c>
      <c r="C400" s="10">
        <f>C371+C383+C388+C393</f>
        <v>13</v>
      </c>
      <c r="D400" s="15"/>
      <c r="E400" s="15"/>
      <c r="F400" s="15"/>
      <c r="G400" s="15"/>
      <c r="H400" s="15"/>
      <c r="I400" s="15"/>
      <c r="J400" s="15"/>
      <c r="K400" s="15"/>
      <c r="Q400" s="15"/>
    </row>
    <row r="401" spans="1:17" x14ac:dyDescent="0.25">
      <c r="D401" s="15"/>
      <c r="E401" s="15"/>
      <c r="F401" s="15"/>
      <c r="G401" s="15"/>
      <c r="H401" s="15"/>
      <c r="I401" s="15"/>
      <c r="J401" s="15"/>
      <c r="K401" s="15"/>
      <c r="Q401" s="15"/>
    </row>
    <row r="402" spans="1:17" x14ac:dyDescent="0.25">
      <c r="A402" s="15"/>
      <c r="B402" s="13" t="s">
        <v>186</v>
      </c>
      <c r="C402" s="10">
        <f>SUM(H171:H172)</f>
        <v>2</v>
      </c>
      <c r="D402" s="15"/>
      <c r="E402" s="15"/>
      <c r="F402" s="15"/>
      <c r="G402" s="15"/>
      <c r="H402" s="15"/>
      <c r="I402" s="15"/>
      <c r="J402" s="15"/>
      <c r="K402" s="15"/>
      <c r="Q402" s="15"/>
    </row>
    <row r="403" spans="1:17" x14ac:dyDescent="0.25">
      <c r="A403" s="15"/>
      <c r="B403" s="13" t="s">
        <v>55</v>
      </c>
      <c r="C403" s="10">
        <f>SUM(H173:H174)</f>
        <v>5</v>
      </c>
      <c r="D403" s="15"/>
      <c r="E403" s="15"/>
      <c r="F403" s="15"/>
      <c r="G403" s="15"/>
      <c r="H403" s="15"/>
      <c r="I403" s="15"/>
      <c r="J403" s="15"/>
      <c r="K403" s="15"/>
      <c r="Q403" s="15"/>
    </row>
    <row r="404" spans="1:17" x14ac:dyDescent="0.25">
      <c r="A404" s="15"/>
      <c r="B404" s="13" t="s">
        <v>593</v>
      </c>
      <c r="C404" s="10">
        <f>H175</f>
        <v>1</v>
      </c>
      <c r="D404" s="15"/>
      <c r="E404" s="15"/>
      <c r="F404" s="15"/>
      <c r="G404" s="15"/>
      <c r="H404" s="15"/>
      <c r="I404" s="15"/>
      <c r="J404" s="15"/>
      <c r="K404" s="15"/>
      <c r="Q404" s="15"/>
    </row>
    <row r="405" spans="1:17" x14ac:dyDescent="0.25">
      <c r="A405" s="15"/>
      <c r="B405" s="13" t="s">
        <v>161</v>
      </c>
      <c r="C405" s="10">
        <f>SUM(H176:H180)+H280</f>
        <v>10</v>
      </c>
      <c r="D405" s="15"/>
      <c r="E405" s="15"/>
      <c r="F405" s="15"/>
      <c r="G405" s="15"/>
      <c r="H405" s="15"/>
      <c r="I405" s="15"/>
      <c r="J405" s="15"/>
      <c r="K405" s="15"/>
      <c r="Q405" s="15"/>
    </row>
    <row r="406" spans="1:17" x14ac:dyDescent="0.25">
      <c r="A406" s="15"/>
      <c r="B406" s="13" t="s">
        <v>66</v>
      </c>
      <c r="C406" s="10">
        <f>SUM(H181:H182)</f>
        <v>3</v>
      </c>
      <c r="D406" s="15"/>
      <c r="E406" s="15"/>
      <c r="F406" s="15"/>
      <c r="G406" s="15"/>
      <c r="H406" s="15"/>
      <c r="I406" s="15"/>
      <c r="J406" s="15"/>
      <c r="K406" s="15"/>
      <c r="Q406" s="15"/>
    </row>
    <row r="407" spans="1:17" x14ac:dyDescent="0.25">
      <c r="A407" s="15"/>
      <c r="B407" s="13" t="s">
        <v>1347</v>
      </c>
      <c r="C407" s="10">
        <v>0</v>
      </c>
      <c r="D407" s="15"/>
      <c r="E407" s="15"/>
      <c r="F407" s="15"/>
      <c r="G407" s="15"/>
      <c r="H407" s="15"/>
      <c r="I407" s="15"/>
      <c r="J407" s="15"/>
      <c r="K407" s="15"/>
      <c r="Q407" s="15"/>
    </row>
    <row r="408" spans="1:17" x14ac:dyDescent="0.25">
      <c r="A408" s="15"/>
      <c r="B408" s="12" t="s">
        <v>56</v>
      </c>
      <c r="C408" s="10">
        <f>(H273/2)+H274+SUM(C409:C413)</f>
        <v>42</v>
      </c>
      <c r="D408" s="15"/>
      <c r="E408" s="15"/>
      <c r="F408" s="15"/>
      <c r="G408" s="15"/>
      <c r="H408" s="15"/>
      <c r="I408" s="15"/>
      <c r="J408" s="15"/>
      <c r="K408" s="15"/>
      <c r="Q408" s="15"/>
    </row>
    <row r="409" spans="1:17" x14ac:dyDescent="0.25">
      <c r="A409" s="15"/>
      <c r="B409" s="13" t="s">
        <v>663</v>
      </c>
      <c r="C409" s="10">
        <f>(H277/2)+C402</f>
        <v>4</v>
      </c>
      <c r="D409" s="15"/>
      <c r="E409" s="15"/>
      <c r="F409" s="15"/>
      <c r="G409" s="15"/>
      <c r="H409" s="15"/>
      <c r="I409" s="15"/>
      <c r="J409" s="15"/>
      <c r="K409" s="15"/>
      <c r="Q409" s="15"/>
    </row>
    <row r="410" spans="1:17" x14ac:dyDescent="0.25">
      <c r="A410" s="15"/>
      <c r="B410" s="13" t="s">
        <v>664</v>
      </c>
      <c r="C410" s="10">
        <f>(H277/2)+H279+C405</f>
        <v>13</v>
      </c>
      <c r="D410" s="15"/>
      <c r="E410" s="15"/>
      <c r="F410" s="15"/>
      <c r="G410" s="15"/>
      <c r="H410" s="15"/>
      <c r="I410" s="15"/>
      <c r="J410" s="15"/>
      <c r="K410" s="15"/>
      <c r="Q410" s="15"/>
    </row>
    <row r="411" spans="1:17" x14ac:dyDescent="0.25">
      <c r="A411" s="15"/>
      <c r="B411" s="13" t="s">
        <v>271</v>
      </c>
      <c r="C411" s="10">
        <f>(H276/2)+C404</f>
        <v>2</v>
      </c>
      <c r="D411" s="15"/>
      <c r="E411" s="15"/>
      <c r="F411" s="15"/>
      <c r="G411" s="15"/>
      <c r="H411" s="15"/>
      <c r="I411" s="15"/>
      <c r="J411" s="15"/>
      <c r="K411" s="15"/>
      <c r="Q411" s="15"/>
    </row>
    <row r="412" spans="1:17" x14ac:dyDescent="0.25">
      <c r="A412" s="15"/>
      <c r="B412" s="13" t="s">
        <v>144</v>
      </c>
      <c r="C412" s="10">
        <f>(H276/2)+H278+C403</f>
        <v>8</v>
      </c>
      <c r="D412" s="15"/>
      <c r="E412" s="15"/>
      <c r="F412" s="15"/>
      <c r="G412" s="15"/>
      <c r="H412" s="15"/>
      <c r="I412" s="15"/>
      <c r="J412" s="15"/>
      <c r="K412" s="15"/>
      <c r="Q412" s="15"/>
    </row>
    <row r="413" spans="1:17" x14ac:dyDescent="0.25">
      <c r="A413" s="15"/>
      <c r="B413" s="13" t="s">
        <v>666</v>
      </c>
      <c r="C413" s="10">
        <f>H275+C406</f>
        <v>5</v>
      </c>
      <c r="D413" s="15"/>
      <c r="E413" s="15"/>
      <c r="F413" s="15"/>
      <c r="G413" s="15"/>
      <c r="H413" s="15"/>
      <c r="I413" s="15"/>
      <c r="J413" s="15"/>
      <c r="K413" s="15"/>
      <c r="Q413" s="15"/>
    </row>
    <row r="414" spans="1:17" x14ac:dyDescent="0.25">
      <c r="A414" s="15"/>
      <c r="D414" s="15"/>
      <c r="E414" s="15"/>
      <c r="F414" s="15"/>
      <c r="G414" s="15"/>
      <c r="H414" s="15"/>
      <c r="I414" s="15"/>
      <c r="J414" s="15"/>
      <c r="K414" s="15"/>
      <c r="Q414" s="15"/>
    </row>
    <row r="415" spans="1:17" x14ac:dyDescent="0.25">
      <c r="A415" s="15"/>
      <c r="B415" s="13" t="s">
        <v>778</v>
      </c>
      <c r="C415" s="10">
        <f>SUM(H183:H191)+H304</f>
        <v>38</v>
      </c>
      <c r="D415" s="15"/>
      <c r="E415" s="15"/>
      <c r="F415" s="15"/>
      <c r="G415" s="15"/>
      <c r="H415" s="15"/>
      <c r="I415" s="15"/>
      <c r="J415" s="15"/>
      <c r="K415" s="15"/>
      <c r="Q415" s="15"/>
    </row>
    <row r="416" spans="1:17" x14ac:dyDescent="0.25">
      <c r="A416" s="15"/>
      <c r="B416" s="13" t="s">
        <v>1444</v>
      </c>
      <c r="C416" s="10">
        <f>SUM(H192:H194)</f>
        <v>6</v>
      </c>
      <c r="D416" s="15"/>
      <c r="E416" s="15"/>
      <c r="F416" s="15"/>
      <c r="G416" s="15"/>
      <c r="H416" s="15"/>
      <c r="I416" s="15"/>
      <c r="J416" s="15"/>
      <c r="K416" s="15"/>
      <c r="Q416" s="15"/>
    </row>
    <row r="417" spans="1:17" x14ac:dyDescent="0.25">
      <c r="A417" s="15"/>
      <c r="B417" s="13" t="s">
        <v>1631</v>
      </c>
      <c r="C417" s="10">
        <f>H195</f>
        <v>1</v>
      </c>
      <c r="D417" s="15"/>
      <c r="E417" s="15"/>
      <c r="F417" s="15"/>
      <c r="G417" s="15"/>
      <c r="H417" s="15"/>
      <c r="I417" s="15"/>
      <c r="J417" s="15"/>
      <c r="K417" s="15"/>
      <c r="Q417" s="15"/>
    </row>
    <row r="418" spans="1:17" x14ac:dyDescent="0.25">
      <c r="A418" s="15"/>
      <c r="B418" s="13" t="s">
        <v>1099</v>
      </c>
      <c r="C418" s="10">
        <f>SUM(H196:H202)</f>
        <v>16</v>
      </c>
      <c r="D418" s="15"/>
      <c r="E418" s="15"/>
      <c r="F418" s="15"/>
      <c r="G418" s="15"/>
      <c r="H418" s="15"/>
      <c r="I418" s="15"/>
      <c r="J418" s="15"/>
      <c r="K418" s="15"/>
      <c r="Q418" s="15"/>
    </row>
    <row r="419" spans="1:17" x14ac:dyDescent="0.25">
      <c r="A419" s="15"/>
      <c r="B419" s="13" t="s">
        <v>1264</v>
      </c>
      <c r="C419" s="10">
        <f>SUM(H203:H206)+H310</f>
        <v>19</v>
      </c>
      <c r="D419" s="15"/>
      <c r="E419" s="15"/>
      <c r="F419" s="15"/>
      <c r="G419" s="15"/>
      <c r="H419" s="15"/>
      <c r="I419" s="15"/>
      <c r="J419" s="15"/>
      <c r="K419" s="15"/>
      <c r="Q419" s="15"/>
    </row>
    <row r="420" spans="1:17" x14ac:dyDescent="0.25">
      <c r="A420" s="15"/>
      <c r="B420" s="13" t="s">
        <v>980</v>
      </c>
      <c r="C420" s="10">
        <v>0</v>
      </c>
      <c r="D420" s="15"/>
      <c r="E420" s="15"/>
      <c r="F420" s="15"/>
      <c r="G420" s="15"/>
      <c r="H420" s="15"/>
      <c r="I420" s="15"/>
      <c r="J420" s="15"/>
      <c r="K420" s="15"/>
      <c r="Q420" s="15"/>
    </row>
    <row r="421" spans="1:17" x14ac:dyDescent="0.25">
      <c r="A421" s="15"/>
      <c r="B421" s="13" t="s">
        <v>1157</v>
      </c>
      <c r="C421" s="10">
        <v>0</v>
      </c>
      <c r="D421" s="15"/>
      <c r="E421" s="15"/>
      <c r="F421" s="15"/>
      <c r="G421" s="15"/>
      <c r="H421" s="15"/>
      <c r="I421" s="15"/>
      <c r="J421" s="15"/>
      <c r="K421" s="15"/>
      <c r="Q421" s="15"/>
    </row>
    <row r="422" spans="1:17" x14ac:dyDescent="0.25">
      <c r="A422" s="15"/>
      <c r="B422" s="13" t="s">
        <v>1248</v>
      </c>
      <c r="C422" s="10">
        <f>H207</f>
        <v>1</v>
      </c>
      <c r="D422" s="15"/>
      <c r="E422" s="15"/>
      <c r="F422" s="15"/>
      <c r="G422" s="15"/>
      <c r="H422" s="15"/>
      <c r="I422" s="15"/>
      <c r="J422" s="15"/>
      <c r="K422" s="15"/>
      <c r="Q422" s="15"/>
    </row>
    <row r="423" spans="1:17" x14ac:dyDescent="0.25">
      <c r="A423" s="15"/>
      <c r="B423" s="13" t="s">
        <v>1688</v>
      </c>
      <c r="C423" s="10">
        <f>H208</f>
        <v>2</v>
      </c>
      <c r="D423" s="15"/>
      <c r="E423" s="15"/>
      <c r="F423" s="15"/>
      <c r="G423" s="15"/>
      <c r="H423" s="15"/>
      <c r="I423" s="15"/>
      <c r="J423" s="15"/>
      <c r="K423" s="15"/>
      <c r="Q423" s="15"/>
    </row>
    <row r="424" spans="1:17" x14ac:dyDescent="0.25">
      <c r="A424" s="15"/>
      <c r="B424" s="13" t="s">
        <v>793</v>
      </c>
      <c r="C424" s="10">
        <f>SUM(H209:H210)</f>
        <v>5</v>
      </c>
      <c r="D424" s="15"/>
      <c r="E424" s="15"/>
      <c r="F424" s="15"/>
      <c r="G424" s="15"/>
      <c r="H424" s="15"/>
      <c r="I424" s="15"/>
      <c r="J424" s="15"/>
      <c r="K424" s="15"/>
      <c r="Q424" s="15"/>
    </row>
    <row r="425" spans="1:17" x14ac:dyDescent="0.25">
      <c r="A425" s="15"/>
      <c r="B425" s="13" t="s">
        <v>1666</v>
      </c>
      <c r="C425" s="10">
        <f>H211</f>
        <v>2</v>
      </c>
      <c r="D425" s="15"/>
      <c r="E425" s="15"/>
      <c r="F425" s="15"/>
      <c r="G425" s="15"/>
      <c r="H425" s="15"/>
      <c r="I425" s="15"/>
      <c r="J425" s="15"/>
      <c r="K425" s="15"/>
      <c r="Q425" s="15"/>
    </row>
    <row r="426" spans="1:17" x14ac:dyDescent="0.25">
      <c r="A426" s="15"/>
      <c r="B426" s="13" t="s">
        <v>878</v>
      </c>
      <c r="C426" s="10">
        <v>0</v>
      </c>
      <c r="D426" s="15"/>
      <c r="E426" s="15"/>
      <c r="F426" s="15"/>
      <c r="G426" s="15"/>
      <c r="H426" s="15"/>
      <c r="I426" s="15"/>
      <c r="J426" s="15"/>
      <c r="K426" s="15"/>
      <c r="Q426" s="15"/>
    </row>
    <row r="427" spans="1:17" x14ac:dyDescent="0.25">
      <c r="A427" s="15"/>
      <c r="B427" s="13" t="s">
        <v>1691</v>
      </c>
      <c r="C427" s="10">
        <f>H212</f>
        <v>2</v>
      </c>
      <c r="D427" s="15"/>
      <c r="E427" s="15"/>
      <c r="F427" s="15"/>
      <c r="G427" s="15"/>
      <c r="H427" s="15"/>
      <c r="I427" s="15"/>
      <c r="J427" s="15"/>
      <c r="K427" s="15"/>
      <c r="Q427" s="15"/>
    </row>
    <row r="428" spans="1:17" x14ac:dyDescent="0.25">
      <c r="A428" s="15"/>
      <c r="B428" s="13" t="s">
        <v>804</v>
      </c>
      <c r="C428" s="10">
        <f>SUM(H213:H214)+H307</f>
        <v>4</v>
      </c>
      <c r="D428" s="15"/>
      <c r="E428" s="15"/>
      <c r="F428" s="15"/>
      <c r="G428" s="15"/>
      <c r="H428" s="15"/>
      <c r="I428" s="15"/>
      <c r="J428" s="15"/>
      <c r="K428" s="15"/>
      <c r="Q428" s="15"/>
    </row>
    <row r="429" spans="1:17" x14ac:dyDescent="0.25">
      <c r="A429" s="15"/>
      <c r="B429" s="13" t="s">
        <v>984</v>
      </c>
      <c r="C429" s="10">
        <v>0</v>
      </c>
      <c r="D429" s="15"/>
      <c r="E429" s="15"/>
      <c r="F429" s="15"/>
      <c r="G429" s="15"/>
      <c r="H429" s="15"/>
      <c r="I429" s="15"/>
      <c r="J429" s="15"/>
      <c r="K429" s="15"/>
      <c r="Q429" s="15"/>
    </row>
    <row r="430" spans="1:17" x14ac:dyDescent="0.25">
      <c r="A430" s="15"/>
      <c r="B430" s="13" t="s">
        <v>785</v>
      </c>
      <c r="C430" s="10">
        <f>H215</f>
        <v>1</v>
      </c>
      <c r="D430" s="15"/>
      <c r="E430" s="15"/>
      <c r="F430" s="15"/>
      <c r="G430" s="15"/>
      <c r="H430" s="15"/>
      <c r="I430" s="15"/>
      <c r="J430" s="15"/>
      <c r="K430" s="15"/>
      <c r="Q430" s="15"/>
    </row>
    <row r="431" spans="1:17" x14ac:dyDescent="0.25">
      <c r="A431" s="15"/>
      <c r="B431" s="13" t="s">
        <v>795</v>
      </c>
      <c r="C431" s="10">
        <f>SUM(H216:H222)+H308</f>
        <v>39</v>
      </c>
      <c r="D431" s="15"/>
      <c r="E431" s="15"/>
      <c r="F431" s="15"/>
      <c r="G431" s="15"/>
      <c r="H431" s="15"/>
      <c r="I431" s="15"/>
      <c r="J431" s="15"/>
      <c r="K431" s="15"/>
      <c r="Q431" s="15"/>
    </row>
    <row r="432" spans="1:17" x14ac:dyDescent="0.25">
      <c r="A432" s="15"/>
      <c r="B432" s="13" t="s">
        <v>989</v>
      </c>
      <c r="C432" s="10">
        <v>0</v>
      </c>
      <c r="D432" s="15"/>
      <c r="E432" s="15"/>
      <c r="F432" s="15"/>
      <c r="G432" s="15"/>
      <c r="H432" s="15"/>
      <c r="I432" s="15"/>
      <c r="J432" s="15"/>
      <c r="K432" s="15"/>
      <c r="Q432" s="15"/>
    </row>
    <row r="433" spans="1:17" x14ac:dyDescent="0.25">
      <c r="A433" s="15"/>
      <c r="B433" s="13" t="s">
        <v>1677</v>
      </c>
      <c r="C433" s="10">
        <f>H223</f>
        <v>1</v>
      </c>
      <c r="D433" s="15"/>
      <c r="E433" s="15"/>
      <c r="F433" s="15"/>
      <c r="G433" s="15"/>
      <c r="H433" s="15"/>
      <c r="I433" s="15"/>
      <c r="J433" s="15"/>
      <c r="K433" s="15"/>
      <c r="Q433" s="15"/>
    </row>
    <row r="434" spans="1:17" x14ac:dyDescent="0.25">
      <c r="A434" s="15"/>
      <c r="B434" s="13" t="s">
        <v>772</v>
      </c>
      <c r="C434" s="10">
        <f>SUM(H224:H225)</f>
        <v>5</v>
      </c>
      <c r="D434" s="15"/>
      <c r="E434" s="15"/>
      <c r="F434" s="15"/>
      <c r="G434" s="15"/>
      <c r="H434" s="15"/>
      <c r="I434" s="15"/>
      <c r="J434" s="15"/>
      <c r="K434" s="15"/>
      <c r="Q434" s="15"/>
    </row>
    <row r="435" spans="1:17" x14ac:dyDescent="0.25">
      <c r="A435" s="15"/>
      <c r="B435" s="13" t="s">
        <v>1245</v>
      </c>
      <c r="C435" s="10">
        <v>0</v>
      </c>
      <c r="D435" s="15"/>
      <c r="E435" s="15"/>
      <c r="F435" s="15"/>
      <c r="G435" s="15"/>
      <c r="H435" s="15"/>
      <c r="I435" s="15"/>
      <c r="J435" s="15"/>
      <c r="K435" s="15"/>
      <c r="Q435" s="15"/>
    </row>
    <row r="436" spans="1:17" x14ac:dyDescent="0.25">
      <c r="A436" s="15"/>
      <c r="B436" s="13" t="s">
        <v>789</v>
      </c>
      <c r="C436" s="10">
        <v>0</v>
      </c>
      <c r="D436" s="15"/>
      <c r="E436" s="15"/>
      <c r="F436" s="15"/>
      <c r="G436" s="15"/>
      <c r="H436" s="15"/>
      <c r="I436" s="15"/>
      <c r="J436" s="15"/>
      <c r="K436" s="15"/>
      <c r="Q436" s="15"/>
    </row>
    <row r="437" spans="1:17" x14ac:dyDescent="0.25">
      <c r="A437" s="15"/>
      <c r="B437" s="13" t="s">
        <v>875</v>
      </c>
      <c r="C437" s="10">
        <v>0</v>
      </c>
      <c r="D437" s="15"/>
      <c r="E437" s="15"/>
      <c r="F437" s="15"/>
      <c r="G437" s="15"/>
      <c r="H437" s="15"/>
      <c r="I437" s="15"/>
      <c r="J437" s="15"/>
      <c r="K437" s="15"/>
      <c r="Q437" s="15"/>
    </row>
    <row r="438" spans="1:17" x14ac:dyDescent="0.25">
      <c r="A438" s="15"/>
      <c r="B438" s="13" t="s">
        <v>1347</v>
      </c>
      <c r="C438" s="10">
        <v>0</v>
      </c>
      <c r="D438" s="15"/>
      <c r="E438" s="15"/>
      <c r="F438" s="15"/>
      <c r="G438" s="15"/>
      <c r="H438" s="15"/>
      <c r="I438" s="15"/>
      <c r="J438" s="15"/>
      <c r="K438" s="15"/>
      <c r="Q438" s="15"/>
    </row>
    <row r="439" spans="1:17" x14ac:dyDescent="0.25">
      <c r="A439" s="15"/>
      <c r="B439" s="12" t="s">
        <v>771</v>
      </c>
      <c r="C439" s="10">
        <f>SUM(H302:H303)+SUM(H305:H306)+H314+C440+C446</f>
        <v>222.5</v>
      </c>
      <c r="D439" s="15"/>
      <c r="E439" s="15"/>
      <c r="F439" s="15"/>
      <c r="G439" s="15"/>
      <c r="H439" s="15"/>
      <c r="I439" s="15"/>
      <c r="J439" s="15"/>
      <c r="K439" s="15"/>
      <c r="Q439" s="15"/>
    </row>
    <row r="440" spans="1:17" x14ac:dyDescent="0.25">
      <c r="A440" s="15"/>
      <c r="B440" s="13" t="s">
        <v>2251</v>
      </c>
      <c r="C440" s="10">
        <f>(H286/2)+H312+SUM(C415:C419)</f>
        <v>99.5</v>
      </c>
      <c r="D440" s="15"/>
      <c r="E440" s="15"/>
      <c r="F440" s="15"/>
      <c r="G440" s="15"/>
      <c r="H440" s="15"/>
      <c r="I440" s="15"/>
      <c r="J440" s="15"/>
      <c r="K440" s="15"/>
      <c r="Q440" s="15"/>
    </row>
    <row r="441" spans="1:17" x14ac:dyDescent="0.25">
      <c r="A441" s="15"/>
      <c r="B441" s="13" t="s">
        <v>1351</v>
      </c>
      <c r="C441" s="10">
        <f>(H311/2)+H313+C424+C431</f>
        <v>45.5</v>
      </c>
      <c r="D441" s="15"/>
      <c r="E441" s="15"/>
      <c r="F441" s="15"/>
      <c r="G441" s="15"/>
      <c r="H441" s="15"/>
      <c r="I441" s="15"/>
      <c r="J441" s="15"/>
      <c r="K441" s="15"/>
      <c r="Q441" s="15"/>
    </row>
    <row r="442" spans="1:17" x14ac:dyDescent="0.25">
      <c r="A442" s="15"/>
      <c r="B442" s="13" t="s">
        <v>1352</v>
      </c>
      <c r="C442" s="10">
        <f>C423+C425+C427+C430+C434</f>
        <v>12</v>
      </c>
      <c r="D442" s="15"/>
      <c r="E442" s="15"/>
      <c r="F442" s="15"/>
      <c r="G442" s="15"/>
      <c r="H442" s="15"/>
      <c r="I442" s="15"/>
      <c r="J442" s="15"/>
      <c r="K442" s="15"/>
      <c r="Q442" s="15"/>
    </row>
    <row r="443" spans="1:17" x14ac:dyDescent="0.25">
      <c r="A443" s="15"/>
      <c r="B443" s="13" t="s">
        <v>1353</v>
      </c>
      <c r="C443" s="10">
        <f>(H309/2)+(H311/2)</f>
        <v>1.5</v>
      </c>
      <c r="D443" s="15"/>
      <c r="E443" s="15"/>
      <c r="F443" s="15"/>
      <c r="G443" s="15"/>
      <c r="H443" s="15"/>
      <c r="I443" s="15"/>
      <c r="J443" s="15"/>
      <c r="K443" s="15"/>
      <c r="Q443" s="15"/>
    </row>
    <row r="444" spans="1:17" x14ac:dyDescent="0.25">
      <c r="A444" s="15"/>
      <c r="B444" s="13" t="s">
        <v>1354</v>
      </c>
      <c r="C444" s="10">
        <f>(H309/2)+C422+C428</f>
        <v>6</v>
      </c>
      <c r="D444" s="15"/>
      <c r="E444" s="15"/>
      <c r="F444" s="15"/>
      <c r="G444" s="15"/>
      <c r="H444" s="15"/>
      <c r="I444" s="15"/>
      <c r="J444" s="15"/>
      <c r="K444" s="15"/>
      <c r="Q444" s="15"/>
    </row>
    <row r="445" spans="1:17" x14ac:dyDescent="0.25">
      <c r="A445" s="15"/>
      <c r="B445" s="13" t="s">
        <v>1355</v>
      </c>
      <c r="C445" s="10">
        <f>C433</f>
        <v>1</v>
      </c>
      <c r="D445" s="15"/>
      <c r="E445" s="15"/>
      <c r="F445" s="15"/>
      <c r="G445" s="15"/>
      <c r="H445" s="15"/>
      <c r="I445" s="15"/>
      <c r="J445" s="15"/>
      <c r="K445" s="15"/>
      <c r="Q445" s="15"/>
    </row>
    <row r="446" spans="1:17" x14ac:dyDescent="0.25">
      <c r="A446" s="15"/>
      <c r="B446" s="13" t="s">
        <v>2250</v>
      </c>
      <c r="C446" s="10">
        <f>SUM(C441:C445)</f>
        <v>66</v>
      </c>
      <c r="H446" s="15"/>
    </row>
    <row r="447" spans="1:17" x14ac:dyDescent="0.25">
      <c r="A447" s="15"/>
      <c r="H447" s="15"/>
    </row>
    <row r="448" spans="1:17" x14ac:dyDescent="0.25">
      <c r="B448" s="52" t="s">
        <v>2252</v>
      </c>
      <c r="C448" s="10">
        <f>H226+H228</f>
        <v>10</v>
      </c>
    </row>
    <row r="449" spans="2:3" x14ac:dyDescent="0.25">
      <c r="B449" s="52"/>
    </row>
    <row r="450" spans="2:3" x14ac:dyDescent="0.25">
      <c r="B450" s="12" t="s">
        <v>2253</v>
      </c>
      <c r="C450" s="10">
        <f>C358+C395+C408+C439+C448</f>
        <v>1213</v>
      </c>
    </row>
    <row r="452" spans="2:3" s="15" customFormat="1" x14ac:dyDescent="0.25">
      <c r="B452" s="13" t="s">
        <v>5756</v>
      </c>
      <c r="C452" s="10">
        <f>C323+C325+C329+C342+C354</f>
        <v>32</v>
      </c>
    </row>
    <row r="453" spans="2:3" s="15" customFormat="1" x14ac:dyDescent="0.25">
      <c r="B453" s="13" t="s">
        <v>1272</v>
      </c>
      <c r="C453" s="10">
        <f>C358-C452</f>
        <v>554</v>
      </c>
    </row>
    <row r="455" spans="2:3" s="15" customFormat="1" x14ac:dyDescent="0.25">
      <c r="B455" s="13" t="s">
        <v>5756</v>
      </c>
      <c r="C455" s="10">
        <f>C452</f>
        <v>32</v>
      </c>
    </row>
    <row r="456" spans="2:3" s="15" customFormat="1" x14ac:dyDescent="0.25">
      <c r="B456" s="13" t="s">
        <v>1891</v>
      </c>
      <c r="C456" s="10">
        <f>C450-C455</f>
        <v>1181</v>
      </c>
    </row>
    <row r="458" spans="2:3" s="15" customFormat="1" x14ac:dyDescent="0.25">
      <c r="B458" s="13" t="s">
        <v>11</v>
      </c>
      <c r="C458" s="10">
        <f>C358</f>
        <v>586</v>
      </c>
    </row>
    <row r="459" spans="2:3" s="15" customFormat="1" x14ac:dyDescent="0.25">
      <c r="B459" s="13" t="s">
        <v>35</v>
      </c>
      <c r="C459" s="10">
        <f>C395</f>
        <v>352.5</v>
      </c>
    </row>
    <row r="460" spans="2:3" s="15" customFormat="1" x14ac:dyDescent="0.25">
      <c r="B460" s="13" t="s">
        <v>56</v>
      </c>
      <c r="C460" s="10">
        <f>C408</f>
        <v>42</v>
      </c>
    </row>
    <row r="461" spans="2:3" s="15" customFormat="1" x14ac:dyDescent="0.25">
      <c r="B461" s="13" t="s">
        <v>771</v>
      </c>
      <c r="C461" s="10">
        <f>C439</f>
        <v>222.5</v>
      </c>
    </row>
    <row r="465" spans="2:3" s="15" customFormat="1" ht="32.25" customHeight="1" thickBot="1" x14ac:dyDescent="0.3">
      <c r="B465" s="13" t="s">
        <v>5761</v>
      </c>
      <c r="C465" s="10" t="s">
        <v>5762</v>
      </c>
    </row>
    <row r="466" spans="2:3" s="15" customFormat="1" x14ac:dyDescent="0.25">
      <c r="B466" s="85" t="s">
        <v>5449</v>
      </c>
      <c r="C466" s="88">
        <v>59</v>
      </c>
    </row>
    <row r="467" spans="2:3" s="15" customFormat="1" x14ac:dyDescent="0.25">
      <c r="B467" s="86" t="s">
        <v>5450</v>
      </c>
      <c r="C467" s="89">
        <v>14.5</v>
      </c>
    </row>
    <row r="468" spans="2:3" s="15" customFormat="1" x14ac:dyDescent="0.25">
      <c r="B468" s="86" t="s">
        <v>5451</v>
      </c>
      <c r="C468" s="89">
        <v>86.5</v>
      </c>
    </row>
    <row r="469" spans="2:3" s="15" customFormat="1" x14ac:dyDescent="0.25">
      <c r="B469" s="86" t="s">
        <v>5452</v>
      </c>
      <c r="C469" s="89">
        <v>301</v>
      </c>
    </row>
    <row r="470" spans="2:3" s="15" customFormat="1" ht="13.5" thickBot="1" x14ac:dyDescent="0.3">
      <c r="B470" s="87" t="s">
        <v>5453</v>
      </c>
      <c r="C470" s="90">
        <v>78</v>
      </c>
    </row>
    <row r="471" spans="2:3" s="15" customFormat="1" x14ac:dyDescent="0.25">
      <c r="B471" s="85" t="s">
        <v>5454</v>
      </c>
      <c r="C471" s="88">
        <v>173</v>
      </c>
    </row>
    <row r="472" spans="2:3" s="15" customFormat="1" x14ac:dyDescent="0.25">
      <c r="B472" s="86" t="s">
        <v>5455</v>
      </c>
      <c r="C472" s="89">
        <v>35</v>
      </c>
    </row>
    <row r="473" spans="2:3" s="15" customFormat="1" x14ac:dyDescent="0.25">
      <c r="B473" s="86" t="s">
        <v>5456</v>
      </c>
      <c r="C473" s="89">
        <v>18</v>
      </c>
    </row>
    <row r="474" spans="2:3" s="15" customFormat="1" x14ac:dyDescent="0.25">
      <c r="B474" s="86" t="s">
        <v>5457</v>
      </c>
      <c r="C474" s="89">
        <v>54.5</v>
      </c>
    </row>
    <row r="475" spans="2:3" s="15" customFormat="1" ht="13.5" thickBot="1" x14ac:dyDescent="0.3">
      <c r="B475" s="87" t="s">
        <v>5458</v>
      </c>
      <c r="C475" s="90">
        <v>13</v>
      </c>
    </row>
    <row r="476" spans="2:3" s="15" customFormat="1" x14ac:dyDescent="0.25">
      <c r="B476" s="85" t="s">
        <v>923</v>
      </c>
      <c r="C476" s="88">
        <v>4</v>
      </c>
    </row>
    <row r="477" spans="2:3" s="15" customFormat="1" x14ac:dyDescent="0.25">
      <c r="B477" s="86" t="s">
        <v>924</v>
      </c>
      <c r="C477" s="89">
        <v>13</v>
      </c>
    </row>
    <row r="478" spans="2:3" s="15" customFormat="1" x14ac:dyDescent="0.25">
      <c r="B478" s="86" t="s">
        <v>925</v>
      </c>
      <c r="C478" s="89">
        <v>2</v>
      </c>
    </row>
    <row r="479" spans="2:3" s="15" customFormat="1" x14ac:dyDescent="0.25">
      <c r="B479" s="86" t="s">
        <v>926</v>
      </c>
      <c r="C479" s="89">
        <v>8</v>
      </c>
    </row>
    <row r="480" spans="2:3" s="15" customFormat="1" ht="13.5" thickBot="1" x14ac:dyDescent="0.3">
      <c r="B480" s="87" t="s">
        <v>629</v>
      </c>
      <c r="C480" s="90">
        <v>5</v>
      </c>
    </row>
    <row r="481" spans="2:17" s="15" customFormat="1" x14ac:dyDescent="0.25">
      <c r="B481" s="85" t="s">
        <v>776</v>
      </c>
      <c r="C481" s="88">
        <v>99.5</v>
      </c>
    </row>
    <row r="482" spans="2:17" s="15" customFormat="1" x14ac:dyDescent="0.25">
      <c r="B482" s="86" t="s">
        <v>1351</v>
      </c>
      <c r="C482" s="89">
        <v>45.5</v>
      </c>
    </row>
    <row r="483" spans="2:17" s="15" customFormat="1" x14ac:dyDescent="0.25">
      <c r="B483" s="86" t="s">
        <v>1352</v>
      </c>
      <c r="C483" s="89">
        <v>12</v>
      </c>
    </row>
    <row r="484" spans="2:17" s="15" customFormat="1" x14ac:dyDescent="0.25">
      <c r="B484" s="86" t="s">
        <v>1353</v>
      </c>
      <c r="C484" s="89">
        <v>1.5</v>
      </c>
    </row>
    <row r="485" spans="2:17" s="15" customFormat="1" x14ac:dyDescent="0.25">
      <c r="B485" s="86" t="s">
        <v>1354</v>
      </c>
      <c r="C485" s="89">
        <v>6</v>
      </c>
    </row>
    <row r="486" spans="2:17" s="15" customFormat="1" ht="13.5" thickBot="1" x14ac:dyDescent="0.3">
      <c r="B486" s="87" t="s">
        <v>1880</v>
      </c>
      <c r="C486" s="90">
        <v>1</v>
      </c>
    </row>
    <row r="487" spans="2:17" x14ac:dyDescent="0.25">
      <c r="D487" s="14"/>
      <c r="J487" s="13"/>
      <c r="K487" s="15"/>
      <c r="P487" s="13"/>
      <c r="Q487" s="15"/>
    </row>
    <row r="488" spans="2:17" x14ac:dyDescent="0.25">
      <c r="D488" s="14"/>
      <c r="J488" s="13"/>
      <c r="K488" s="15"/>
      <c r="P488" s="13"/>
      <c r="Q488" s="15"/>
    </row>
    <row r="489" spans="2:17" x14ac:dyDescent="0.25">
      <c r="D489" s="14"/>
      <c r="J489" s="13"/>
      <c r="K489" s="15"/>
      <c r="P489" s="13"/>
      <c r="Q489" s="15"/>
    </row>
    <row r="490" spans="2:17" x14ac:dyDescent="0.25">
      <c r="D490" s="14"/>
      <c r="J490" s="13"/>
      <c r="K490" s="15"/>
      <c r="P490" s="13"/>
      <c r="Q490" s="15"/>
    </row>
    <row r="491" spans="2:17" x14ac:dyDescent="0.25">
      <c r="D491" s="14"/>
      <c r="J491" s="13"/>
      <c r="K491" s="15"/>
      <c r="P491" s="13"/>
      <c r="Q491" s="15"/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7"/>
  <sheetViews>
    <sheetView zoomScale="126" zoomScaleNormal="130" workbookViewId="0">
      <pane ySplit="1" topLeftCell="A282" activePane="bottomLeft" state="frozen"/>
      <selection activeCell="D125" sqref="D125"/>
      <selection pane="bottomLeft" activeCell="A272" sqref="A272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19.140625" style="10" customWidth="1"/>
    <col min="4" max="4" width="11.5703125" style="13" customWidth="1"/>
    <col min="5" max="5" width="11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6.7109375" style="14" customWidth="1"/>
    <col min="11" max="11" width="23.710937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11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1775</v>
      </c>
      <c r="B2" s="13" t="s">
        <v>532</v>
      </c>
      <c r="C2" s="17" t="s">
        <v>5763</v>
      </c>
      <c r="D2" s="13" t="s">
        <v>8</v>
      </c>
      <c r="E2" s="14" t="s">
        <v>534</v>
      </c>
      <c r="F2" s="14" t="s">
        <v>11</v>
      </c>
      <c r="G2" s="13">
        <v>1</v>
      </c>
      <c r="H2" s="14">
        <f>G2+I2</f>
        <v>1</v>
      </c>
      <c r="I2" s="13"/>
      <c r="J2" s="13">
        <v>1</v>
      </c>
      <c r="K2" s="13" t="s">
        <v>224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s="14" customFormat="1" ht="25.5" customHeight="1" x14ac:dyDescent="0.25">
      <c r="A3" s="11" t="s">
        <v>1775</v>
      </c>
      <c r="B3" s="13" t="s">
        <v>76</v>
      </c>
      <c r="C3" s="10" t="s">
        <v>330</v>
      </c>
      <c r="D3" s="13" t="s">
        <v>39</v>
      </c>
      <c r="E3" s="14" t="s">
        <v>1281</v>
      </c>
      <c r="F3" s="14" t="s">
        <v>11</v>
      </c>
      <c r="G3" s="13">
        <v>14</v>
      </c>
      <c r="H3" s="14">
        <f t="shared" ref="H3:H23" si="0">G3+I3</f>
        <v>14</v>
      </c>
      <c r="I3" s="13"/>
      <c r="J3" s="13">
        <v>8</v>
      </c>
      <c r="K3" s="13" t="s">
        <v>1841</v>
      </c>
      <c r="L3" s="14" t="s">
        <v>177</v>
      </c>
      <c r="M3" s="14">
        <v>193</v>
      </c>
      <c r="N3" s="14">
        <v>983</v>
      </c>
      <c r="O3" s="14">
        <v>519300</v>
      </c>
      <c r="P3" s="14">
        <v>298300</v>
      </c>
    </row>
    <row r="4" spans="1:19" ht="22.5" x14ac:dyDescent="0.25">
      <c r="A4" s="11" t="s">
        <v>1775</v>
      </c>
      <c r="B4" s="13" t="s">
        <v>76</v>
      </c>
      <c r="C4" s="10" t="s">
        <v>1855</v>
      </c>
      <c r="D4" s="13" t="s">
        <v>1856</v>
      </c>
      <c r="E4" s="13" t="s">
        <v>1857</v>
      </c>
      <c r="F4" s="14" t="s">
        <v>11</v>
      </c>
      <c r="G4" s="13"/>
      <c r="H4" s="14">
        <f t="shared" si="0"/>
        <v>1</v>
      </c>
      <c r="I4" s="14">
        <v>1</v>
      </c>
      <c r="J4" s="14">
        <v>1</v>
      </c>
      <c r="K4" s="13" t="s">
        <v>358</v>
      </c>
      <c r="L4" s="15" t="s">
        <v>177</v>
      </c>
      <c r="M4" s="15">
        <v>38665</v>
      </c>
      <c r="N4" s="15">
        <v>73209</v>
      </c>
      <c r="O4" s="15">
        <v>538665</v>
      </c>
      <c r="P4" s="15">
        <v>273209</v>
      </c>
    </row>
    <row r="5" spans="1:19" ht="25.5" x14ac:dyDescent="0.25">
      <c r="A5" s="11" t="s">
        <v>1775</v>
      </c>
      <c r="B5" s="13" t="s">
        <v>76</v>
      </c>
      <c r="C5" s="17" t="s">
        <v>1872</v>
      </c>
      <c r="D5" s="13" t="s">
        <v>39</v>
      </c>
      <c r="E5" s="13" t="s">
        <v>178</v>
      </c>
      <c r="F5" s="14" t="s">
        <v>11</v>
      </c>
      <c r="G5" s="13">
        <v>3</v>
      </c>
      <c r="H5" s="14">
        <f t="shared" si="0"/>
        <v>8</v>
      </c>
      <c r="I5" s="14">
        <v>5</v>
      </c>
      <c r="J5" s="14">
        <v>4</v>
      </c>
      <c r="K5" s="13" t="s">
        <v>1876</v>
      </c>
      <c r="L5" s="15" t="s">
        <v>177</v>
      </c>
      <c r="M5" s="15">
        <v>6390</v>
      </c>
      <c r="N5" s="15">
        <v>8496</v>
      </c>
      <c r="O5" s="15">
        <v>563900</v>
      </c>
      <c r="P5" s="15">
        <v>284960</v>
      </c>
    </row>
    <row r="6" spans="1:19" x14ac:dyDescent="0.25">
      <c r="A6" s="11" t="s">
        <v>1775</v>
      </c>
      <c r="B6" s="13" t="s">
        <v>42</v>
      </c>
      <c r="C6" s="10" t="s">
        <v>142</v>
      </c>
      <c r="D6" s="13" t="s">
        <v>39</v>
      </c>
      <c r="E6" s="14" t="s">
        <v>143</v>
      </c>
      <c r="F6" s="14" t="s">
        <v>11</v>
      </c>
      <c r="G6" s="13"/>
      <c r="H6" s="14">
        <f t="shared" si="0"/>
        <v>1</v>
      </c>
      <c r="I6" s="14">
        <v>1</v>
      </c>
      <c r="J6" s="14">
        <v>1</v>
      </c>
      <c r="K6" s="13" t="s">
        <v>1780</v>
      </c>
      <c r="L6" s="15" t="s">
        <v>144</v>
      </c>
      <c r="M6" s="15">
        <v>685</v>
      </c>
      <c r="N6" s="15">
        <v>407</v>
      </c>
      <c r="O6" s="15">
        <v>168500</v>
      </c>
      <c r="P6" s="15">
        <v>40700</v>
      </c>
    </row>
    <row r="7" spans="1:19" x14ac:dyDescent="0.25">
      <c r="A7" s="11" t="s">
        <v>1775</v>
      </c>
      <c r="B7" s="13" t="s">
        <v>42</v>
      </c>
      <c r="C7" s="10" t="s">
        <v>535</v>
      </c>
      <c r="D7" s="13" t="s">
        <v>8</v>
      </c>
      <c r="E7" s="14" t="s">
        <v>43</v>
      </c>
      <c r="F7" s="14" t="s">
        <v>11</v>
      </c>
      <c r="G7" s="13">
        <v>1</v>
      </c>
      <c r="H7" s="14">
        <f t="shared" si="0"/>
        <v>1</v>
      </c>
      <c r="J7" s="14">
        <v>1</v>
      </c>
      <c r="K7" s="13" t="s">
        <v>224</v>
      </c>
      <c r="L7" s="15" t="s">
        <v>520</v>
      </c>
      <c r="M7" s="15">
        <v>25825</v>
      </c>
      <c r="N7" s="15">
        <v>71393</v>
      </c>
      <c r="O7" s="15">
        <v>225825</v>
      </c>
      <c r="P7" s="15">
        <v>71393</v>
      </c>
    </row>
    <row r="8" spans="1:19" ht="22.5" x14ac:dyDescent="0.25">
      <c r="A8" s="11" t="s">
        <v>1775</v>
      </c>
      <c r="B8" s="13" t="s">
        <v>42</v>
      </c>
      <c r="C8" s="10" t="s">
        <v>375</v>
      </c>
      <c r="D8" s="13" t="s">
        <v>41</v>
      </c>
      <c r="E8" s="14" t="s">
        <v>375</v>
      </c>
      <c r="F8" s="14" t="s">
        <v>11</v>
      </c>
      <c r="G8" s="13">
        <v>1</v>
      </c>
      <c r="H8" s="14">
        <f t="shared" si="0"/>
        <v>1</v>
      </c>
      <c r="J8" s="14">
        <v>1</v>
      </c>
      <c r="K8" s="13" t="s">
        <v>1790</v>
      </c>
      <c r="L8" s="15" t="s">
        <v>144</v>
      </c>
      <c r="M8" s="15">
        <v>34702</v>
      </c>
      <c r="N8" s="15">
        <v>24261</v>
      </c>
      <c r="O8" s="15">
        <v>134702</v>
      </c>
      <c r="P8" s="15">
        <v>24261</v>
      </c>
    </row>
    <row r="9" spans="1:19" ht="22.5" x14ac:dyDescent="0.25">
      <c r="A9" s="11" t="s">
        <v>1775</v>
      </c>
      <c r="B9" s="13" t="s">
        <v>42</v>
      </c>
      <c r="C9" s="10" t="s">
        <v>1776</v>
      </c>
      <c r="D9" s="13" t="s">
        <v>41</v>
      </c>
      <c r="E9" s="14" t="s">
        <v>363</v>
      </c>
      <c r="F9" s="14" t="s">
        <v>11</v>
      </c>
      <c r="G9" s="13"/>
      <c r="H9" s="14">
        <f t="shared" si="0"/>
        <v>1</v>
      </c>
      <c r="I9" s="14">
        <v>1</v>
      </c>
      <c r="J9" s="14">
        <v>1</v>
      </c>
      <c r="K9" s="13" t="s">
        <v>1777</v>
      </c>
      <c r="L9" s="15" t="s">
        <v>144</v>
      </c>
      <c r="M9" s="15">
        <v>4518</v>
      </c>
      <c r="N9" s="15">
        <v>3535</v>
      </c>
      <c r="O9" s="15">
        <v>145180</v>
      </c>
      <c r="P9" s="15">
        <v>35350</v>
      </c>
    </row>
    <row r="10" spans="1:19" x14ac:dyDescent="0.25">
      <c r="A10" s="11" t="s">
        <v>1775</v>
      </c>
      <c r="B10" s="13" t="s">
        <v>42</v>
      </c>
      <c r="C10" s="10" t="s">
        <v>518</v>
      </c>
      <c r="D10" s="13" t="s">
        <v>8</v>
      </c>
      <c r="E10" s="14" t="s">
        <v>363</v>
      </c>
      <c r="F10" s="14" t="s">
        <v>11</v>
      </c>
      <c r="G10" s="13">
        <v>1</v>
      </c>
      <c r="H10" s="14">
        <f t="shared" si="0"/>
        <v>1</v>
      </c>
      <c r="J10" s="14">
        <v>1</v>
      </c>
      <c r="K10" s="13" t="s">
        <v>224</v>
      </c>
      <c r="L10" s="15" t="s">
        <v>144</v>
      </c>
      <c r="M10" s="15">
        <v>4327</v>
      </c>
      <c r="N10" s="15">
        <v>2450</v>
      </c>
      <c r="O10" s="15">
        <v>143270</v>
      </c>
      <c r="P10" s="15">
        <v>24500</v>
      </c>
    </row>
    <row r="11" spans="1:19" x14ac:dyDescent="0.25">
      <c r="A11" s="11" t="s">
        <v>1775</v>
      </c>
      <c r="B11" s="13" t="s">
        <v>42</v>
      </c>
      <c r="C11" s="10" t="s">
        <v>1827</v>
      </c>
      <c r="D11" s="13" t="s">
        <v>121</v>
      </c>
      <c r="E11" s="14" t="s">
        <v>1828</v>
      </c>
      <c r="F11" s="14" t="s">
        <v>11</v>
      </c>
      <c r="G11" s="13">
        <v>1</v>
      </c>
      <c r="H11" s="14">
        <f t="shared" si="0"/>
        <v>1</v>
      </c>
      <c r="J11" s="14">
        <v>1</v>
      </c>
      <c r="K11" s="13" t="s">
        <v>224</v>
      </c>
      <c r="L11" s="15" t="s">
        <v>144</v>
      </c>
      <c r="M11" s="15">
        <v>936</v>
      </c>
      <c r="N11" s="15">
        <v>675</v>
      </c>
      <c r="O11" s="15">
        <v>193600</v>
      </c>
      <c r="P11" s="15">
        <v>67500</v>
      </c>
    </row>
    <row r="12" spans="1:19" ht="22.5" x14ac:dyDescent="0.25">
      <c r="A12" s="11" t="s">
        <v>1775</v>
      </c>
      <c r="B12" s="13" t="s">
        <v>42</v>
      </c>
      <c r="C12" s="10" t="s">
        <v>551</v>
      </c>
      <c r="D12" s="13" t="s">
        <v>540</v>
      </c>
      <c r="E12" s="14" t="s">
        <v>552</v>
      </c>
      <c r="F12" s="14" t="s">
        <v>11</v>
      </c>
      <c r="G12" s="13"/>
      <c r="H12" s="14">
        <f t="shared" si="0"/>
        <v>1</v>
      </c>
      <c r="I12" s="14">
        <v>1</v>
      </c>
      <c r="J12" s="14">
        <v>1</v>
      </c>
      <c r="K12" s="13" t="s">
        <v>324</v>
      </c>
      <c r="L12" s="15" t="s">
        <v>520</v>
      </c>
      <c r="M12" s="15">
        <v>2601</v>
      </c>
      <c r="N12" s="15">
        <v>7191</v>
      </c>
      <c r="O12" s="15">
        <v>226010</v>
      </c>
      <c r="P12" s="15">
        <v>71910</v>
      </c>
    </row>
    <row r="13" spans="1:19" ht="22.5" x14ac:dyDescent="0.25">
      <c r="A13" s="11" t="s">
        <v>1775</v>
      </c>
      <c r="B13" s="13" t="s">
        <v>42</v>
      </c>
      <c r="C13" s="10" t="s">
        <v>1821</v>
      </c>
      <c r="D13" s="13" t="s">
        <v>1822</v>
      </c>
      <c r="E13" s="14" t="s">
        <v>1823</v>
      </c>
      <c r="F13" s="14" t="s">
        <v>11</v>
      </c>
      <c r="G13" s="13">
        <v>1</v>
      </c>
      <c r="H13" s="14">
        <f t="shared" si="0"/>
        <v>1</v>
      </c>
      <c r="J13" s="14">
        <v>1</v>
      </c>
      <c r="K13" s="13" t="s">
        <v>217</v>
      </c>
      <c r="L13" s="15" t="s">
        <v>520</v>
      </c>
      <c r="M13" s="15">
        <v>1437</v>
      </c>
      <c r="N13" s="15">
        <v>7521</v>
      </c>
      <c r="O13" s="15">
        <v>214370</v>
      </c>
      <c r="P13" s="15">
        <v>75210</v>
      </c>
    </row>
    <row r="14" spans="1:19" x14ac:dyDescent="0.25">
      <c r="A14" s="11" t="s">
        <v>1775</v>
      </c>
      <c r="B14" s="13" t="s">
        <v>10</v>
      </c>
      <c r="C14" s="10" t="s">
        <v>715</v>
      </c>
      <c r="D14" s="13" t="s">
        <v>39</v>
      </c>
      <c r="E14" s="13" t="s">
        <v>716</v>
      </c>
      <c r="F14" s="14" t="s">
        <v>11</v>
      </c>
      <c r="G14" s="13"/>
      <c r="H14" s="14">
        <f t="shared" si="0"/>
        <v>2</v>
      </c>
      <c r="I14" s="14">
        <v>2</v>
      </c>
      <c r="J14" s="14">
        <v>2</v>
      </c>
      <c r="K14" s="13" t="s">
        <v>1781</v>
      </c>
      <c r="L14" s="15" t="s">
        <v>166</v>
      </c>
      <c r="M14" s="15">
        <v>24</v>
      </c>
      <c r="N14" s="15">
        <v>708</v>
      </c>
      <c r="O14" s="15">
        <v>302400</v>
      </c>
      <c r="P14" s="15">
        <v>570800</v>
      </c>
    </row>
    <row r="15" spans="1:19" x14ac:dyDescent="0.25">
      <c r="A15" s="11" t="s">
        <v>1775</v>
      </c>
      <c r="B15" s="13" t="s">
        <v>10</v>
      </c>
      <c r="C15" s="10" t="s">
        <v>1134</v>
      </c>
      <c r="D15" s="13" t="s">
        <v>8</v>
      </c>
      <c r="E15" s="14" t="s">
        <v>9</v>
      </c>
      <c r="F15" s="14" t="s">
        <v>11</v>
      </c>
      <c r="G15" s="13">
        <v>1</v>
      </c>
      <c r="H15" s="14">
        <f t="shared" si="0"/>
        <v>1</v>
      </c>
      <c r="J15" s="14">
        <v>1</v>
      </c>
      <c r="K15" s="13" t="s">
        <v>224</v>
      </c>
      <c r="L15" s="15" t="s">
        <v>166</v>
      </c>
      <c r="M15" s="15">
        <v>571</v>
      </c>
      <c r="N15" s="15">
        <v>372</v>
      </c>
      <c r="O15" s="15">
        <v>357100</v>
      </c>
      <c r="P15" s="15">
        <v>537200</v>
      </c>
    </row>
    <row r="16" spans="1:19" ht="22.5" x14ac:dyDescent="0.25">
      <c r="A16" s="11" t="s">
        <v>1775</v>
      </c>
      <c r="B16" s="13" t="s">
        <v>126</v>
      </c>
      <c r="C16" s="10" t="s">
        <v>527</v>
      </c>
      <c r="D16" s="13" t="s">
        <v>528</v>
      </c>
      <c r="E16" s="14" t="s">
        <v>444</v>
      </c>
      <c r="F16" s="14" t="s">
        <v>11</v>
      </c>
      <c r="G16" s="13">
        <v>1</v>
      </c>
      <c r="H16" s="14">
        <f t="shared" si="0"/>
        <v>1</v>
      </c>
      <c r="J16" s="14">
        <v>1</v>
      </c>
      <c r="K16" s="13" t="s">
        <v>217</v>
      </c>
      <c r="L16" s="15" t="s">
        <v>445</v>
      </c>
      <c r="M16" s="15">
        <v>1603</v>
      </c>
      <c r="N16" s="15">
        <v>6355</v>
      </c>
      <c r="O16" s="15">
        <v>416030</v>
      </c>
      <c r="P16" s="15">
        <v>363550</v>
      </c>
    </row>
    <row r="17" spans="1:17" x14ac:dyDescent="0.25">
      <c r="A17" s="11" t="s">
        <v>1775</v>
      </c>
      <c r="B17" s="13" t="s">
        <v>191</v>
      </c>
      <c r="C17" s="10" t="s">
        <v>43</v>
      </c>
      <c r="D17" s="13" t="s">
        <v>1278</v>
      </c>
      <c r="E17" s="14" t="s">
        <v>43</v>
      </c>
      <c r="F17" s="14" t="s">
        <v>11</v>
      </c>
      <c r="G17" s="13">
        <v>2</v>
      </c>
      <c r="H17" s="14">
        <f>G17+I17</f>
        <v>3</v>
      </c>
      <c r="I17" s="14">
        <v>1</v>
      </c>
      <c r="J17" s="14">
        <v>1</v>
      </c>
      <c r="K17" s="13" t="s">
        <v>349</v>
      </c>
      <c r="L17" s="15" t="s">
        <v>520</v>
      </c>
      <c r="M17" s="15">
        <v>64087</v>
      </c>
      <c r="N17" s="15">
        <v>76444</v>
      </c>
      <c r="O17" s="15">
        <v>264087</v>
      </c>
      <c r="P17" s="15">
        <v>76444</v>
      </c>
    </row>
    <row r="18" spans="1:17" x14ac:dyDescent="0.25">
      <c r="A18" s="11" t="s">
        <v>1775</v>
      </c>
      <c r="B18" s="13" t="s">
        <v>191</v>
      </c>
      <c r="C18" s="10" t="s">
        <v>1846</v>
      </c>
      <c r="D18" s="13" t="s">
        <v>39</v>
      </c>
      <c r="E18" s="14" t="s">
        <v>43</v>
      </c>
      <c r="F18" s="14" t="s">
        <v>11</v>
      </c>
      <c r="G18" s="13"/>
      <c r="H18" s="14">
        <f>G18+I18</f>
        <v>1</v>
      </c>
      <c r="I18" s="14">
        <v>1</v>
      </c>
      <c r="J18" s="14">
        <v>1</v>
      </c>
      <c r="K18" s="13" t="s">
        <v>349</v>
      </c>
      <c r="L18" s="15" t="s">
        <v>520</v>
      </c>
      <c r="M18" s="15">
        <v>65637</v>
      </c>
      <c r="N18" s="15">
        <v>76156</v>
      </c>
      <c r="O18" s="15">
        <v>265637</v>
      </c>
      <c r="P18" s="15">
        <v>76156</v>
      </c>
    </row>
    <row r="19" spans="1:17" x14ac:dyDescent="0.25">
      <c r="A19" s="11" t="s">
        <v>1775</v>
      </c>
      <c r="B19" s="13" t="s">
        <v>191</v>
      </c>
      <c r="C19" s="10" t="s">
        <v>1439</v>
      </c>
      <c r="D19" s="13" t="s">
        <v>39</v>
      </c>
      <c r="E19" s="14" t="s">
        <v>1440</v>
      </c>
      <c r="F19" s="14" t="s">
        <v>11</v>
      </c>
      <c r="G19" s="13"/>
      <c r="H19" s="14">
        <f t="shared" si="0"/>
        <v>3</v>
      </c>
      <c r="I19" s="14">
        <v>3</v>
      </c>
      <c r="J19" s="14">
        <v>2</v>
      </c>
      <c r="K19" s="13" t="s">
        <v>959</v>
      </c>
      <c r="L19" s="15" t="s">
        <v>520</v>
      </c>
      <c r="M19" s="15">
        <v>8757</v>
      </c>
      <c r="N19" s="15">
        <v>8607</v>
      </c>
      <c r="O19" s="15">
        <v>287570</v>
      </c>
      <c r="P19" s="15">
        <v>86070</v>
      </c>
    </row>
    <row r="20" spans="1:17" x14ac:dyDescent="0.25">
      <c r="A20" s="11" t="s">
        <v>1775</v>
      </c>
      <c r="B20" s="13" t="s">
        <v>68</v>
      </c>
      <c r="C20" s="10" t="s">
        <v>382</v>
      </c>
      <c r="D20" s="13" t="s">
        <v>1278</v>
      </c>
      <c r="E20" s="14" t="s">
        <v>314</v>
      </c>
      <c r="F20" s="14" t="s">
        <v>11</v>
      </c>
      <c r="G20" s="13">
        <v>3</v>
      </c>
      <c r="H20" s="14">
        <f t="shared" si="0"/>
        <v>3</v>
      </c>
      <c r="J20" s="14">
        <v>1</v>
      </c>
      <c r="K20" s="13" t="s">
        <v>1529</v>
      </c>
      <c r="L20" s="15" t="s">
        <v>119</v>
      </c>
      <c r="M20" s="15">
        <v>96585</v>
      </c>
      <c r="N20" s="15">
        <v>18584</v>
      </c>
      <c r="O20" s="15">
        <v>396585</v>
      </c>
      <c r="P20" s="15">
        <v>118584</v>
      </c>
    </row>
    <row r="21" spans="1:17" ht="22.5" x14ac:dyDescent="0.25">
      <c r="A21" s="11" t="s">
        <v>1775</v>
      </c>
      <c r="B21" s="13" t="s">
        <v>68</v>
      </c>
      <c r="C21" s="10" t="s">
        <v>197</v>
      </c>
      <c r="D21" s="13" t="s">
        <v>92</v>
      </c>
      <c r="E21" s="14" t="s">
        <v>198</v>
      </c>
      <c r="F21" s="14" t="s">
        <v>11</v>
      </c>
      <c r="G21" s="13">
        <v>1</v>
      </c>
      <c r="H21" s="14">
        <f t="shared" si="0"/>
        <v>3</v>
      </c>
      <c r="I21" s="14">
        <v>2</v>
      </c>
      <c r="J21" s="14">
        <v>2</v>
      </c>
      <c r="K21" s="13" t="s">
        <v>1875</v>
      </c>
      <c r="L21" s="15" t="s">
        <v>145</v>
      </c>
      <c r="M21" s="15">
        <v>6693</v>
      </c>
      <c r="N21" s="15">
        <v>8848</v>
      </c>
      <c r="O21" s="15">
        <v>366930</v>
      </c>
      <c r="P21" s="15">
        <v>88480</v>
      </c>
    </row>
    <row r="22" spans="1:17" ht="25.5" x14ac:dyDescent="0.25">
      <c r="A22" s="11" t="s">
        <v>1775</v>
      </c>
      <c r="B22" s="13" t="s">
        <v>68</v>
      </c>
      <c r="C22" s="17" t="s">
        <v>702</v>
      </c>
      <c r="D22" s="13" t="s">
        <v>26</v>
      </c>
      <c r="E22" s="13" t="s">
        <v>703</v>
      </c>
      <c r="F22" s="14" t="s">
        <v>11</v>
      </c>
      <c r="G22" s="13">
        <v>1</v>
      </c>
      <c r="H22" s="14">
        <f t="shared" si="0"/>
        <v>1</v>
      </c>
      <c r="J22" s="14">
        <v>1</v>
      </c>
      <c r="K22" s="13" t="s">
        <v>1552</v>
      </c>
      <c r="L22" s="15" t="s">
        <v>145</v>
      </c>
      <c r="M22" s="15">
        <v>6651</v>
      </c>
      <c r="N22" s="15">
        <v>8879</v>
      </c>
      <c r="O22" s="15">
        <v>366510</v>
      </c>
      <c r="P22" s="15">
        <v>88790</v>
      </c>
    </row>
    <row r="23" spans="1:17" ht="25.5" x14ac:dyDescent="0.25">
      <c r="A23" s="11" t="s">
        <v>1775</v>
      </c>
      <c r="B23" s="13" t="s">
        <v>64</v>
      </c>
      <c r="C23" s="17" t="s">
        <v>722</v>
      </c>
      <c r="D23" s="13" t="s">
        <v>26</v>
      </c>
      <c r="E23" s="14" t="s">
        <v>723</v>
      </c>
      <c r="F23" s="14" t="s">
        <v>11</v>
      </c>
      <c r="G23" s="13"/>
      <c r="H23" s="14">
        <f t="shared" si="0"/>
        <v>1</v>
      </c>
      <c r="I23" s="14">
        <v>1</v>
      </c>
      <c r="J23" s="14">
        <v>1</v>
      </c>
      <c r="K23" s="13" t="s">
        <v>1789</v>
      </c>
      <c r="L23" s="15" t="s">
        <v>113</v>
      </c>
      <c r="M23" s="15">
        <v>7896</v>
      </c>
      <c r="N23" s="15">
        <v>3</v>
      </c>
      <c r="O23" s="15">
        <v>378960</v>
      </c>
      <c r="P23" s="15">
        <v>200030</v>
      </c>
    </row>
    <row r="24" spans="1:17" ht="22.5" x14ac:dyDescent="0.25">
      <c r="A24" s="11" t="s">
        <v>1775</v>
      </c>
      <c r="B24" s="13" t="s">
        <v>283</v>
      </c>
      <c r="C24" s="10" t="s">
        <v>762</v>
      </c>
      <c r="D24" s="13" t="s">
        <v>41</v>
      </c>
      <c r="E24" s="14" t="s">
        <v>757</v>
      </c>
      <c r="F24" s="14" t="s">
        <v>11</v>
      </c>
      <c r="G24" s="13">
        <v>1</v>
      </c>
      <c r="H24" s="14">
        <f t="shared" ref="H24:H34" si="1">G24+I24</f>
        <v>1</v>
      </c>
      <c r="J24" s="14">
        <v>1</v>
      </c>
      <c r="K24" s="13" t="s">
        <v>1805</v>
      </c>
      <c r="L24" s="15" t="s">
        <v>108</v>
      </c>
      <c r="M24" s="15">
        <v>7452</v>
      </c>
      <c r="N24" s="15">
        <v>6084</v>
      </c>
      <c r="O24" s="15">
        <v>574520</v>
      </c>
      <c r="P24" s="15">
        <v>160840</v>
      </c>
    </row>
    <row r="25" spans="1:17" ht="22.5" x14ac:dyDescent="0.25">
      <c r="A25" s="11" t="s">
        <v>1775</v>
      </c>
      <c r="B25" s="13" t="s">
        <v>430</v>
      </c>
      <c r="C25" s="10" t="s">
        <v>911</v>
      </c>
      <c r="D25" s="13" t="s">
        <v>1853</v>
      </c>
      <c r="E25" s="14" t="s">
        <v>1854</v>
      </c>
      <c r="F25" s="14" t="s">
        <v>11</v>
      </c>
      <c r="G25" s="13"/>
      <c r="H25" s="14">
        <f t="shared" si="1"/>
        <v>1</v>
      </c>
      <c r="I25" s="14">
        <v>1</v>
      </c>
      <c r="J25" s="14">
        <v>1</v>
      </c>
      <c r="K25" s="13" t="s">
        <v>414</v>
      </c>
      <c r="L25" s="15" t="s">
        <v>431</v>
      </c>
      <c r="M25" s="15">
        <v>577</v>
      </c>
      <c r="N25" s="15">
        <v>460</v>
      </c>
      <c r="O25" s="15">
        <v>357700</v>
      </c>
      <c r="P25" s="15">
        <v>446000</v>
      </c>
    </row>
    <row r="26" spans="1:17" x14ac:dyDescent="0.25">
      <c r="A26" s="11" t="s">
        <v>1775</v>
      </c>
      <c r="B26" s="13" t="s">
        <v>78</v>
      </c>
      <c r="C26" s="10" t="s">
        <v>392</v>
      </c>
      <c r="D26" s="13" t="s">
        <v>18</v>
      </c>
      <c r="E26" s="14" t="s">
        <v>141</v>
      </c>
      <c r="F26" s="14" t="s">
        <v>11</v>
      </c>
      <c r="G26" s="13">
        <v>1</v>
      </c>
      <c r="H26" s="14">
        <f t="shared" si="1"/>
        <v>2</v>
      </c>
      <c r="I26" s="14">
        <v>1</v>
      </c>
      <c r="J26" s="14">
        <v>2</v>
      </c>
      <c r="K26" s="13" t="s">
        <v>1867</v>
      </c>
      <c r="L26" s="15" t="s">
        <v>393</v>
      </c>
      <c r="M26" s="15">
        <v>2398</v>
      </c>
      <c r="N26" s="15">
        <v>601</v>
      </c>
      <c r="O26" s="15">
        <v>623980</v>
      </c>
      <c r="P26" s="15">
        <v>306010</v>
      </c>
    </row>
    <row r="27" spans="1:17" x14ac:dyDescent="0.25">
      <c r="A27" s="11" t="s">
        <v>1775</v>
      </c>
      <c r="B27" s="13" t="s">
        <v>78</v>
      </c>
      <c r="C27" s="10" t="s">
        <v>565</v>
      </c>
      <c r="D27" s="13" t="s">
        <v>158</v>
      </c>
      <c r="E27" s="14" t="s">
        <v>566</v>
      </c>
      <c r="F27" s="14" t="s">
        <v>11</v>
      </c>
      <c r="G27" s="13"/>
      <c r="H27" s="14">
        <f t="shared" si="1"/>
        <v>2</v>
      </c>
      <c r="I27" s="14">
        <v>2</v>
      </c>
      <c r="J27" s="14">
        <v>2</v>
      </c>
      <c r="K27" s="13" t="s">
        <v>1786</v>
      </c>
      <c r="L27" s="15" t="s">
        <v>177</v>
      </c>
      <c r="M27" s="15">
        <v>81758</v>
      </c>
      <c r="N27" s="15">
        <v>89781</v>
      </c>
      <c r="O27" s="15">
        <v>581758</v>
      </c>
      <c r="P27" s="15">
        <v>289781</v>
      </c>
    </row>
    <row r="28" spans="1:17" ht="22.5" x14ac:dyDescent="0.25">
      <c r="A28" s="11" t="s">
        <v>1775</v>
      </c>
      <c r="B28" s="13" t="s">
        <v>62</v>
      </c>
      <c r="C28" s="10" t="s">
        <v>1590</v>
      </c>
      <c r="D28" s="13" t="s">
        <v>401</v>
      </c>
      <c r="E28" s="13" t="s">
        <v>102</v>
      </c>
      <c r="F28" s="14" t="s">
        <v>11</v>
      </c>
      <c r="G28" s="13">
        <v>1</v>
      </c>
      <c r="H28" s="14">
        <f t="shared" si="1"/>
        <v>1</v>
      </c>
      <c r="J28" s="14">
        <v>1</v>
      </c>
      <c r="K28" s="13" t="s">
        <v>349</v>
      </c>
      <c r="L28" s="15" t="s">
        <v>110</v>
      </c>
      <c r="M28" s="15">
        <v>3143</v>
      </c>
      <c r="N28" s="15">
        <v>8630</v>
      </c>
      <c r="O28" s="15">
        <v>431430</v>
      </c>
      <c r="P28" s="15">
        <v>186300</v>
      </c>
    </row>
    <row r="29" spans="1:17" ht="22.5" x14ac:dyDescent="0.25">
      <c r="A29" s="11" t="s">
        <v>1775</v>
      </c>
      <c r="B29" s="13" t="s">
        <v>62</v>
      </c>
      <c r="C29" s="10" t="s">
        <v>233</v>
      </c>
      <c r="D29" s="13" t="s">
        <v>26</v>
      </c>
      <c r="E29" s="13" t="s">
        <v>102</v>
      </c>
      <c r="F29" s="14" t="s">
        <v>11</v>
      </c>
      <c r="G29" s="13">
        <v>1</v>
      </c>
      <c r="H29" s="14">
        <f t="shared" si="1"/>
        <v>2</v>
      </c>
      <c r="I29" s="14">
        <v>1</v>
      </c>
      <c r="J29" s="14">
        <v>1</v>
      </c>
      <c r="K29" s="13" t="s">
        <v>1790</v>
      </c>
      <c r="L29" s="15" t="s">
        <v>110</v>
      </c>
      <c r="M29" s="15">
        <v>28090</v>
      </c>
      <c r="N29" s="15">
        <v>85396</v>
      </c>
      <c r="O29" s="15">
        <v>428090</v>
      </c>
      <c r="P29" s="15">
        <v>185396</v>
      </c>
    </row>
    <row r="30" spans="1:17" x14ac:dyDescent="0.25">
      <c r="A30" s="11" t="s">
        <v>1775</v>
      </c>
      <c r="B30" s="13" t="s">
        <v>22</v>
      </c>
      <c r="C30" s="10" t="s">
        <v>406</v>
      </c>
      <c r="D30" s="13" t="s">
        <v>18</v>
      </c>
      <c r="E30" s="14" t="s">
        <v>512</v>
      </c>
      <c r="F30" s="14" t="s">
        <v>11</v>
      </c>
      <c r="G30" s="13">
        <v>1</v>
      </c>
      <c r="H30" s="14">
        <f t="shared" si="1"/>
        <v>1</v>
      </c>
      <c r="J30" s="14">
        <v>1</v>
      </c>
      <c r="K30" s="13" t="s">
        <v>217</v>
      </c>
      <c r="L30" s="15" t="s">
        <v>119</v>
      </c>
      <c r="M30" s="15">
        <v>4842</v>
      </c>
      <c r="N30" s="15">
        <v>5582</v>
      </c>
      <c r="O30" s="15">
        <v>348420</v>
      </c>
      <c r="P30" s="15">
        <v>155820</v>
      </c>
    </row>
    <row r="31" spans="1:17" x14ac:dyDescent="0.25">
      <c r="A31" s="11" t="s">
        <v>1775</v>
      </c>
      <c r="B31" s="13" t="s">
        <v>93</v>
      </c>
      <c r="C31" s="10" t="s">
        <v>1785</v>
      </c>
      <c r="D31" s="13" t="s">
        <v>158</v>
      </c>
      <c r="E31" s="14" t="s">
        <v>112</v>
      </c>
      <c r="F31" s="14" t="s">
        <v>11</v>
      </c>
      <c r="G31" s="13"/>
      <c r="H31" s="14">
        <f t="shared" si="1"/>
        <v>1</v>
      </c>
      <c r="I31" s="14">
        <v>1</v>
      </c>
      <c r="J31" s="14">
        <v>1</v>
      </c>
      <c r="K31" s="13" t="s">
        <v>1036</v>
      </c>
      <c r="L31" s="15" t="s">
        <v>108</v>
      </c>
      <c r="M31" s="15">
        <v>82</v>
      </c>
      <c r="N31" s="15">
        <v>100</v>
      </c>
      <c r="O31" s="15">
        <v>508200</v>
      </c>
      <c r="P31" s="15">
        <v>110000</v>
      </c>
      <c r="Q31" s="15"/>
    </row>
    <row r="32" spans="1:17" ht="33.75" x14ac:dyDescent="0.25">
      <c r="A32" s="11" t="s">
        <v>1775</v>
      </c>
      <c r="B32" s="13" t="s">
        <v>93</v>
      </c>
      <c r="C32" s="10" t="s">
        <v>202</v>
      </c>
      <c r="D32" s="13" t="s">
        <v>92</v>
      </c>
      <c r="E32" s="13" t="s">
        <v>205</v>
      </c>
      <c r="F32" s="14" t="s">
        <v>11</v>
      </c>
      <c r="G32" s="13">
        <v>1</v>
      </c>
      <c r="H32" s="14">
        <f t="shared" si="1"/>
        <v>1</v>
      </c>
      <c r="J32" s="14">
        <v>1</v>
      </c>
      <c r="K32" s="13" t="s">
        <v>1780</v>
      </c>
      <c r="L32" s="15" t="s">
        <v>108</v>
      </c>
      <c r="M32" s="15">
        <v>3303</v>
      </c>
      <c r="N32" s="15">
        <v>477</v>
      </c>
      <c r="O32" s="15">
        <v>533030</v>
      </c>
      <c r="P32" s="15">
        <v>104770</v>
      </c>
      <c r="Q32" s="15"/>
    </row>
    <row r="33" spans="1:17" x14ac:dyDescent="0.25">
      <c r="A33" s="11" t="s">
        <v>1775</v>
      </c>
      <c r="B33" s="13" t="s">
        <v>93</v>
      </c>
      <c r="C33" s="10" t="s">
        <v>1784</v>
      </c>
      <c r="D33" s="13" t="s">
        <v>158</v>
      </c>
      <c r="E33" s="13" t="s">
        <v>112</v>
      </c>
      <c r="F33" s="14" t="s">
        <v>11</v>
      </c>
      <c r="G33" s="13"/>
      <c r="H33" s="14">
        <f t="shared" si="1"/>
        <v>1</v>
      </c>
      <c r="I33" s="14">
        <v>1</v>
      </c>
      <c r="J33" s="14">
        <v>1</v>
      </c>
      <c r="K33" s="13" t="s">
        <v>1035</v>
      </c>
      <c r="L33" s="15" t="s">
        <v>108</v>
      </c>
      <c r="M33" s="15">
        <v>119</v>
      </c>
      <c r="N33" s="15">
        <v>34</v>
      </c>
      <c r="O33" s="15">
        <v>511900</v>
      </c>
      <c r="P33" s="15">
        <v>103400</v>
      </c>
      <c r="Q33" s="15"/>
    </row>
    <row r="34" spans="1:17" ht="22.5" x14ac:dyDescent="0.25">
      <c r="A34" s="11" t="s">
        <v>1775</v>
      </c>
      <c r="B34" s="13" t="s">
        <v>24</v>
      </c>
      <c r="C34" s="10" t="s">
        <v>23</v>
      </c>
      <c r="D34" s="13" t="s">
        <v>124</v>
      </c>
      <c r="E34" s="14" t="s">
        <v>21</v>
      </c>
      <c r="F34" s="14" t="s">
        <v>11</v>
      </c>
      <c r="G34" s="13">
        <v>7</v>
      </c>
      <c r="H34" s="14">
        <f t="shared" si="1"/>
        <v>12</v>
      </c>
      <c r="I34" s="14">
        <v>5</v>
      </c>
      <c r="J34" s="14">
        <v>7</v>
      </c>
      <c r="K34" s="13" t="s">
        <v>1861</v>
      </c>
      <c r="L34" s="15" t="s">
        <v>110</v>
      </c>
      <c r="M34" s="15">
        <v>1026</v>
      </c>
      <c r="N34" s="15">
        <v>6996</v>
      </c>
      <c r="O34" s="15">
        <v>410260</v>
      </c>
      <c r="P34" s="15">
        <v>169960</v>
      </c>
      <c r="Q34" s="15"/>
    </row>
    <row r="35" spans="1:17" x14ac:dyDescent="0.25">
      <c r="A35" s="11" t="s">
        <v>1775</v>
      </c>
      <c r="B35" s="13" t="s">
        <v>24</v>
      </c>
      <c r="C35" s="10" t="s">
        <v>1340</v>
      </c>
      <c r="D35" s="13" t="s">
        <v>1198</v>
      </c>
      <c r="E35" s="14" t="s">
        <v>1839</v>
      </c>
      <c r="F35" s="14" t="s">
        <v>11</v>
      </c>
      <c r="G35" s="13"/>
      <c r="H35" s="14">
        <f t="shared" ref="H35:H45" si="2">G35+I35</f>
        <v>1</v>
      </c>
      <c r="I35" s="14">
        <v>1</v>
      </c>
      <c r="J35" s="14">
        <v>1</v>
      </c>
      <c r="K35" s="13" t="s">
        <v>1103</v>
      </c>
      <c r="L35" s="15" t="s">
        <v>110</v>
      </c>
      <c r="M35" s="15">
        <v>7995</v>
      </c>
      <c r="N35" s="15">
        <v>8199</v>
      </c>
      <c r="O35" s="15">
        <v>379950</v>
      </c>
      <c r="P35" s="15">
        <v>81990</v>
      </c>
      <c r="Q35" s="15"/>
    </row>
    <row r="36" spans="1:17" x14ac:dyDescent="0.25">
      <c r="A36" s="11" t="s">
        <v>1775</v>
      </c>
      <c r="B36" s="13" t="s">
        <v>24</v>
      </c>
      <c r="C36" s="10" t="s">
        <v>1155</v>
      </c>
      <c r="D36" s="13" t="s">
        <v>1278</v>
      </c>
      <c r="E36" s="14" t="s">
        <v>21</v>
      </c>
      <c r="F36" s="14" t="s">
        <v>11</v>
      </c>
      <c r="G36" s="13">
        <v>1</v>
      </c>
      <c r="H36" s="14">
        <f t="shared" si="2"/>
        <v>2</v>
      </c>
      <c r="I36" s="14">
        <v>1</v>
      </c>
      <c r="J36" s="14">
        <v>1</v>
      </c>
      <c r="K36" s="13" t="s">
        <v>1086</v>
      </c>
      <c r="L36" s="15" t="s">
        <v>110</v>
      </c>
      <c r="M36" s="15">
        <v>125</v>
      </c>
      <c r="N36" s="15">
        <v>708</v>
      </c>
      <c r="O36" s="15">
        <v>412500</v>
      </c>
      <c r="P36" s="15">
        <v>170800</v>
      </c>
      <c r="Q36" s="15"/>
    </row>
    <row r="37" spans="1:17" ht="22.5" x14ac:dyDescent="0.25">
      <c r="A37" s="11" t="s">
        <v>1775</v>
      </c>
      <c r="B37" s="13" t="s">
        <v>24</v>
      </c>
      <c r="C37" s="10" t="s">
        <v>122</v>
      </c>
      <c r="D37" s="13" t="s">
        <v>123</v>
      </c>
      <c r="E37" s="14" t="s">
        <v>21</v>
      </c>
      <c r="F37" s="14" t="s">
        <v>11</v>
      </c>
      <c r="G37" s="13"/>
      <c r="H37" s="14">
        <f t="shared" si="2"/>
        <v>3</v>
      </c>
      <c r="I37" s="14">
        <v>3</v>
      </c>
      <c r="J37" s="14">
        <v>1</v>
      </c>
      <c r="K37" s="13" t="s">
        <v>1086</v>
      </c>
      <c r="L37" s="15" t="s">
        <v>110</v>
      </c>
      <c r="M37" s="15">
        <v>1184</v>
      </c>
      <c r="N37" s="15">
        <v>6802</v>
      </c>
      <c r="O37" s="15">
        <v>411840</v>
      </c>
      <c r="P37" s="15">
        <v>168020</v>
      </c>
      <c r="Q37" s="15"/>
    </row>
    <row r="38" spans="1:17" ht="22.5" x14ac:dyDescent="0.25">
      <c r="A38" s="11" t="s">
        <v>1775</v>
      </c>
      <c r="B38" s="13" t="s">
        <v>24</v>
      </c>
      <c r="C38" s="10" t="s">
        <v>27</v>
      </c>
      <c r="D38" s="13" t="s">
        <v>125</v>
      </c>
      <c r="E38" s="14" t="s">
        <v>21</v>
      </c>
      <c r="F38" s="14" t="s">
        <v>11</v>
      </c>
      <c r="G38" s="13">
        <v>1</v>
      </c>
      <c r="H38" s="14">
        <f t="shared" si="2"/>
        <v>2</v>
      </c>
      <c r="I38" s="14">
        <v>1</v>
      </c>
      <c r="J38" s="14">
        <v>2</v>
      </c>
      <c r="K38" s="13" t="s">
        <v>1819</v>
      </c>
      <c r="L38" s="15" t="s">
        <v>110</v>
      </c>
      <c r="M38" s="15">
        <v>1001</v>
      </c>
      <c r="N38" s="15">
        <v>6853</v>
      </c>
      <c r="O38" s="15">
        <v>410010</v>
      </c>
      <c r="P38" s="15">
        <v>168530</v>
      </c>
      <c r="Q38" s="15"/>
    </row>
    <row r="39" spans="1:17" ht="22.5" x14ac:dyDescent="0.25">
      <c r="A39" s="11" t="s">
        <v>1775</v>
      </c>
      <c r="B39" s="13" t="s">
        <v>24</v>
      </c>
      <c r="C39" s="10" t="s">
        <v>13</v>
      </c>
      <c r="D39" s="13" t="s">
        <v>511</v>
      </c>
      <c r="E39" s="14" t="s">
        <v>21</v>
      </c>
      <c r="F39" s="14" t="s">
        <v>11</v>
      </c>
      <c r="G39" s="13">
        <v>9</v>
      </c>
      <c r="H39" s="14">
        <f t="shared" si="2"/>
        <v>17</v>
      </c>
      <c r="I39" s="14">
        <v>8</v>
      </c>
      <c r="J39" s="14">
        <v>9</v>
      </c>
      <c r="K39" s="13" t="s">
        <v>1860</v>
      </c>
      <c r="L39" s="15" t="s">
        <v>110</v>
      </c>
      <c r="M39" s="15">
        <v>1224</v>
      </c>
      <c r="N39" s="15">
        <v>4128</v>
      </c>
      <c r="O39" s="15">
        <v>412240</v>
      </c>
      <c r="P39" s="15">
        <v>141280</v>
      </c>
      <c r="Q39" s="15"/>
    </row>
    <row r="40" spans="1:17" x14ac:dyDescent="0.25">
      <c r="A40" s="11" t="s">
        <v>1775</v>
      </c>
      <c r="B40" s="13" t="s">
        <v>24</v>
      </c>
      <c r="C40" s="10" t="s">
        <v>1177</v>
      </c>
      <c r="D40" s="13" t="s">
        <v>1179</v>
      </c>
      <c r="E40" s="14" t="s">
        <v>21</v>
      </c>
      <c r="F40" s="14" t="s">
        <v>11</v>
      </c>
      <c r="G40" s="13"/>
      <c r="H40" s="14">
        <f t="shared" si="2"/>
        <v>1</v>
      </c>
      <c r="I40" s="14">
        <v>1</v>
      </c>
      <c r="J40" s="14">
        <v>1</v>
      </c>
      <c r="K40" s="13" t="s">
        <v>1092</v>
      </c>
      <c r="L40" s="15" t="s">
        <v>110</v>
      </c>
      <c r="M40" s="15">
        <v>1224</v>
      </c>
      <c r="N40" s="15">
        <v>4128</v>
      </c>
      <c r="O40" s="15">
        <v>412240</v>
      </c>
      <c r="P40" s="15">
        <v>141280</v>
      </c>
      <c r="Q40" s="15"/>
    </row>
    <row r="41" spans="1:17" x14ac:dyDescent="0.25">
      <c r="A41" s="11" t="s">
        <v>1775</v>
      </c>
      <c r="B41" s="13" t="s">
        <v>24</v>
      </c>
      <c r="C41" s="10" t="s">
        <v>1796</v>
      </c>
      <c r="D41" s="13" t="s">
        <v>1797</v>
      </c>
      <c r="E41" s="14" t="s">
        <v>21</v>
      </c>
      <c r="F41" s="14" t="s">
        <v>11</v>
      </c>
      <c r="G41" s="13">
        <v>1</v>
      </c>
      <c r="H41" s="14">
        <f t="shared" si="2"/>
        <v>1</v>
      </c>
      <c r="J41" s="14">
        <v>1</v>
      </c>
      <c r="K41" s="13" t="s">
        <v>1790</v>
      </c>
      <c r="L41" s="15" t="s">
        <v>110</v>
      </c>
      <c r="M41" s="15">
        <v>302</v>
      </c>
      <c r="N41" s="15">
        <v>866</v>
      </c>
      <c r="O41" s="15">
        <v>430200</v>
      </c>
      <c r="P41" s="15">
        <v>186600</v>
      </c>
      <c r="Q41" s="15"/>
    </row>
    <row r="42" spans="1:17" ht="22.5" x14ac:dyDescent="0.25">
      <c r="A42" s="11" t="s">
        <v>1775</v>
      </c>
      <c r="B42" s="13" t="s">
        <v>24</v>
      </c>
      <c r="C42" s="10" t="s">
        <v>28</v>
      </c>
      <c r="D42" s="13" t="s">
        <v>19</v>
      </c>
      <c r="E42" s="14" t="s">
        <v>21</v>
      </c>
      <c r="F42" s="14" t="s">
        <v>11</v>
      </c>
      <c r="G42" s="13">
        <v>20</v>
      </c>
      <c r="H42" s="14">
        <f t="shared" si="2"/>
        <v>21</v>
      </c>
      <c r="I42" s="14">
        <v>1</v>
      </c>
      <c r="J42" s="14">
        <v>13</v>
      </c>
      <c r="K42" s="13" t="s">
        <v>1877</v>
      </c>
      <c r="L42" s="15" t="s">
        <v>110</v>
      </c>
      <c r="M42" s="15">
        <v>86</v>
      </c>
      <c r="N42" s="15">
        <v>714</v>
      </c>
      <c r="O42" s="15">
        <v>408600</v>
      </c>
      <c r="P42" s="15">
        <v>171400</v>
      </c>
      <c r="Q42" s="15"/>
    </row>
    <row r="43" spans="1:17" x14ac:dyDescent="0.25">
      <c r="A43" s="11" t="s">
        <v>1775</v>
      </c>
      <c r="B43" s="13" t="s">
        <v>24</v>
      </c>
      <c r="C43" s="10" t="s">
        <v>14</v>
      </c>
      <c r="D43" s="13" t="s">
        <v>17</v>
      </c>
      <c r="E43" s="14" t="s">
        <v>21</v>
      </c>
      <c r="F43" s="14" t="s">
        <v>11</v>
      </c>
      <c r="G43" s="13"/>
      <c r="H43" s="14">
        <f t="shared" si="2"/>
        <v>1</v>
      </c>
      <c r="I43" s="14">
        <v>1</v>
      </c>
      <c r="J43" s="14">
        <v>1</v>
      </c>
      <c r="K43" s="13" t="s">
        <v>217</v>
      </c>
      <c r="L43" s="15" t="s">
        <v>110</v>
      </c>
      <c r="M43" s="15">
        <v>1506</v>
      </c>
      <c r="N43" s="15">
        <v>4337</v>
      </c>
      <c r="O43" s="15">
        <v>415060</v>
      </c>
      <c r="P43" s="15">
        <v>143370</v>
      </c>
      <c r="Q43" s="15"/>
    </row>
    <row r="44" spans="1:17" x14ac:dyDescent="0.25">
      <c r="A44" s="11" t="s">
        <v>1775</v>
      </c>
      <c r="B44" s="13" t="s">
        <v>139</v>
      </c>
      <c r="C44" s="10" t="s">
        <v>1834</v>
      </c>
      <c r="D44" s="13" t="s">
        <v>90</v>
      </c>
      <c r="E44" s="14" t="s">
        <v>272</v>
      </c>
      <c r="F44" s="14" t="s">
        <v>11</v>
      </c>
      <c r="G44" s="13"/>
      <c r="H44" s="14">
        <f>G44+I44</f>
        <v>2</v>
      </c>
      <c r="I44" s="14">
        <v>2</v>
      </c>
      <c r="J44" s="14">
        <v>1</v>
      </c>
      <c r="K44" s="13" t="s">
        <v>279</v>
      </c>
      <c r="L44" s="15" t="s">
        <v>137</v>
      </c>
      <c r="M44" s="15">
        <v>59</v>
      </c>
      <c r="N44" s="15">
        <v>778</v>
      </c>
      <c r="O44" s="15">
        <v>505900</v>
      </c>
      <c r="P44" s="15">
        <v>477800</v>
      </c>
      <c r="Q44" s="15"/>
    </row>
    <row r="45" spans="1:17" x14ac:dyDescent="0.25">
      <c r="A45" s="11" t="s">
        <v>1775</v>
      </c>
      <c r="B45" s="13" t="s">
        <v>269</v>
      </c>
      <c r="C45" s="10" t="s">
        <v>1835</v>
      </c>
      <c r="D45" s="13" t="s">
        <v>90</v>
      </c>
      <c r="E45" s="14" t="s">
        <v>1836</v>
      </c>
      <c r="F45" s="14" t="s">
        <v>11</v>
      </c>
      <c r="G45" s="13"/>
      <c r="H45" s="14">
        <f t="shared" si="2"/>
        <v>1</v>
      </c>
      <c r="I45" s="14">
        <v>1</v>
      </c>
      <c r="J45" s="14">
        <v>1</v>
      </c>
      <c r="K45" s="13" t="s">
        <v>309</v>
      </c>
      <c r="L45" s="15" t="s">
        <v>218</v>
      </c>
      <c r="M45" s="15">
        <v>7025</v>
      </c>
      <c r="N45" s="15">
        <v>84</v>
      </c>
      <c r="O45" s="15">
        <v>470250</v>
      </c>
      <c r="P45" s="15">
        <v>500840</v>
      </c>
      <c r="Q45" s="15"/>
    </row>
    <row r="46" spans="1:17" ht="22.5" x14ac:dyDescent="0.25">
      <c r="A46" s="11" t="s">
        <v>1775</v>
      </c>
      <c r="B46" s="13" t="s">
        <v>34</v>
      </c>
      <c r="C46" s="10" t="s">
        <v>33</v>
      </c>
      <c r="D46" s="13" t="s">
        <v>1278</v>
      </c>
      <c r="E46" s="13" t="s">
        <v>1070</v>
      </c>
      <c r="F46" s="14" t="s">
        <v>35</v>
      </c>
      <c r="G46" s="13">
        <v>3</v>
      </c>
      <c r="H46" s="14">
        <f t="shared" ref="H46:H53" si="3">G46+I46</f>
        <v>3</v>
      </c>
      <c r="J46" s="14">
        <v>3</v>
      </c>
      <c r="K46" s="13" t="s">
        <v>1830</v>
      </c>
      <c r="L46" s="15" t="s">
        <v>114</v>
      </c>
      <c r="M46" s="15">
        <v>57283</v>
      </c>
      <c r="N46" s="15">
        <v>5722</v>
      </c>
      <c r="O46" s="15">
        <v>353283</v>
      </c>
      <c r="P46" s="15">
        <v>1005722</v>
      </c>
      <c r="Q46" s="15"/>
    </row>
    <row r="47" spans="1:17" ht="22.5" x14ac:dyDescent="0.25">
      <c r="A47" s="11" t="s">
        <v>1775</v>
      </c>
      <c r="B47" s="13" t="s">
        <v>34</v>
      </c>
      <c r="C47" s="10" t="s">
        <v>40</v>
      </c>
      <c r="D47" s="13" t="s">
        <v>41</v>
      </c>
      <c r="E47" s="14" t="s">
        <v>33</v>
      </c>
      <c r="F47" s="14" t="s">
        <v>35</v>
      </c>
      <c r="G47" s="13"/>
      <c r="H47" s="14">
        <f t="shared" si="3"/>
        <v>3</v>
      </c>
      <c r="I47" s="14">
        <v>3</v>
      </c>
      <c r="J47" s="14">
        <v>3</v>
      </c>
      <c r="K47" s="13" t="s">
        <v>1811</v>
      </c>
      <c r="L47" s="15" t="s">
        <v>114</v>
      </c>
      <c r="M47" s="15">
        <v>3182</v>
      </c>
      <c r="N47" s="15">
        <v>1277</v>
      </c>
      <c r="O47" s="15">
        <v>331820</v>
      </c>
      <c r="P47" s="15">
        <v>1012770</v>
      </c>
      <c r="Q47" s="15"/>
    </row>
    <row r="48" spans="1:17" x14ac:dyDescent="0.25">
      <c r="A48" s="11" t="s">
        <v>1775</v>
      </c>
      <c r="B48" s="13" t="s">
        <v>34</v>
      </c>
      <c r="C48" s="10" t="s">
        <v>38</v>
      </c>
      <c r="D48" s="13" t="s">
        <v>39</v>
      </c>
      <c r="E48" s="14" t="s">
        <v>33</v>
      </c>
      <c r="F48" s="14" t="s">
        <v>35</v>
      </c>
      <c r="G48" s="13">
        <v>2</v>
      </c>
      <c r="H48" s="14">
        <f t="shared" si="3"/>
        <v>5</v>
      </c>
      <c r="I48" s="14">
        <v>3</v>
      </c>
      <c r="J48" s="14">
        <v>5</v>
      </c>
      <c r="K48" s="13" t="s">
        <v>1858</v>
      </c>
      <c r="L48" s="15" t="s">
        <v>114</v>
      </c>
      <c r="M48" s="15">
        <v>2312</v>
      </c>
      <c r="N48" s="15">
        <v>1874</v>
      </c>
      <c r="O48" s="15">
        <v>323120</v>
      </c>
      <c r="P48" s="15">
        <v>1018740</v>
      </c>
      <c r="Q48" s="15"/>
    </row>
    <row r="49" spans="1:17" x14ac:dyDescent="0.25">
      <c r="A49" s="11" t="s">
        <v>1775</v>
      </c>
      <c r="B49" s="13" t="s">
        <v>34</v>
      </c>
      <c r="C49" s="10" t="s">
        <v>36</v>
      </c>
      <c r="D49" s="13" t="s">
        <v>8</v>
      </c>
      <c r="E49" s="14" t="s">
        <v>33</v>
      </c>
      <c r="F49" s="14" t="s">
        <v>35</v>
      </c>
      <c r="G49" s="13">
        <v>1</v>
      </c>
      <c r="H49" s="14">
        <f t="shared" si="3"/>
        <v>1</v>
      </c>
      <c r="J49" s="14">
        <v>1</v>
      </c>
      <c r="K49" s="13" t="s">
        <v>1852</v>
      </c>
      <c r="L49" s="15" t="s">
        <v>114</v>
      </c>
      <c r="M49" s="15">
        <v>3067</v>
      </c>
      <c r="N49" s="15">
        <v>1252</v>
      </c>
      <c r="O49" s="15">
        <v>330670</v>
      </c>
      <c r="P49" s="15">
        <v>1012520</v>
      </c>
      <c r="Q49" s="15"/>
    </row>
    <row r="50" spans="1:17" ht="22.5" x14ac:dyDescent="0.25">
      <c r="A50" s="11" t="s">
        <v>1775</v>
      </c>
      <c r="B50" s="13" t="s">
        <v>99</v>
      </c>
      <c r="C50" s="10" t="s">
        <v>1804</v>
      </c>
      <c r="D50" s="13" t="s">
        <v>41</v>
      </c>
      <c r="E50" s="14" t="s">
        <v>1804</v>
      </c>
      <c r="F50" s="14" t="s">
        <v>35</v>
      </c>
      <c r="G50" s="13">
        <v>1</v>
      </c>
      <c r="H50" s="14">
        <f t="shared" si="3"/>
        <v>1</v>
      </c>
      <c r="J50" s="14">
        <v>1</v>
      </c>
      <c r="K50" s="13" t="s">
        <v>1805</v>
      </c>
      <c r="L50" s="15" t="s">
        <v>116</v>
      </c>
      <c r="M50" s="15">
        <v>893</v>
      </c>
      <c r="N50" s="15">
        <v>9945</v>
      </c>
      <c r="O50" s="15">
        <v>8930</v>
      </c>
      <c r="P50" s="15">
        <v>899450</v>
      </c>
      <c r="Q50" s="15"/>
    </row>
    <row r="51" spans="1:17" ht="22.5" x14ac:dyDescent="0.25">
      <c r="A51" s="11" t="s">
        <v>1775</v>
      </c>
      <c r="B51" s="13" t="s">
        <v>593</v>
      </c>
      <c r="C51" s="10" t="s">
        <v>1793</v>
      </c>
      <c r="D51" s="13" t="s">
        <v>41</v>
      </c>
      <c r="E51" s="13" t="s">
        <v>1794</v>
      </c>
      <c r="F51" s="14" t="s">
        <v>56</v>
      </c>
      <c r="G51" s="13">
        <v>1</v>
      </c>
      <c r="H51" s="14">
        <f t="shared" si="3"/>
        <v>1</v>
      </c>
      <c r="J51" s="14">
        <v>1</v>
      </c>
      <c r="K51" s="13" t="s">
        <v>1790</v>
      </c>
      <c r="L51" s="15" t="s">
        <v>119</v>
      </c>
      <c r="M51" s="15">
        <v>811</v>
      </c>
      <c r="N51" s="15">
        <v>7378</v>
      </c>
      <c r="O51" s="15">
        <v>308110</v>
      </c>
      <c r="P51" s="15">
        <v>173780</v>
      </c>
      <c r="Q51" s="15"/>
    </row>
    <row r="52" spans="1:17" ht="22.5" x14ac:dyDescent="0.25">
      <c r="A52" s="11" t="s">
        <v>1775</v>
      </c>
      <c r="B52" s="13" t="s">
        <v>593</v>
      </c>
      <c r="C52" s="10" t="s">
        <v>1369</v>
      </c>
      <c r="D52" s="13" t="s">
        <v>90</v>
      </c>
      <c r="E52" s="13" t="s">
        <v>1873</v>
      </c>
      <c r="F52" s="14" t="s">
        <v>56</v>
      </c>
      <c r="G52" s="13"/>
      <c r="H52" s="14">
        <f t="shared" si="3"/>
        <v>2</v>
      </c>
      <c r="I52" s="14">
        <v>2</v>
      </c>
      <c r="J52" s="14">
        <v>2</v>
      </c>
      <c r="K52" s="13" t="s">
        <v>1874</v>
      </c>
      <c r="L52" s="15" t="s">
        <v>596</v>
      </c>
      <c r="M52" s="15">
        <v>9506</v>
      </c>
      <c r="N52" s="15">
        <v>7226</v>
      </c>
      <c r="O52" s="15">
        <v>295060</v>
      </c>
      <c r="P52" s="15">
        <v>172260</v>
      </c>
      <c r="Q52" s="15"/>
    </row>
    <row r="53" spans="1:17" ht="22.5" x14ac:dyDescent="0.25">
      <c r="A53" s="11" t="s">
        <v>1775</v>
      </c>
      <c r="B53" s="13" t="s">
        <v>161</v>
      </c>
      <c r="C53" s="10" t="s">
        <v>162</v>
      </c>
      <c r="D53" s="13" t="s">
        <v>825</v>
      </c>
      <c r="E53" s="14" t="s">
        <v>826</v>
      </c>
      <c r="F53" s="14" t="s">
        <v>56</v>
      </c>
      <c r="G53" s="13">
        <v>2</v>
      </c>
      <c r="H53" s="14">
        <f t="shared" si="3"/>
        <v>4</v>
      </c>
      <c r="I53" s="14">
        <v>2</v>
      </c>
      <c r="J53" s="14">
        <v>3</v>
      </c>
      <c r="K53" s="13" t="s">
        <v>1868</v>
      </c>
      <c r="L53" s="15" t="s">
        <v>164</v>
      </c>
      <c r="M53" s="15">
        <v>717</v>
      </c>
      <c r="N53" s="15">
        <v>749</v>
      </c>
      <c r="O53" s="15">
        <v>271700</v>
      </c>
      <c r="P53" s="15">
        <v>374900</v>
      </c>
      <c r="Q53" s="15"/>
    </row>
    <row r="54" spans="1:17" ht="22.5" x14ac:dyDescent="0.25">
      <c r="A54" s="11" t="s">
        <v>1775</v>
      </c>
      <c r="B54" s="13" t="s">
        <v>795</v>
      </c>
      <c r="C54" s="10" t="s">
        <v>796</v>
      </c>
      <c r="D54" s="13" t="s">
        <v>41</v>
      </c>
      <c r="E54" s="14" t="s">
        <v>797</v>
      </c>
      <c r="F54" s="13" t="s">
        <v>773</v>
      </c>
      <c r="G54" s="13"/>
      <c r="H54" s="14">
        <f t="shared" ref="H54:H59" si="4">G54+I54</f>
        <v>4</v>
      </c>
      <c r="I54" s="14">
        <v>4</v>
      </c>
      <c r="J54" s="14">
        <v>2</v>
      </c>
      <c r="K54" s="13" t="s">
        <v>1053</v>
      </c>
      <c r="L54" s="15" t="s">
        <v>798</v>
      </c>
      <c r="M54" s="15">
        <v>6</v>
      </c>
      <c r="N54" s="15">
        <v>727</v>
      </c>
      <c r="O54" s="15">
        <v>300600</v>
      </c>
      <c r="P54" s="15">
        <v>272700</v>
      </c>
      <c r="Q54" s="15"/>
    </row>
    <row r="55" spans="1:17" x14ac:dyDescent="0.25">
      <c r="A55" s="11" t="s">
        <v>1775</v>
      </c>
      <c r="C55" s="10" t="s">
        <v>489</v>
      </c>
      <c r="F55" s="14" t="s">
        <v>874</v>
      </c>
      <c r="G55" s="13">
        <v>2</v>
      </c>
      <c r="H55" s="14">
        <f t="shared" si="4"/>
        <v>2</v>
      </c>
      <c r="J55" s="14">
        <v>2</v>
      </c>
      <c r="K55" s="13" t="s">
        <v>1809</v>
      </c>
      <c r="Q55" s="15"/>
    </row>
    <row r="56" spans="1:17" x14ac:dyDescent="0.25">
      <c r="A56" s="11" t="s">
        <v>1775</v>
      </c>
      <c r="C56" s="10" t="s">
        <v>679</v>
      </c>
      <c r="F56" s="14" t="s">
        <v>11</v>
      </c>
      <c r="G56" s="13">
        <v>1</v>
      </c>
      <c r="H56" s="14">
        <f t="shared" si="4"/>
        <v>1</v>
      </c>
      <c r="J56" s="14">
        <v>1</v>
      </c>
      <c r="K56" s="13" t="s">
        <v>1810</v>
      </c>
      <c r="Q56" s="15"/>
    </row>
    <row r="57" spans="1:17" x14ac:dyDescent="0.25">
      <c r="A57" s="11" t="s">
        <v>1775</v>
      </c>
      <c r="C57" s="10" t="s">
        <v>265</v>
      </c>
      <c r="F57" s="14" t="s">
        <v>874</v>
      </c>
      <c r="G57" s="13">
        <v>4</v>
      </c>
      <c r="H57" s="14">
        <f t="shared" si="4"/>
        <v>4</v>
      </c>
      <c r="J57" s="14">
        <v>3</v>
      </c>
      <c r="K57" s="13" t="s">
        <v>1817</v>
      </c>
      <c r="Q57" s="15"/>
    </row>
    <row r="58" spans="1:17" x14ac:dyDescent="0.25">
      <c r="A58" s="11" t="s">
        <v>1775</v>
      </c>
      <c r="C58" s="10" t="s">
        <v>302</v>
      </c>
      <c r="F58" s="14" t="s">
        <v>35</v>
      </c>
      <c r="G58" s="13">
        <v>2</v>
      </c>
      <c r="H58" s="14">
        <f t="shared" si="4"/>
        <v>2</v>
      </c>
      <c r="J58" s="14">
        <v>2</v>
      </c>
      <c r="K58" s="13" t="s">
        <v>1847</v>
      </c>
      <c r="Q58" s="15"/>
    </row>
    <row r="59" spans="1:17" x14ac:dyDescent="0.25">
      <c r="A59" s="11" t="s">
        <v>1775</v>
      </c>
      <c r="C59" s="10" t="s">
        <v>1832</v>
      </c>
      <c r="F59" s="14" t="s">
        <v>35</v>
      </c>
      <c r="G59" s="13">
        <v>1</v>
      </c>
      <c r="H59" s="14">
        <f t="shared" si="4"/>
        <v>1</v>
      </c>
      <c r="J59" s="14">
        <v>1</v>
      </c>
      <c r="K59" s="13" t="s">
        <v>252</v>
      </c>
      <c r="Q59" s="15"/>
    </row>
    <row r="60" spans="1:17" x14ac:dyDescent="0.25">
      <c r="A60" s="11" t="s">
        <v>1775</v>
      </c>
      <c r="B60" s="13" t="s">
        <v>297</v>
      </c>
      <c r="E60" s="14" t="s">
        <v>918</v>
      </c>
      <c r="F60" s="14" t="s">
        <v>11</v>
      </c>
      <c r="G60" s="13">
        <v>1</v>
      </c>
      <c r="H60" s="14">
        <f t="shared" ref="H60:H104" si="5">G60+I60</f>
        <v>1</v>
      </c>
      <c r="J60" s="14">
        <v>1</v>
      </c>
      <c r="K60" s="13" t="s">
        <v>349</v>
      </c>
      <c r="Q60" s="15"/>
    </row>
    <row r="61" spans="1:17" x14ac:dyDescent="0.25">
      <c r="A61" s="11" t="s">
        <v>1775</v>
      </c>
      <c r="B61" s="13" t="s">
        <v>54</v>
      </c>
      <c r="C61" s="10" t="s">
        <v>52</v>
      </c>
      <c r="F61" s="14" t="s">
        <v>11</v>
      </c>
      <c r="G61" s="13">
        <v>1</v>
      </c>
      <c r="H61" s="14">
        <f t="shared" si="5"/>
        <v>1</v>
      </c>
      <c r="J61" s="14">
        <v>1</v>
      </c>
      <c r="K61" s="13" t="s">
        <v>243</v>
      </c>
      <c r="Q61" s="15"/>
    </row>
    <row r="62" spans="1:17" x14ac:dyDescent="0.25">
      <c r="A62" s="11" t="s">
        <v>1775</v>
      </c>
      <c r="B62" s="13" t="s">
        <v>1424</v>
      </c>
      <c r="F62" s="14" t="s">
        <v>11</v>
      </c>
      <c r="G62" s="13">
        <v>1</v>
      </c>
      <c r="H62" s="14">
        <f t="shared" si="5"/>
        <v>1</v>
      </c>
      <c r="J62" s="14">
        <v>1</v>
      </c>
      <c r="K62" s="13" t="s">
        <v>338</v>
      </c>
      <c r="Q62" s="15"/>
    </row>
    <row r="63" spans="1:17" x14ac:dyDescent="0.25">
      <c r="A63" s="11" t="s">
        <v>1775</v>
      </c>
      <c r="B63" s="13" t="s">
        <v>213</v>
      </c>
      <c r="C63" s="10" t="s">
        <v>1845</v>
      </c>
      <c r="F63" s="14" t="s">
        <v>11</v>
      </c>
      <c r="G63" s="13">
        <v>1</v>
      </c>
      <c r="H63" s="14">
        <f t="shared" si="5"/>
        <v>1</v>
      </c>
      <c r="J63" s="14">
        <v>1</v>
      </c>
      <c r="K63" s="13" t="s">
        <v>349</v>
      </c>
      <c r="Q63" s="15"/>
    </row>
    <row r="64" spans="1:17" x14ac:dyDescent="0.25">
      <c r="A64" s="11" t="s">
        <v>1775</v>
      </c>
      <c r="B64" s="13" t="s">
        <v>42</v>
      </c>
      <c r="C64" s="10" t="s">
        <v>42</v>
      </c>
      <c r="F64" s="14" t="s">
        <v>11</v>
      </c>
      <c r="G64" s="13">
        <v>4</v>
      </c>
      <c r="H64" s="14">
        <f t="shared" si="5"/>
        <v>4</v>
      </c>
      <c r="J64" s="14">
        <v>4</v>
      </c>
      <c r="K64" s="13" t="s">
        <v>1837</v>
      </c>
      <c r="Q64" s="15"/>
    </row>
    <row r="65" spans="1:17" x14ac:dyDescent="0.25">
      <c r="A65" s="11" t="s">
        <v>1775</v>
      </c>
      <c r="B65" s="13" t="s">
        <v>191</v>
      </c>
      <c r="F65" s="14" t="s">
        <v>11</v>
      </c>
      <c r="G65" s="13">
        <v>1</v>
      </c>
      <c r="H65" s="14">
        <f t="shared" si="5"/>
        <v>1</v>
      </c>
      <c r="J65" s="14">
        <v>1</v>
      </c>
      <c r="K65" s="13" t="s">
        <v>1005</v>
      </c>
      <c r="Q65" s="15"/>
    </row>
    <row r="66" spans="1:17" x14ac:dyDescent="0.25">
      <c r="A66" s="11" t="s">
        <v>1775</v>
      </c>
      <c r="B66" s="13" t="s">
        <v>68</v>
      </c>
      <c r="C66" s="10" t="s">
        <v>68</v>
      </c>
      <c r="E66" s="14" t="s">
        <v>70</v>
      </c>
      <c r="F66" s="14" t="s">
        <v>11</v>
      </c>
      <c r="G66" s="13">
        <v>4</v>
      </c>
      <c r="H66" s="14">
        <f t="shared" si="5"/>
        <v>4</v>
      </c>
      <c r="J66" s="14">
        <v>3</v>
      </c>
      <c r="K66" s="13" t="s">
        <v>1787</v>
      </c>
      <c r="Q66" s="15"/>
    </row>
    <row r="67" spans="1:17" x14ac:dyDescent="0.25">
      <c r="A67" s="11" t="s">
        <v>1775</v>
      </c>
      <c r="B67" s="13" t="s">
        <v>68</v>
      </c>
      <c r="C67" s="10" t="s">
        <v>1865</v>
      </c>
      <c r="F67" s="14" t="s">
        <v>11</v>
      </c>
      <c r="G67" s="13">
        <v>1</v>
      </c>
      <c r="H67" s="14">
        <f t="shared" si="5"/>
        <v>1</v>
      </c>
      <c r="J67" s="14">
        <v>1</v>
      </c>
      <c r="K67" s="13" t="s">
        <v>1529</v>
      </c>
      <c r="Q67" s="15"/>
    </row>
    <row r="68" spans="1:17" x14ac:dyDescent="0.25">
      <c r="A68" s="11" t="s">
        <v>1775</v>
      </c>
      <c r="B68" s="13" t="s">
        <v>327</v>
      </c>
      <c r="C68" s="10" t="s">
        <v>282</v>
      </c>
      <c r="E68" s="14" t="s">
        <v>677</v>
      </c>
      <c r="F68" s="14" t="s">
        <v>11</v>
      </c>
      <c r="G68" s="13">
        <v>2</v>
      </c>
      <c r="H68" s="14">
        <f t="shared" si="5"/>
        <v>2</v>
      </c>
      <c r="J68" s="14">
        <v>2</v>
      </c>
      <c r="K68" s="13" t="s">
        <v>1871</v>
      </c>
      <c r="Q68" s="15"/>
    </row>
    <row r="69" spans="1:17" x14ac:dyDescent="0.25">
      <c r="A69" s="11" t="s">
        <v>1775</v>
      </c>
      <c r="B69" s="13" t="s">
        <v>327</v>
      </c>
      <c r="C69" s="10" t="s">
        <v>1813</v>
      </c>
      <c r="F69" s="14" t="s">
        <v>11</v>
      </c>
      <c r="G69" s="13">
        <v>1</v>
      </c>
      <c r="H69" s="14">
        <f>G69+I69</f>
        <v>1</v>
      </c>
      <c r="J69" s="14">
        <v>1</v>
      </c>
      <c r="K69" s="13" t="s">
        <v>128</v>
      </c>
      <c r="Q69" s="15"/>
    </row>
    <row r="70" spans="1:17" x14ac:dyDescent="0.25">
      <c r="A70" s="11" t="s">
        <v>1775</v>
      </c>
      <c r="B70" s="13" t="s">
        <v>209</v>
      </c>
      <c r="F70" s="14" t="s">
        <v>11</v>
      </c>
      <c r="G70" s="13">
        <v>1</v>
      </c>
      <c r="H70" s="14">
        <f t="shared" si="5"/>
        <v>1</v>
      </c>
      <c r="J70" s="14">
        <v>1</v>
      </c>
      <c r="K70" s="13" t="s">
        <v>1035</v>
      </c>
      <c r="Q70" s="15"/>
    </row>
    <row r="71" spans="1:17" x14ac:dyDescent="0.25">
      <c r="A71" s="11" t="s">
        <v>1775</v>
      </c>
      <c r="B71" s="13" t="s">
        <v>261</v>
      </c>
      <c r="F71" s="14" t="s">
        <v>11</v>
      </c>
      <c r="G71" s="13">
        <v>1</v>
      </c>
      <c r="H71" s="14">
        <f t="shared" si="5"/>
        <v>1</v>
      </c>
      <c r="J71" s="14">
        <v>1</v>
      </c>
      <c r="K71" s="13" t="s">
        <v>1029</v>
      </c>
      <c r="Q71" s="15"/>
    </row>
    <row r="72" spans="1:17" x14ac:dyDescent="0.25">
      <c r="A72" s="11" t="s">
        <v>1775</v>
      </c>
      <c r="B72" s="13" t="s">
        <v>283</v>
      </c>
      <c r="F72" s="14" t="s">
        <v>11</v>
      </c>
      <c r="G72" s="13">
        <v>2</v>
      </c>
      <c r="H72" s="14">
        <f t="shared" si="5"/>
        <v>2</v>
      </c>
      <c r="J72" s="14">
        <v>2</v>
      </c>
      <c r="K72" s="13" t="s">
        <v>1815</v>
      </c>
      <c r="Q72" s="15"/>
    </row>
    <row r="73" spans="1:17" x14ac:dyDescent="0.25">
      <c r="A73" s="11" t="s">
        <v>1775</v>
      </c>
      <c r="B73" s="13" t="s">
        <v>328</v>
      </c>
      <c r="C73" s="10" t="s">
        <v>1778</v>
      </c>
      <c r="F73" s="14" t="s">
        <v>11</v>
      </c>
      <c r="G73" s="13">
        <v>3</v>
      </c>
      <c r="H73" s="14">
        <f t="shared" si="5"/>
        <v>3</v>
      </c>
      <c r="J73" s="14">
        <v>3</v>
      </c>
      <c r="K73" s="13" t="s">
        <v>1818</v>
      </c>
      <c r="Q73" s="15"/>
    </row>
    <row r="74" spans="1:17" x14ac:dyDescent="0.25">
      <c r="A74" s="11" t="s">
        <v>1775</v>
      </c>
      <c r="B74" s="13" t="s">
        <v>78</v>
      </c>
      <c r="F74" s="14" t="s">
        <v>11</v>
      </c>
      <c r="G74" s="13">
        <v>1</v>
      </c>
      <c r="H74" s="14">
        <f t="shared" si="5"/>
        <v>1</v>
      </c>
      <c r="J74" s="14">
        <v>1</v>
      </c>
      <c r="K74" s="13" t="s">
        <v>1035</v>
      </c>
      <c r="Q74" s="15"/>
    </row>
    <row r="75" spans="1:17" x14ac:dyDescent="0.25">
      <c r="A75" s="11" t="s">
        <v>1775</v>
      </c>
      <c r="C75" s="10" t="s">
        <v>1820</v>
      </c>
      <c r="F75" s="14" t="s">
        <v>11</v>
      </c>
      <c r="G75" s="13">
        <v>1</v>
      </c>
      <c r="H75" s="14">
        <f t="shared" si="5"/>
        <v>1</v>
      </c>
      <c r="J75" s="14">
        <v>1</v>
      </c>
      <c r="K75" s="13" t="s">
        <v>217</v>
      </c>
      <c r="Q75" s="15"/>
    </row>
    <row r="76" spans="1:17" x14ac:dyDescent="0.25">
      <c r="A76" s="11" t="s">
        <v>1775</v>
      </c>
      <c r="B76" s="13" t="s">
        <v>22</v>
      </c>
      <c r="C76" s="10" t="s">
        <v>22</v>
      </c>
      <c r="E76" s="14" t="s">
        <v>22</v>
      </c>
      <c r="F76" s="14" t="s">
        <v>11</v>
      </c>
      <c r="G76" s="13">
        <v>1</v>
      </c>
      <c r="H76" s="14">
        <f t="shared" si="5"/>
        <v>1</v>
      </c>
      <c r="J76" s="14">
        <v>1</v>
      </c>
      <c r="K76" s="13" t="s">
        <v>224</v>
      </c>
      <c r="Q76" s="15"/>
    </row>
    <row r="77" spans="1:17" x14ac:dyDescent="0.25">
      <c r="A77" s="11" t="s">
        <v>1775</v>
      </c>
      <c r="B77" s="13" t="s">
        <v>93</v>
      </c>
      <c r="F77" s="14" t="s">
        <v>11</v>
      </c>
      <c r="G77" s="13">
        <v>5</v>
      </c>
      <c r="H77" s="14">
        <f t="shared" si="5"/>
        <v>6</v>
      </c>
      <c r="I77" s="14">
        <v>1</v>
      </c>
      <c r="J77" s="14">
        <v>5</v>
      </c>
      <c r="K77" s="13" t="s">
        <v>1814</v>
      </c>
      <c r="Q77" s="15"/>
    </row>
    <row r="78" spans="1:17" x14ac:dyDescent="0.25">
      <c r="A78" s="11" t="s">
        <v>1775</v>
      </c>
      <c r="B78" s="13" t="s">
        <v>50</v>
      </c>
      <c r="C78" s="10" t="s">
        <v>49</v>
      </c>
      <c r="F78" s="14" t="s">
        <v>11</v>
      </c>
      <c r="G78" s="13">
        <v>1</v>
      </c>
      <c r="H78" s="14">
        <f t="shared" si="5"/>
        <v>1</v>
      </c>
      <c r="J78" s="14">
        <v>1</v>
      </c>
      <c r="K78" s="13" t="s">
        <v>128</v>
      </c>
      <c r="Q78" s="15"/>
    </row>
    <row r="79" spans="1:17" x14ac:dyDescent="0.25">
      <c r="A79" s="11" t="s">
        <v>1775</v>
      </c>
      <c r="B79" s="13" t="s">
        <v>24</v>
      </c>
      <c r="C79" s="10" t="s">
        <v>986</v>
      </c>
      <c r="F79" s="14" t="s">
        <v>11</v>
      </c>
      <c r="G79" s="13">
        <v>1</v>
      </c>
      <c r="H79" s="14">
        <f t="shared" si="5"/>
        <v>1</v>
      </c>
      <c r="J79" s="14">
        <v>1</v>
      </c>
      <c r="K79" s="13" t="s">
        <v>180</v>
      </c>
      <c r="Q79" s="15"/>
    </row>
    <row r="80" spans="1:17" x14ac:dyDescent="0.25">
      <c r="A80" s="11" t="s">
        <v>1775</v>
      </c>
      <c r="B80" s="13" t="s">
        <v>24</v>
      </c>
      <c r="C80" s="10" t="s">
        <v>24</v>
      </c>
      <c r="F80" s="14" t="s">
        <v>11</v>
      </c>
      <c r="G80" s="13">
        <v>4</v>
      </c>
      <c r="H80" s="14">
        <f t="shared" si="5"/>
        <v>4</v>
      </c>
      <c r="J80" s="14">
        <v>4</v>
      </c>
      <c r="K80" s="13" t="s">
        <v>1862</v>
      </c>
      <c r="Q80" s="15"/>
    </row>
    <row r="81" spans="1:17" x14ac:dyDescent="0.25">
      <c r="A81" s="11" t="s">
        <v>1775</v>
      </c>
      <c r="C81" s="10" t="s">
        <v>1182</v>
      </c>
      <c r="E81" s="14" t="s">
        <v>21</v>
      </c>
      <c r="F81" s="14" t="s">
        <v>11</v>
      </c>
      <c r="G81" s="13">
        <v>1</v>
      </c>
      <c r="H81" s="14">
        <f t="shared" si="5"/>
        <v>1</v>
      </c>
      <c r="J81" s="14">
        <v>1</v>
      </c>
      <c r="K81" s="13" t="s">
        <v>1086</v>
      </c>
      <c r="Q81" s="15"/>
    </row>
    <row r="82" spans="1:17" x14ac:dyDescent="0.25">
      <c r="A82" s="11" t="s">
        <v>1775</v>
      </c>
      <c r="C82" s="10" t="s">
        <v>1181</v>
      </c>
      <c r="E82" s="14" t="s">
        <v>21</v>
      </c>
      <c r="F82" s="14" t="s">
        <v>11</v>
      </c>
      <c r="G82" s="13">
        <v>1</v>
      </c>
      <c r="H82" s="14">
        <f t="shared" si="5"/>
        <v>1</v>
      </c>
      <c r="J82" s="14">
        <v>1</v>
      </c>
      <c r="K82" s="13" t="s">
        <v>193</v>
      </c>
      <c r="Q82" s="15"/>
    </row>
    <row r="83" spans="1:17" x14ac:dyDescent="0.25">
      <c r="A83" s="11" t="s">
        <v>1775</v>
      </c>
      <c r="B83" s="13" t="s">
        <v>1844</v>
      </c>
      <c r="E83" s="13"/>
      <c r="F83" s="14" t="s">
        <v>11</v>
      </c>
      <c r="G83" s="13">
        <v>1</v>
      </c>
      <c r="H83" s="14">
        <f t="shared" si="5"/>
        <v>1</v>
      </c>
      <c r="J83" s="14">
        <v>1</v>
      </c>
      <c r="K83" s="13" t="s">
        <v>338</v>
      </c>
      <c r="Q83" s="15"/>
    </row>
    <row r="84" spans="1:17" x14ac:dyDescent="0.25">
      <c r="A84" s="11" t="s">
        <v>1775</v>
      </c>
      <c r="B84" s="13" t="s">
        <v>139</v>
      </c>
      <c r="F84" s="14" t="s">
        <v>11</v>
      </c>
      <c r="G84" s="13">
        <v>1</v>
      </c>
      <c r="H84" s="14">
        <f t="shared" si="5"/>
        <v>1</v>
      </c>
      <c r="J84" s="14">
        <v>1</v>
      </c>
      <c r="K84" s="13" t="s">
        <v>279</v>
      </c>
      <c r="Q84" s="15"/>
    </row>
    <row r="85" spans="1:17" x14ac:dyDescent="0.25">
      <c r="A85" s="11" t="s">
        <v>1775</v>
      </c>
      <c r="C85" s="10" t="s">
        <v>416</v>
      </c>
      <c r="F85" s="14" t="s">
        <v>11</v>
      </c>
      <c r="G85" s="13">
        <v>7</v>
      </c>
      <c r="H85" s="14">
        <f t="shared" si="5"/>
        <v>7</v>
      </c>
      <c r="J85" s="14">
        <v>6</v>
      </c>
      <c r="K85" s="13" t="s">
        <v>1864</v>
      </c>
      <c r="Q85" s="15"/>
    </row>
    <row r="86" spans="1:17" x14ac:dyDescent="0.25">
      <c r="A86" s="11" t="s">
        <v>1775</v>
      </c>
      <c r="B86" s="13" t="s">
        <v>272</v>
      </c>
      <c r="F86" s="14" t="s">
        <v>11</v>
      </c>
      <c r="G86" s="13">
        <v>1</v>
      </c>
      <c r="H86" s="14">
        <f t="shared" si="5"/>
        <v>1</v>
      </c>
      <c r="J86" s="14">
        <v>1</v>
      </c>
      <c r="K86" s="13" t="s">
        <v>1788</v>
      </c>
      <c r="Q86" s="15"/>
    </row>
    <row r="87" spans="1:17" x14ac:dyDescent="0.25">
      <c r="A87" s="11" t="s">
        <v>1775</v>
      </c>
      <c r="C87" s="10" t="s">
        <v>48</v>
      </c>
      <c r="F87" s="14" t="s">
        <v>11</v>
      </c>
      <c r="G87" s="13">
        <v>3</v>
      </c>
      <c r="H87" s="14">
        <f t="shared" si="5"/>
        <v>3</v>
      </c>
      <c r="J87" s="14">
        <v>3</v>
      </c>
      <c r="K87" s="13" t="s">
        <v>1848</v>
      </c>
    </row>
    <row r="88" spans="1:17" x14ac:dyDescent="0.25">
      <c r="A88" s="11" t="s">
        <v>1775</v>
      </c>
      <c r="C88" s="10" t="s">
        <v>1806</v>
      </c>
      <c r="E88" s="14" t="s">
        <v>282</v>
      </c>
      <c r="F88" s="14" t="s">
        <v>11</v>
      </c>
      <c r="G88" s="13">
        <v>1</v>
      </c>
      <c r="H88" s="14">
        <f t="shared" si="5"/>
        <v>1</v>
      </c>
      <c r="J88" s="14">
        <v>1</v>
      </c>
      <c r="K88" s="13" t="s">
        <v>1805</v>
      </c>
    </row>
    <row r="89" spans="1:17" s="39" customFormat="1" x14ac:dyDescent="0.25">
      <c r="A89" s="11" t="s">
        <v>1775</v>
      </c>
      <c r="B89" s="26"/>
      <c r="C89" s="38" t="s">
        <v>11</v>
      </c>
      <c r="D89" s="26"/>
      <c r="E89" s="25"/>
      <c r="F89" s="25" t="s">
        <v>11</v>
      </c>
      <c r="G89" s="26">
        <v>9</v>
      </c>
      <c r="H89" s="14">
        <f t="shared" si="5"/>
        <v>9</v>
      </c>
      <c r="I89" s="25"/>
      <c r="J89" s="25">
        <v>9</v>
      </c>
      <c r="K89" s="26" t="s">
        <v>1863</v>
      </c>
      <c r="Q89" s="26"/>
    </row>
    <row r="90" spans="1:17" x14ac:dyDescent="0.25">
      <c r="A90" s="11" t="s">
        <v>1775</v>
      </c>
      <c r="E90" s="14" t="s">
        <v>851</v>
      </c>
      <c r="F90" s="14" t="s">
        <v>11</v>
      </c>
      <c r="G90" s="13">
        <v>2</v>
      </c>
      <c r="H90" s="14">
        <f t="shared" si="5"/>
        <v>2</v>
      </c>
      <c r="J90" s="14">
        <v>2</v>
      </c>
      <c r="K90" s="13" t="s">
        <v>1816</v>
      </c>
    </row>
    <row r="91" spans="1:17" x14ac:dyDescent="0.25">
      <c r="A91" s="11" t="s">
        <v>1775</v>
      </c>
      <c r="E91" s="14" t="s">
        <v>852</v>
      </c>
      <c r="F91" s="14" t="s">
        <v>874</v>
      </c>
      <c r="G91" s="13">
        <v>7</v>
      </c>
      <c r="H91" s="14">
        <f t="shared" si="5"/>
        <v>7</v>
      </c>
      <c r="J91" s="14">
        <v>8</v>
      </c>
      <c r="K91" s="13" t="s">
        <v>1870</v>
      </c>
    </row>
    <row r="92" spans="1:17" x14ac:dyDescent="0.25">
      <c r="A92" s="11" t="s">
        <v>1775</v>
      </c>
      <c r="C92" s="10" t="s">
        <v>255</v>
      </c>
      <c r="F92" s="14" t="s">
        <v>11</v>
      </c>
      <c r="G92" s="13">
        <v>1</v>
      </c>
      <c r="H92" s="14">
        <f t="shared" si="5"/>
        <v>1</v>
      </c>
      <c r="J92" s="14">
        <v>1</v>
      </c>
      <c r="K92" s="13" t="s">
        <v>264</v>
      </c>
    </row>
    <row r="93" spans="1:17" x14ac:dyDescent="0.25">
      <c r="A93" s="11" t="s">
        <v>1775</v>
      </c>
      <c r="C93" s="10" t="s">
        <v>296</v>
      </c>
      <c r="F93" s="14" t="s">
        <v>11</v>
      </c>
      <c r="G93" s="13">
        <v>3</v>
      </c>
      <c r="H93" s="14">
        <f t="shared" si="5"/>
        <v>3</v>
      </c>
      <c r="J93" s="14">
        <v>3</v>
      </c>
      <c r="K93" s="13" t="s">
        <v>1833</v>
      </c>
    </row>
    <row r="94" spans="1:17" x14ac:dyDescent="0.25">
      <c r="A94" s="11" t="s">
        <v>1775</v>
      </c>
      <c r="C94" s="10" t="s">
        <v>765</v>
      </c>
      <c r="F94" s="14" t="s">
        <v>11</v>
      </c>
      <c r="G94" s="13">
        <v>1</v>
      </c>
      <c r="H94" s="14">
        <f t="shared" si="5"/>
        <v>1</v>
      </c>
      <c r="J94" s="14">
        <v>1</v>
      </c>
      <c r="K94" s="13" t="s">
        <v>224</v>
      </c>
    </row>
    <row r="95" spans="1:17" x14ac:dyDescent="0.25">
      <c r="A95" s="11" t="s">
        <v>1775</v>
      </c>
      <c r="C95" s="10" t="s">
        <v>259</v>
      </c>
      <c r="F95" s="14" t="s">
        <v>11</v>
      </c>
      <c r="G95" s="13">
        <v>2</v>
      </c>
      <c r="H95" s="14">
        <f t="shared" si="5"/>
        <v>2</v>
      </c>
      <c r="J95" s="14">
        <v>2</v>
      </c>
      <c r="K95" s="13" t="s">
        <v>1782</v>
      </c>
    </row>
    <row r="96" spans="1:17" x14ac:dyDescent="0.25">
      <c r="A96" s="11" t="s">
        <v>1775</v>
      </c>
      <c r="C96" s="10" t="s">
        <v>512</v>
      </c>
      <c r="E96" s="14" t="s">
        <v>1881</v>
      </c>
      <c r="F96" s="14" t="s">
        <v>11</v>
      </c>
      <c r="G96" s="13">
        <v>1</v>
      </c>
      <c r="H96" s="14">
        <f t="shared" si="5"/>
        <v>1</v>
      </c>
      <c r="J96" s="14">
        <v>1</v>
      </c>
      <c r="K96" s="13" t="s">
        <v>217</v>
      </c>
    </row>
    <row r="97" spans="1:17" x14ac:dyDescent="0.25">
      <c r="A97" s="11" t="s">
        <v>1775</v>
      </c>
      <c r="C97" s="10" t="s">
        <v>918</v>
      </c>
      <c r="E97" s="14" t="s">
        <v>282</v>
      </c>
      <c r="F97" s="14" t="s">
        <v>11</v>
      </c>
      <c r="G97" s="13">
        <v>1</v>
      </c>
      <c r="H97" s="14">
        <f t="shared" si="5"/>
        <v>1</v>
      </c>
      <c r="J97" s="14">
        <v>1</v>
      </c>
      <c r="K97" s="13" t="s">
        <v>1790</v>
      </c>
    </row>
    <row r="98" spans="1:17" x14ac:dyDescent="0.25">
      <c r="A98" s="11" t="s">
        <v>1775</v>
      </c>
      <c r="C98" s="10" t="s">
        <v>1795</v>
      </c>
      <c r="E98" s="14" t="s">
        <v>1882</v>
      </c>
      <c r="F98" s="14" t="s">
        <v>11</v>
      </c>
      <c r="G98" s="13">
        <v>1</v>
      </c>
      <c r="H98" s="14">
        <f t="shared" si="5"/>
        <v>1</v>
      </c>
      <c r="J98" s="14">
        <v>1</v>
      </c>
      <c r="K98" s="13" t="s">
        <v>1790</v>
      </c>
    </row>
    <row r="99" spans="1:17" x14ac:dyDescent="0.25">
      <c r="A99" s="11" t="s">
        <v>1775</v>
      </c>
      <c r="C99" s="10" t="s">
        <v>1783</v>
      </c>
      <c r="E99" s="14" t="s">
        <v>1883</v>
      </c>
      <c r="F99" s="14" t="s">
        <v>11</v>
      </c>
      <c r="G99" s="13">
        <v>1</v>
      </c>
      <c r="H99" s="14">
        <f t="shared" si="5"/>
        <v>1</v>
      </c>
      <c r="J99" s="14">
        <v>1</v>
      </c>
      <c r="K99" s="13" t="s">
        <v>1035</v>
      </c>
    </row>
    <row r="100" spans="1:17" x14ac:dyDescent="0.25">
      <c r="A100" s="11" t="s">
        <v>1775</v>
      </c>
      <c r="C100" s="10" t="s">
        <v>266</v>
      </c>
      <c r="E100" s="14" t="s">
        <v>1883</v>
      </c>
      <c r="F100" s="14" t="s">
        <v>11</v>
      </c>
      <c r="G100" s="13">
        <v>6</v>
      </c>
      <c r="H100" s="14">
        <f t="shared" si="5"/>
        <v>6</v>
      </c>
      <c r="J100" s="14">
        <v>4</v>
      </c>
      <c r="K100" s="13" t="s">
        <v>1840</v>
      </c>
    </row>
    <row r="101" spans="1:17" x14ac:dyDescent="0.25">
      <c r="A101" s="11" t="s">
        <v>1775</v>
      </c>
      <c r="C101" s="10" t="s">
        <v>682</v>
      </c>
      <c r="E101" s="14" t="s">
        <v>683</v>
      </c>
      <c r="F101" s="14" t="s">
        <v>11</v>
      </c>
      <c r="G101" s="13">
        <v>6</v>
      </c>
      <c r="H101" s="14">
        <f t="shared" si="5"/>
        <v>6</v>
      </c>
      <c r="J101" s="14">
        <v>4</v>
      </c>
      <c r="K101" s="13" t="s">
        <v>1859</v>
      </c>
      <c r="Q101" s="15"/>
    </row>
    <row r="102" spans="1:17" x14ac:dyDescent="0.25">
      <c r="A102" s="11" t="s">
        <v>1775</v>
      </c>
      <c r="C102" s="10" t="s">
        <v>770</v>
      </c>
      <c r="F102" s="14" t="s">
        <v>874</v>
      </c>
      <c r="G102" s="13">
        <v>4</v>
      </c>
      <c r="H102" s="14">
        <f t="shared" si="5"/>
        <v>4</v>
      </c>
      <c r="J102" s="14">
        <v>4</v>
      </c>
      <c r="K102" s="13" t="s">
        <v>1849</v>
      </c>
      <c r="Q102" s="15"/>
    </row>
    <row r="103" spans="1:17" x14ac:dyDescent="0.25">
      <c r="A103" s="11" t="s">
        <v>1775</v>
      </c>
      <c r="C103" s="10" t="s">
        <v>1798</v>
      </c>
      <c r="F103" s="14" t="s">
        <v>874</v>
      </c>
      <c r="G103" s="13">
        <v>2</v>
      </c>
      <c r="H103" s="14">
        <f t="shared" si="5"/>
        <v>2</v>
      </c>
      <c r="J103" s="14">
        <v>2</v>
      </c>
      <c r="K103" s="13" t="s">
        <v>1807</v>
      </c>
      <c r="Q103" s="15"/>
    </row>
    <row r="104" spans="1:17" x14ac:dyDescent="0.25">
      <c r="A104" s="11" t="s">
        <v>1775</v>
      </c>
      <c r="C104" s="10" t="s">
        <v>718</v>
      </c>
      <c r="D104" s="13" t="s">
        <v>833</v>
      </c>
      <c r="E104" s="14" t="s">
        <v>1884</v>
      </c>
      <c r="F104" s="14" t="s">
        <v>11</v>
      </c>
      <c r="G104" s="13">
        <v>1</v>
      </c>
      <c r="H104" s="14">
        <f t="shared" si="5"/>
        <v>1</v>
      </c>
      <c r="J104" s="14">
        <v>1</v>
      </c>
      <c r="K104" s="13" t="s">
        <v>1800</v>
      </c>
      <c r="Q104" s="15"/>
    </row>
    <row r="105" spans="1:17" ht="14.25" customHeight="1" x14ac:dyDescent="0.25">
      <c r="A105" s="11" t="s">
        <v>1775</v>
      </c>
      <c r="C105" s="10" t="s">
        <v>73</v>
      </c>
      <c r="E105" s="14" t="s">
        <v>1885</v>
      </c>
      <c r="F105" s="14" t="s">
        <v>11</v>
      </c>
      <c r="G105" s="13">
        <v>1</v>
      </c>
      <c r="H105" s="14">
        <f t="shared" ref="H105:H126" si="6">G105+I105</f>
        <v>1</v>
      </c>
      <c r="J105" s="14">
        <v>1</v>
      </c>
      <c r="K105" s="13" t="s">
        <v>338</v>
      </c>
      <c r="Q105" s="15"/>
    </row>
    <row r="106" spans="1:17" x14ac:dyDescent="0.25">
      <c r="A106" s="11" t="s">
        <v>1775</v>
      </c>
      <c r="C106" s="10" t="s">
        <v>678</v>
      </c>
      <c r="F106" s="14" t="s">
        <v>11</v>
      </c>
      <c r="G106" s="13">
        <v>3</v>
      </c>
      <c r="H106" s="14">
        <f t="shared" si="6"/>
        <v>3</v>
      </c>
      <c r="J106" s="14">
        <v>3</v>
      </c>
      <c r="K106" s="13" t="s">
        <v>1851</v>
      </c>
      <c r="Q106" s="15"/>
    </row>
    <row r="107" spans="1:17" ht="22.5" x14ac:dyDescent="0.25">
      <c r="A107" s="11" t="s">
        <v>1775</v>
      </c>
      <c r="C107" s="10" t="s">
        <v>21</v>
      </c>
      <c r="E107" s="14" t="s">
        <v>21</v>
      </c>
      <c r="F107" s="14" t="s">
        <v>11</v>
      </c>
      <c r="G107" s="13">
        <v>24</v>
      </c>
      <c r="H107" s="14">
        <f t="shared" si="6"/>
        <v>25</v>
      </c>
      <c r="I107" s="14">
        <v>1</v>
      </c>
      <c r="J107" s="14">
        <v>16</v>
      </c>
      <c r="K107" s="13" t="s">
        <v>1869</v>
      </c>
      <c r="Q107" s="15"/>
    </row>
    <row r="108" spans="1:17" x14ac:dyDescent="0.25">
      <c r="A108" s="11" t="s">
        <v>1775</v>
      </c>
      <c r="C108" s="10" t="s">
        <v>656</v>
      </c>
      <c r="F108" s="14" t="s">
        <v>11</v>
      </c>
      <c r="G108" s="13">
        <v>4</v>
      </c>
      <c r="H108" s="14">
        <f t="shared" si="6"/>
        <v>4</v>
      </c>
      <c r="J108" s="14">
        <v>3</v>
      </c>
      <c r="K108" s="13" t="s">
        <v>1866</v>
      </c>
      <c r="Q108" s="15"/>
    </row>
    <row r="109" spans="1:17" ht="22.5" x14ac:dyDescent="0.25">
      <c r="A109" s="11" t="s">
        <v>1775</v>
      </c>
      <c r="C109" s="10" t="s">
        <v>1791</v>
      </c>
      <c r="F109" s="13" t="s">
        <v>1104</v>
      </c>
      <c r="G109" s="13">
        <v>1</v>
      </c>
      <c r="H109" s="14">
        <f t="shared" si="6"/>
        <v>1</v>
      </c>
      <c r="J109" s="14">
        <v>1</v>
      </c>
      <c r="K109" s="13" t="s">
        <v>1790</v>
      </c>
    </row>
    <row r="110" spans="1:17" ht="22.5" x14ac:dyDescent="0.25">
      <c r="A110" s="11" t="s">
        <v>1775</v>
      </c>
      <c r="C110" s="10" t="s">
        <v>719</v>
      </c>
      <c r="F110" s="13" t="s">
        <v>1341</v>
      </c>
      <c r="G110" s="13">
        <v>1</v>
      </c>
      <c r="H110" s="14">
        <f t="shared" si="6"/>
        <v>1</v>
      </c>
      <c r="J110" s="14">
        <v>1</v>
      </c>
      <c r="K110" s="13" t="s">
        <v>1790</v>
      </c>
    </row>
    <row r="111" spans="1:17" ht="22.5" x14ac:dyDescent="0.25">
      <c r="A111" s="11" t="s">
        <v>1775</v>
      </c>
      <c r="C111" s="10" t="s">
        <v>69</v>
      </c>
      <c r="D111" s="13" t="s">
        <v>1034</v>
      </c>
      <c r="E111" s="14" t="s">
        <v>1881</v>
      </c>
      <c r="F111" s="13" t="s">
        <v>11</v>
      </c>
      <c r="G111" s="13">
        <v>7</v>
      </c>
      <c r="H111" s="14">
        <f t="shared" si="6"/>
        <v>7</v>
      </c>
      <c r="J111" s="14">
        <v>3</v>
      </c>
      <c r="K111" s="13" t="s">
        <v>1803</v>
      </c>
    </row>
    <row r="112" spans="1:17" s="44" customFormat="1" x14ac:dyDescent="0.25">
      <c r="A112" s="11" t="s">
        <v>1775</v>
      </c>
      <c r="B112" s="43"/>
      <c r="C112" s="42" t="s">
        <v>56</v>
      </c>
      <c r="D112" s="43"/>
      <c r="E112" s="41"/>
      <c r="F112" s="41" t="s">
        <v>56</v>
      </c>
      <c r="G112" s="43">
        <v>4</v>
      </c>
      <c r="H112" s="14">
        <f t="shared" si="6"/>
        <v>4</v>
      </c>
      <c r="I112" s="41"/>
      <c r="J112" s="41">
        <v>4</v>
      </c>
      <c r="K112" s="43" t="s">
        <v>1826</v>
      </c>
      <c r="Q112" s="43"/>
    </row>
    <row r="113" spans="1:17" x14ac:dyDescent="0.25">
      <c r="A113" s="11" t="s">
        <v>1775</v>
      </c>
      <c r="C113" s="10" t="s">
        <v>253</v>
      </c>
      <c r="F113" s="14" t="s">
        <v>56</v>
      </c>
      <c r="G113" s="13">
        <v>1</v>
      </c>
      <c r="H113" s="14">
        <f t="shared" si="6"/>
        <v>2</v>
      </c>
      <c r="I113" s="14">
        <v>1</v>
      </c>
      <c r="J113" s="14">
        <v>2</v>
      </c>
      <c r="K113" s="13" t="s">
        <v>1792</v>
      </c>
    </row>
    <row r="114" spans="1:17" x14ac:dyDescent="0.25">
      <c r="A114" s="11" t="s">
        <v>1775</v>
      </c>
      <c r="C114" s="10" t="s">
        <v>254</v>
      </c>
      <c r="F114" s="14" t="s">
        <v>56</v>
      </c>
      <c r="G114" s="13">
        <v>1</v>
      </c>
      <c r="H114" s="14">
        <f t="shared" si="6"/>
        <v>1</v>
      </c>
      <c r="J114" s="14">
        <v>1</v>
      </c>
      <c r="K114" s="13" t="s">
        <v>1810</v>
      </c>
    </row>
    <row r="115" spans="1:17" x14ac:dyDescent="0.25">
      <c r="A115" s="11" t="s">
        <v>1775</v>
      </c>
      <c r="C115" s="10" t="s">
        <v>950</v>
      </c>
      <c r="E115" s="13" t="s">
        <v>57</v>
      </c>
      <c r="F115" s="14" t="s">
        <v>56</v>
      </c>
      <c r="G115" s="13">
        <v>1</v>
      </c>
      <c r="H115" s="14">
        <f t="shared" si="6"/>
        <v>1</v>
      </c>
      <c r="J115" s="14">
        <v>1</v>
      </c>
      <c r="K115" s="13" t="s">
        <v>1092</v>
      </c>
    </row>
    <row r="116" spans="1:17" x14ac:dyDescent="0.25">
      <c r="A116" s="11" t="s">
        <v>1775</v>
      </c>
      <c r="B116" s="13" t="s">
        <v>593</v>
      </c>
      <c r="C116" s="10" t="s">
        <v>1794</v>
      </c>
      <c r="F116" s="14" t="s">
        <v>56</v>
      </c>
      <c r="G116" s="13">
        <v>1</v>
      </c>
      <c r="H116" s="14">
        <f t="shared" si="6"/>
        <v>1</v>
      </c>
      <c r="J116" s="14">
        <v>1</v>
      </c>
      <c r="K116" s="13" t="s">
        <v>1790</v>
      </c>
    </row>
    <row r="117" spans="1:17" s="36" customFormat="1" x14ac:dyDescent="0.25">
      <c r="A117" s="11" t="s">
        <v>1775</v>
      </c>
      <c r="B117" s="35"/>
      <c r="C117" s="34" t="s">
        <v>35</v>
      </c>
      <c r="D117" s="35"/>
      <c r="E117" s="33"/>
      <c r="F117" s="33" t="s">
        <v>35</v>
      </c>
      <c r="G117" s="35">
        <v>7</v>
      </c>
      <c r="H117" s="14">
        <f t="shared" si="6"/>
        <v>7</v>
      </c>
      <c r="I117" s="33"/>
      <c r="J117" s="33">
        <v>7</v>
      </c>
      <c r="K117" s="35" t="s">
        <v>1842</v>
      </c>
      <c r="Q117" s="35"/>
    </row>
    <row r="118" spans="1:17" x14ac:dyDescent="0.25">
      <c r="A118" s="11" t="s">
        <v>1775</v>
      </c>
      <c r="C118" s="10" t="s">
        <v>744</v>
      </c>
      <c r="E118" s="14" t="s">
        <v>1886</v>
      </c>
      <c r="F118" s="14" t="s">
        <v>35</v>
      </c>
      <c r="G118" s="13">
        <v>1</v>
      </c>
      <c r="H118" s="14">
        <f t="shared" si="6"/>
        <v>1</v>
      </c>
      <c r="J118" s="14">
        <v>1</v>
      </c>
      <c r="K118" s="13" t="s">
        <v>1043</v>
      </c>
      <c r="Q118" s="15"/>
    </row>
    <row r="119" spans="1:17" x14ac:dyDescent="0.25">
      <c r="A119" s="11" t="s">
        <v>1775</v>
      </c>
      <c r="C119" s="10" t="s">
        <v>1779</v>
      </c>
      <c r="E119" s="14" t="s">
        <v>1887</v>
      </c>
      <c r="F119" s="14" t="s">
        <v>35</v>
      </c>
      <c r="G119" s="13">
        <v>1</v>
      </c>
      <c r="H119" s="14">
        <f t="shared" si="6"/>
        <v>1</v>
      </c>
      <c r="J119" s="14">
        <v>1</v>
      </c>
      <c r="K119" s="13" t="s">
        <v>1005</v>
      </c>
      <c r="Q119" s="15"/>
    </row>
    <row r="120" spans="1:17" ht="22.5" x14ac:dyDescent="0.25">
      <c r="A120" s="11" t="s">
        <v>1775</v>
      </c>
      <c r="C120" s="10" t="s">
        <v>256</v>
      </c>
      <c r="D120" s="13" t="s">
        <v>813</v>
      </c>
      <c r="E120" s="13" t="s">
        <v>258</v>
      </c>
      <c r="F120" s="14" t="s">
        <v>35</v>
      </c>
      <c r="G120" s="13">
        <v>2</v>
      </c>
      <c r="H120" s="14">
        <f t="shared" si="6"/>
        <v>2</v>
      </c>
      <c r="J120" s="14">
        <v>2</v>
      </c>
      <c r="K120" s="13" t="s">
        <v>1824</v>
      </c>
      <c r="Q120" s="15"/>
    </row>
    <row r="121" spans="1:17" x14ac:dyDescent="0.25">
      <c r="A121" s="11" t="s">
        <v>1775</v>
      </c>
      <c r="C121" s="10" t="s">
        <v>307</v>
      </c>
      <c r="E121" s="13"/>
      <c r="F121" s="14" t="s">
        <v>35</v>
      </c>
      <c r="G121" s="13">
        <v>2</v>
      </c>
      <c r="H121" s="14">
        <f t="shared" si="6"/>
        <v>2</v>
      </c>
      <c r="J121" s="14">
        <v>2</v>
      </c>
      <c r="K121" s="13" t="s">
        <v>1831</v>
      </c>
      <c r="Q121" s="15"/>
    </row>
    <row r="122" spans="1:17" x14ac:dyDescent="0.25">
      <c r="A122" s="11" t="s">
        <v>1775</v>
      </c>
      <c r="C122" s="10" t="s">
        <v>257</v>
      </c>
      <c r="F122" s="14" t="s">
        <v>35</v>
      </c>
      <c r="G122" s="13">
        <v>3</v>
      </c>
      <c r="H122" s="14">
        <f t="shared" si="6"/>
        <v>3</v>
      </c>
      <c r="J122" s="14">
        <v>3</v>
      </c>
      <c r="K122" s="13" t="s">
        <v>1838</v>
      </c>
      <c r="Q122" s="15"/>
    </row>
    <row r="123" spans="1:17" x14ac:dyDescent="0.25">
      <c r="A123" s="11" t="s">
        <v>1775</v>
      </c>
      <c r="C123" s="10" t="s">
        <v>471</v>
      </c>
      <c r="E123" s="14" t="s">
        <v>86</v>
      </c>
      <c r="F123" s="14" t="s">
        <v>35</v>
      </c>
      <c r="G123" s="13">
        <v>1</v>
      </c>
      <c r="H123" s="14">
        <f t="shared" si="6"/>
        <v>1</v>
      </c>
      <c r="J123" s="14">
        <v>1</v>
      </c>
      <c r="K123" s="13" t="s">
        <v>224</v>
      </c>
      <c r="Q123" s="15"/>
    </row>
    <row r="124" spans="1:17" ht="22.5" x14ac:dyDescent="0.25">
      <c r="A124" s="11" t="s">
        <v>1775</v>
      </c>
      <c r="B124" s="13" t="s">
        <v>231</v>
      </c>
      <c r="D124" s="13" t="s">
        <v>1825</v>
      </c>
      <c r="E124" s="14" t="s">
        <v>667</v>
      </c>
      <c r="F124" s="13" t="s">
        <v>35</v>
      </c>
      <c r="G124" s="13"/>
      <c r="H124" s="14">
        <f t="shared" si="6"/>
        <v>1</v>
      </c>
      <c r="I124" s="14">
        <v>1</v>
      </c>
      <c r="J124" s="14">
        <v>1</v>
      </c>
      <c r="K124" s="13" t="s">
        <v>224</v>
      </c>
      <c r="Q124" s="15"/>
    </row>
    <row r="125" spans="1:17" x14ac:dyDescent="0.25">
      <c r="A125" s="11" t="s">
        <v>1775</v>
      </c>
      <c r="B125" s="13" t="s">
        <v>676</v>
      </c>
      <c r="C125" s="15"/>
      <c r="E125" s="14" t="s">
        <v>667</v>
      </c>
      <c r="F125" s="14" t="s">
        <v>35</v>
      </c>
      <c r="G125" s="13">
        <v>2</v>
      </c>
      <c r="H125" s="14">
        <f t="shared" si="6"/>
        <v>2</v>
      </c>
      <c r="J125" s="14">
        <v>2</v>
      </c>
      <c r="K125" s="13" t="s">
        <v>1812</v>
      </c>
      <c r="Q125" s="15"/>
    </row>
    <row r="126" spans="1:17" x14ac:dyDescent="0.25">
      <c r="A126" s="11" t="s">
        <v>1775</v>
      </c>
      <c r="B126" s="13" t="s">
        <v>34</v>
      </c>
      <c r="E126" s="14" t="s">
        <v>667</v>
      </c>
      <c r="F126" s="14" t="s">
        <v>35</v>
      </c>
      <c r="G126" s="13">
        <v>3</v>
      </c>
      <c r="H126" s="14">
        <f t="shared" si="6"/>
        <v>3</v>
      </c>
      <c r="J126" s="14">
        <v>3</v>
      </c>
      <c r="K126" s="13" t="s">
        <v>1829</v>
      </c>
      <c r="Q126" s="15"/>
    </row>
    <row r="127" spans="1:17" x14ac:dyDescent="0.25">
      <c r="A127" s="11" t="s">
        <v>1775</v>
      </c>
      <c r="B127" s="13" t="s">
        <v>99</v>
      </c>
      <c r="C127" s="10" t="s">
        <v>1505</v>
      </c>
      <c r="E127" s="13" t="s">
        <v>667</v>
      </c>
      <c r="F127" s="14" t="s">
        <v>35</v>
      </c>
      <c r="G127" s="13">
        <v>1</v>
      </c>
      <c r="H127" s="14">
        <f t="shared" ref="H127:H136" si="7">G127+I127</f>
        <v>1</v>
      </c>
      <c r="J127" s="14">
        <v>1</v>
      </c>
      <c r="K127" s="13" t="s">
        <v>1805</v>
      </c>
    </row>
    <row r="128" spans="1:17" ht="22.5" x14ac:dyDescent="0.25">
      <c r="A128" s="11" t="s">
        <v>1775</v>
      </c>
      <c r="C128" s="10" t="s">
        <v>1801</v>
      </c>
      <c r="F128" s="13" t="s">
        <v>1802</v>
      </c>
      <c r="G128" s="13">
        <v>1</v>
      </c>
      <c r="H128" s="14">
        <f t="shared" si="7"/>
        <v>1</v>
      </c>
      <c r="J128" s="14">
        <v>1</v>
      </c>
      <c r="K128" s="13" t="s">
        <v>1800</v>
      </c>
    </row>
    <row r="129" spans="1:17" s="31" customFormat="1" ht="22.5" x14ac:dyDescent="0.25">
      <c r="A129" s="11" t="s">
        <v>1775</v>
      </c>
      <c r="B129" s="30"/>
      <c r="C129" s="29" t="s">
        <v>771</v>
      </c>
      <c r="D129" s="30"/>
      <c r="E129" s="28"/>
      <c r="F129" s="28" t="s">
        <v>771</v>
      </c>
      <c r="G129" s="30">
        <v>25</v>
      </c>
      <c r="H129" s="14">
        <f t="shared" si="7"/>
        <v>25</v>
      </c>
      <c r="I129" s="28"/>
      <c r="J129" s="28">
        <v>16</v>
      </c>
      <c r="K129" s="30" t="s">
        <v>1850</v>
      </c>
      <c r="Q129" s="30"/>
    </row>
    <row r="130" spans="1:17" ht="22.5" x14ac:dyDescent="0.25">
      <c r="A130" s="11" t="s">
        <v>1775</v>
      </c>
      <c r="B130" s="13" t="s">
        <v>775</v>
      </c>
      <c r="F130" s="13" t="s">
        <v>776</v>
      </c>
      <c r="G130" s="13">
        <v>2</v>
      </c>
      <c r="H130" s="14">
        <f t="shared" si="7"/>
        <v>2</v>
      </c>
      <c r="J130" s="14">
        <v>2</v>
      </c>
      <c r="K130" s="13" t="s">
        <v>1843</v>
      </c>
    </row>
    <row r="131" spans="1:17" x14ac:dyDescent="0.25">
      <c r="A131" s="11" t="s">
        <v>1775</v>
      </c>
      <c r="E131" s="13" t="s">
        <v>982</v>
      </c>
      <c r="F131" s="14" t="s">
        <v>771</v>
      </c>
      <c r="G131" s="13">
        <v>1</v>
      </c>
      <c r="H131" s="14">
        <f t="shared" si="7"/>
        <v>1</v>
      </c>
      <c r="J131" s="14">
        <v>1</v>
      </c>
      <c r="K131" s="13" t="s">
        <v>1800</v>
      </c>
      <c r="Q131" s="15"/>
    </row>
    <row r="132" spans="1:17" x14ac:dyDescent="0.25">
      <c r="A132" s="11" t="s">
        <v>1775</v>
      </c>
      <c r="E132" s="13" t="s">
        <v>1221</v>
      </c>
      <c r="F132" s="14" t="s">
        <v>771</v>
      </c>
      <c r="G132" s="13">
        <v>1</v>
      </c>
      <c r="H132" s="14">
        <f t="shared" si="7"/>
        <v>1</v>
      </c>
      <c r="J132" s="14">
        <v>1</v>
      </c>
      <c r="K132" s="13" t="s">
        <v>1799</v>
      </c>
      <c r="Q132" s="15"/>
    </row>
    <row r="133" spans="1:17" x14ac:dyDescent="0.25">
      <c r="A133" s="11" t="s">
        <v>1775</v>
      </c>
      <c r="E133" s="13" t="s">
        <v>1224</v>
      </c>
      <c r="F133" s="14" t="s">
        <v>771</v>
      </c>
      <c r="G133" s="13">
        <v>1</v>
      </c>
      <c r="H133" s="14">
        <f t="shared" si="7"/>
        <v>1</v>
      </c>
      <c r="J133" s="14">
        <v>1</v>
      </c>
      <c r="K133" s="13" t="s">
        <v>1799</v>
      </c>
      <c r="Q133" s="15"/>
    </row>
    <row r="134" spans="1:17" x14ac:dyDescent="0.25">
      <c r="A134" s="11" t="s">
        <v>1775</v>
      </c>
      <c r="E134" s="14" t="s">
        <v>1023</v>
      </c>
      <c r="F134" s="14" t="s">
        <v>771</v>
      </c>
      <c r="G134" s="13">
        <v>1</v>
      </c>
      <c r="H134" s="14">
        <f t="shared" si="7"/>
        <v>1</v>
      </c>
      <c r="J134" s="14">
        <v>1</v>
      </c>
      <c r="K134" s="13" t="s">
        <v>1005</v>
      </c>
      <c r="Q134" s="15"/>
    </row>
    <row r="135" spans="1:17" x14ac:dyDescent="0.25">
      <c r="A135" s="11" t="s">
        <v>1775</v>
      </c>
      <c r="E135" s="14" t="s">
        <v>1203</v>
      </c>
      <c r="F135" s="14" t="s">
        <v>771</v>
      </c>
      <c r="G135" s="13">
        <v>1</v>
      </c>
      <c r="H135" s="14">
        <f t="shared" si="7"/>
        <v>1</v>
      </c>
      <c r="J135" s="14">
        <v>1</v>
      </c>
      <c r="K135" s="13" t="s">
        <v>1799</v>
      </c>
      <c r="Q135" s="15"/>
    </row>
    <row r="136" spans="1:17" x14ac:dyDescent="0.25">
      <c r="A136" s="11" t="s">
        <v>1775</v>
      </c>
      <c r="C136" s="10" t="s">
        <v>774</v>
      </c>
      <c r="F136" s="14" t="s">
        <v>874</v>
      </c>
      <c r="G136" s="13">
        <v>3</v>
      </c>
      <c r="H136" s="14">
        <f t="shared" si="7"/>
        <v>3</v>
      </c>
      <c r="J136" s="14">
        <v>3</v>
      </c>
      <c r="K136" s="13" t="s">
        <v>1808</v>
      </c>
      <c r="Q136" s="15"/>
    </row>
    <row r="139" spans="1:17" ht="22.5" x14ac:dyDescent="0.2">
      <c r="B139" s="13" t="s">
        <v>532</v>
      </c>
      <c r="C139" s="49">
        <f>H2</f>
        <v>1</v>
      </c>
      <c r="Q139" s="15"/>
    </row>
    <row r="140" spans="1:17" x14ac:dyDescent="0.2">
      <c r="B140" s="13" t="s">
        <v>411</v>
      </c>
      <c r="C140" s="49">
        <v>0</v>
      </c>
      <c r="Q140" s="15"/>
    </row>
    <row r="141" spans="1:17" x14ac:dyDescent="0.2">
      <c r="B141" s="13" t="s">
        <v>297</v>
      </c>
      <c r="C141" s="49">
        <v>0</v>
      </c>
      <c r="Q141" s="15"/>
    </row>
    <row r="142" spans="1:17" x14ac:dyDescent="0.2">
      <c r="B142" s="13" t="s">
        <v>1654</v>
      </c>
      <c r="C142" s="49">
        <f>H60</f>
        <v>1</v>
      </c>
      <c r="Q142" s="15"/>
    </row>
    <row r="143" spans="1:17" x14ac:dyDescent="0.2">
      <c r="B143" s="13" t="s">
        <v>76</v>
      </c>
      <c r="C143" s="49">
        <f>SUM(H3:H5)+H61</f>
        <v>24</v>
      </c>
      <c r="Q143" s="15"/>
    </row>
    <row r="144" spans="1:17" x14ac:dyDescent="0.2">
      <c r="B144" s="13" t="s">
        <v>1424</v>
      </c>
      <c r="C144" s="49">
        <f>H62</f>
        <v>1</v>
      </c>
      <c r="Q144" s="15"/>
    </row>
    <row r="145" spans="1:17" x14ac:dyDescent="0.2">
      <c r="B145" s="13" t="s">
        <v>213</v>
      </c>
      <c r="C145" s="49">
        <f>H63</f>
        <v>1</v>
      </c>
      <c r="D145" s="15"/>
      <c r="E145" s="15"/>
      <c r="F145" s="15"/>
      <c r="G145" s="15"/>
      <c r="I145" s="15"/>
      <c r="J145" s="15"/>
      <c r="K145" s="16"/>
      <c r="Q145" s="15"/>
    </row>
    <row r="146" spans="1:17" x14ac:dyDescent="0.2">
      <c r="B146" s="13" t="s">
        <v>42</v>
      </c>
      <c r="C146" s="49">
        <f>SUM(H6:H13)+H64</f>
        <v>12</v>
      </c>
      <c r="D146" s="15"/>
      <c r="E146" s="15"/>
      <c r="F146" s="15"/>
      <c r="G146" s="15"/>
      <c r="I146" s="15"/>
      <c r="J146" s="15"/>
      <c r="K146" s="16"/>
      <c r="Q146" s="15"/>
    </row>
    <row r="147" spans="1:17" x14ac:dyDescent="0.2">
      <c r="B147" s="13" t="s">
        <v>10</v>
      </c>
      <c r="C147" s="49">
        <f>SUM(H14:H15)</f>
        <v>3</v>
      </c>
      <c r="D147" s="15"/>
      <c r="E147" s="15"/>
      <c r="F147" s="15"/>
      <c r="G147" s="15"/>
      <c r="I147" s="15"/>
      <c r="J147" s="15"/>
      <c r="K147" s="16"/>
      <c r="Q147" s="15"/>
    </row>
    <row r="148" spans="1:17" x14ac:dyDescent="0.2">
      <c r="B148" s="13" t="s">
        <v>126</v>
      </c>
      <c r="C148" s="49">
        <f>H16</f>
        <v>1</v>
      </c>
      <c r="D148" s="15"/>
      <c r="E148" s="15"/>
      <c r="F148" s="15"/>
      <c r="G148" s="15"/>
      <c r="I148" s="15"/>
      <c r="J148" s="15"/>
      <c r="K148" s="16"/>
      <c r="Q148" s="15"/>
    </row>
    <row r="149" spans="1:17" x14ac:dyDescent="0.2">
      <c r="B149" s="13" t="s">
        <v>191</v>
      </c>
      <c r="C149" s="49">
        <f>SUM(H17:H19)+H65</f>
        <v>8</v>
      </c>
      <c r="Q149" s="15"/>
    </row>
    <row r="150" spans="1:17" x14ac:dyDescent="0.2">
      <c r="B150" s="13" t="s">
        <v>68</v>
      </c>
      <c r="C150" s="49">
        <f>SUM(H20:H22)+SUM(H66:H67)</f>
        <v>12</v>
      </c>
      <c r="Q150" s="15"/>
    </row>
    <row r="151" spans="1:17" x14ac:dyDescent="0.2">
      <c r="B151" s="13" t="s">
        <v>674</v>
      </c>
      <c r="C151" s="49">
        <v>0</v>
      </c>
      <c r="Q151" s="15"/>
    </row>
    <row r="152" spans="1:17" x14ac:dyDescent="0.2">
      <c r="B152" s="13" t="s">
        <v>327</v>
      </c>
      <c r="C152" s="49">
        <f>SUM(H68:H69)</f>
        <v>3</v>
      </c>
      <c r="Q152" s="15"/>
    </row>
    <row r="153" spans="1:17" x14ac:dyDescent="0.2">
      <c r="B153" s="13" t="s">
        <v>209</v>
      </c>
      <c r="C153" s="49">
        <f>H70</f>
        <v>1</v>
      </c>
      <c r="Q153" s="15"/>
    </row>
    <row r="154" spans="1:17" x14ac:dyDescent="0.2">
      <c r="B154" s="13" t="s">
        <v>64</v>
      </c>
      <c r="C154" s="49">
        <f>H23</f>
        <v>1</v>
      </c>
      <c r="Q154" s="15"/>
    </row>
    <row r="155" spans="1:17" x14ac:dyDescent="0.2">
      <c r="B155" s="13" t="s">
        <v>261</v>
      </c>
      <c r="C155" s="49">
        <f>H71</f>
        <v>1</v>
      </c>
      <c r="Q155" s="15"/>
    </row>
    <row r="156" spans="1:17" customFormat="1" ht="15" x14ac:dyDescent="0.25">
      <c r="A156" s="48"/>
      <c r="B156" s="13" t="s">
        <v>1346</v>
      </c>
      <c r="C156" s="21">
        <v>0</v>
      </c>
      <c r="H156" s="14"/>
    </row>
    <row r="157" spans="1:17" customFormat="1" ht="15" x14ac:dyDescent="0.25">
      <c r="A157" s="48"/>
      <c r="B157" s="13" t="s">
        <v>705</v>
      </c>
      <c r="C157" s="21">
        <v>0</v>
      </c>
      <c r="H157" s="14"/>
    </row>
    <row r="158" spans="1:17" x14ac:dyDescent="0.2">
      <c r="B158" s="13" t="s">
        <v>283</v>
      </c>
      <c r="C158" s="49">
        <f>H24+H72</f>
        <v>3</v>
      </c>
      <c r="D158" s="15"/>
      <c r="E158" s="15"/>
      <c r="F158" s="15"/>
      <c r="G158" s="15"/>
      <c r="I158" s="15"/>
      <c r="J158" s="15"/>
      <c r="K158" s="15"/>
      <c r="Q158" s="15"/>
    </row>
    <row r="159" spans="1:17" x14ac:dyDescent="0.2">
      <c r="B159" s="13" t="s">
        <v>430</v>
      </c>
      <c r="C159" s="49">
        <f>H25</f>
        <v>1</v>
      </c>
      <c r="D159" s="15"/>
      <c r="E159" s="15"/>
      <c r="F159" s="15"/>
      <c r="G159" s="15"/>
      <c r="I159" s="15"/>
      <c r="J159" s="15"/>
      <c r="K159" s="15"/>
      <c r="Q159" s="15"/>
    </row>
    <row r="160" spans="1:17" x14ac:dyDescent="0.2">
      <c r="B160" s="13" t="s">
        <v>328</v>
      </c>
      <c r="C160" s="49">
        <f>H73</f>
        <v>3</v>
      </c>
      <c r="D160" s="15"/>
      <c r="E160" s="15"/>
      <c r="F160" s="15"/>
      <c r="G160" s="15"/>
      <c r="I160" s="15"/>
      <c r="J160" s="15"/>
      <c r="K160" s="15"/>
      <c r="Q160" s="15"/>
    </row>
    <row r="161" spans="1:17" x14ac:dyDescent="0.2">
      <c r="B161" s="13" t="s">
        <v>483</v>
      </c>
      <c r="C161" s="49">
        <v>0</v>
      </c>
      <c r="D161" s="15"/>
      <c r="E161" s="15"/>
      <c r="F161" s="15"/>
      <c r="G161" s="15"/>
      <c r="I161" s="15"/>
      <c r="J161" s="15"/>
      <c r="K161" s="15"/>
      <c r="Q161" s="15"/>
    </row>
    <row r="162" spans="1:17" x14ac:dyDescent="0.2">
      <c r="B162" s="13" t="s">
        <v>78</v>
      </c>
      <c r="C162" s="49">
        <f>SUM(H26:H27)+SUM(H74:H75)</f>
        <v>6</v>
      </c>
      <c r="D162" s="15"/>
      <c r="E162" s="15"/>
      <c r="F162" s="15"/>
      <c r="G162" s="15"/>
      <c r="I162" s="15"/>
      <c r="J162" s="15"/>
      <c r="K162" s="15"/>
      <c r="Q162" s="15"/>
    </row>
    <row r="163" spans="1:17" x14ac:dyDescent="0.2">
      <c r="A163" s="15"/>
      <c r="B163" s="13" t="s">
        <v>206</v>
      </c>
      <c r="C163" s="49">
        <v>0</v>
      </c>
      <c r="D163" s="15"/>
      <c r="E163" s="15"/>
      <c r="F163" s="15"/>
      <c r="G163" s="15"/>
      <c r="I163" s="15"/>
      <c r="J163" s="15"/>
      <c r="K163" s="15"/>
      <c r="Q163" s="15"/>
    </row>
    <row r="164" spans="1:17" x14ac:dyDescent="0.2">
      <c r="A164" s="15"/>
      <c r="B164" s="13" t="s">
        <v>46</v>
      </c>
      <c r="C164" s="49">
        <v>0</v>
      </c>
      <c r="D164" s="15"/>
      <c r="E164" s="15"/>
      <c r="F164" s="15"/>
      <c r="G164" s="15"/>
      <c r="I164" s="15"/>
      <c r="J164" s="15"/>
      <c r="K164" s="15"/>
      <c r="Q164" s="15"/>
    </row>
    <row r="165" spans="1:17" x14ac:dyDescent="0.2">
      <c r="A165" s="15"/>
      <c r="B165" s="13" t="s">
        <v>62</v>
      </c>
      <c r="C165" s="49">
        <f>SUM(H28:H29)</f>
        <v>3</v>
      </c>
      <c r="D165" s="15"/>
      <c r="E165" s="15"/>
      <c r="F165" s="15"/>
      <c r="G165" s="15"/>
      <c r="I165" s="15"/>
      <c r="J165" s="15"/>
      <c r="K165" s="15"/>
      <c r="Q165" s="15"/>
    </row>
    <row r="166" spans="1:17" x14ac:dyDescent="0.2">
      <c r="A166" s="15"/>
      <c r="B166" s="13" t="s">
        <v>82</v>
      </c>
      <c r="C166" s="49">
        <v>0</v>
      </c>
      <c r="D166" s="15"/>
      <c r="E166" s="15"/>
      <c r="F166" s="15"/>
      <c r="G166" s="15"/>
      <c r="I166" s="15"/>
      <c r="J166" s="15"/>
      <c r="K166" s="15"/>
      <c r="Q166" s="15"/>
    </row>
    <row r="167" spans="1:17" x14ac:dyDescent="0.2">
      <c r="A167" s="15"/>
      <c r="B167" s="13" t="s">
        <v>22</v>
      </c>
      <c r="C167" s="49">
        <f>H30+H76</f>
        <v>2</v>
      </c>
      <c r="D167" s="15"/>
      <c r="E167" s="15"/>
      <c r="F167" s="15"/>
      <c r="G167" s="15"/>
      <c r="I167" s="15"/>
      <c r="J167" s="15"/>
      <c r="K167" s="15"/>
      <c r="Q167" s="15"/>
    </row>
    <row r="168" spans="1:17" x14ac:dyDescent="0.2">
      <c r="A168" s="15"/>
      <c r="B168" s="13" t="s">
        <v>446</v>
      </c>
      <c r="C168" s="49">
        <v>0</v>
      </c>
      <c r="D168" s="15"/>
      <c r="E168" s="15"/>
      <c r="F168" s="15"/>
      <c r="G168" s="15"/>
      <c r="I168" s="15"/>
      <c r="J168" s="15"/>
      <c r="K168" s="15"/>
      <c r="Q168" s="15"/>
    </row>
    <row r="169" spans="1:17" x14ac:dyDescent="0.2">
      <c r="A169" s="15"/>
      <c r="B169" s="13" t="s">
        <v>609</v>
      </c>
      <c r="C169" s="49">
        <v>0</v>
      </c>
      <c r="D169" s="15"/>
      <c r="E169" s="15"/>
      <c r="F169" s="15"/>
      <c r="G169" s="15"/>
      <c r="I169" s="15"/>
      <c r="J169" s="15"/>
      <c r="K169" s="15"/>
      <c r="Q169" s="15"/>
    </row>
    <row r="170" spans="1:17" x14ac:dyDescent="0.2">
      <c r="A170" s="15"/>
      <c r="B170" s="13" t="s">
        <v>699</v>
      </c>
      <c r="C170" s="49">
        <v>0</v>
      </c>
      <c r="D170" s="15"/>
      <c r="E170" s="15"/>
      <c r="F170" s="15"/>
      <c r="G170" s="15"/>
      <c r="I170" s="15"/>
      <c r="J170" s="15"/>
      <c r="K170" s="15"/>
      <c r="Q170" s="15"/>
    </row>
    <row r="171" spans="1:17" x14ac:dyDescent="0.2">
      <c r="A171" s="15"/>
      <c r="B171" s="13" t="s">
        <v>93</v>
      </c>
      <c r="C171" s="49">
        <f>SUM(H31:H33)+H77</f>
        <v>9</v>
      </c>
      <c r="D171" s="15"/>
      <c r="E171" s="15"/>
      <c r="F171" s="15"/>
      <c r="G171" s="15"/>
      <c r="I171" s="15"/>
      <c r="J171" s="15"/>
      <c r="K171" s="15"/>
      <c r="Q171" s="15"/>
    </row>
    <row r="172" spans="1:17" x14ac:dyDescent="0.2">
      <c r="A172" s="15"/>
      <c r="B172" s="13" t="s">
        <v>1879</v>
      </c>
      <c r="C172" s="49">
        <v>0</v>
      </c>
      <c r="D172" s="15"/>
      <c r="E172" s="15"/>
      <c r="F172" s="15"/>
      <c r="G172" s="15"/>
      <c r="I172" s="15"/>
      <c r="J172" s="15"/>
      <c r="K172" s="15"/>
      <c r="Q172" s="15"/>
    </row>
    <row r="173" spans="1:17" x14ac:dyDescent="0.2">
      <c r="A173" s="15"/>
      <c r="B173" s="13" t="s">
        <v>50</v>
      </c>
      <c r="C173" s="49">
        <f>H78</f>
        <v>1</v>
      </c>
      <c r="D173" s="15"/>
      <c r="E173" s="15"/>
      <c r="F173" s="15"/>
      <c r="G173" s="15"/>
      <c r="I173" s="15"/>
      <c r="J173" s="15"/>
      <c r="K173" s="15"/>
      <c r="Q173" s="15"/>
    </row>
    <row r="174" spans="1:17" x14ac:dyDescent="0.2">
      <c r="A174" s="15"/>
      <c r="B174" s="13" t="s">
        <v>24</v>
      </c>
      <c r="C174" s="49">
        <f>SUM(H34:H43)+SUM(H79:H82)</f>
        <v>68</v>
      </c>
      <c r="D174" s="15"/>
      <c r="E174" s="15"/>
      <c r="F174" s="15"/>
      <c r="G174" s="15"/>
      <c r="I174" s="15"/>
      <c r="J174" s="15"/>
      <c r="K174" s="15"/>
      <c r="Q174" s="15"/>
    </row>
    <row r="175" spans="1:17" x14ac:dyDescent="0.2">
      <c r="A175" s="15"/>
      <c r="B175" s="13" t="s">
        <v>139</v>
      </c>
      <c r="C175" s="49">
        <f>H44+H84+SUM(H85:H86)/2</f>
        <v>7</v>
      </c>
      <c r="D175" s="15"/>
      <c r="E175" s="15"/>
      <c r="F175" s="15"/>
      <c r="G175" s="15"/>
      <c r="I175" s="15"/>
      <c r="J175" s="15"/>
      <c r="K175" s="15"/>
      <c r="Q175" s="15"/>
    </row>
    <row r="176" spans="1:17" x14ac:dyDescent="0.2">
      <c r="A176" s="15"/>
      <c r="B176" s="13" t="s">
        <v>269</v>
      </c>
      <c r="C176" s="49">
        <f>H45+H83+SUM(H85:H86)/2</f>
        <v>6</v>
      </c>
      <c r="D176" s="15"/>
      <c r="E176" s="15"/>
      <c r="F176" s="15"/>
      <c r="G176" s="15"/>
      <c r="I176" s="15"/>
      <c r="J176" s="15"/>
      <c r="K176" s="15"/>
      <c r="Q176" s="15"/>
    </row>
    <row r="177" spans="1:17" x14ac:dyDescent="0.2">
      <c r="A177" s="15"/>
      <c r="B177" s="13" t="s">
        <v>1347</v>
      </c>
      <c r="C177" s="49">
        <v>0</v>
      </c>
      <c r="D177" s="15"/>
      <c r="E177" s="15"/>
      <c r="F177" s="15"/>
      <c r="G177" s="15"/>
      <c r="I177" s="15"/>
      <c r="J177" s="15"/>
      <c r="K177" s="15"/>
      <c r="Q177" s="15"/>
    </row>
    <row r="178" spans="1:17" x14ac:dyDescent="0.2">
      <c r="A178" s="15"/>
      <c r="B178" s="13" t="s">
        <v>718</v>
      </c>
      <c r="C178" s="49">
        <v>0</v>
      </c>
      <c r="D178" s="15"/>
      <c r="E178" s="15"/>
      <c r="F178" s="15"/>
      <c r="G178" s="15"/>
      <c r="I178" s="15"/>
      <c r="J178" s="15"/>
      <c r="K178" s="15"/>
      <c r="Q178" s="15"/>
    </row>
    <row r="179" spans="1:17" x14ac:dyDescent="0.2">
      <c r="A179" s="15"/>
      <c r="B179" s="13" t="s">
        <v>1682</v>
      </c>
      <c r="C179" s="49">
        <v>0</v>
      </c>
      <c r="D179" s="15"/>
      <c r="E179" s="15"/>
      <c r="F179" s="15"/>
      <c r="G179" s="15"/>
      <c r="I179" s="15"/>
      <c r="J179" s="15"/>
      <c r="K179" s="15"/>
      <c r="Q179" s="15"/>
    </row>
    <row r="180" spans="1:17" x14ac:dyDescent="0.2">
      <c r="A180" s="15"/>
      <c r="C180" s="49">
        <f>SUM(C139:C179)</f>
        <v>179</v>
      </c>
      <c r="D180" s="15"/>
      <c r="E180" s="15"/>
      <c r="F180" s="15"/>
      <c r="G180" s="15"/>
      <c r="I180" s="15"/>
      <c r="J180" s="15"/>
      <c r="K180" s="15"/>
      <c r="Q180" s="15"/>
    </row>
    <row r="181" spans="1:17" x14ac:dyDescent="0.2">
      <c r="A181" s="15"/>
      <c r="B181" s="12" t="s">
        <v>11</v>
      </c>
      <c r="C181" s="49">
        <f>SUM(H89:H90)+SUM(H109:H110)/2+SUM(C182:C186)</f>
        <v>258</v>
      </c>
      <c r="D181" s="15"/>
      <c r="E181" s="15"/>
      <c r="F181" s="15"/>
      <c r="G181" s="15"/>
      <c r="I181" s="15"/>
      <c r="J181" s="15"/>
      <c r="K181" s="15"/>
      <c r="Q181" s="15"/>
    </row>
    <row r="182" spans="1:17" x14ac:dyDescent="0.2">
      <c r="A182" s="15"/>
      <c r="B182" s="13" t="s">
        <v>663</v>
      </c>
      <c r="C182" s="49">
        <f>C145+C160+SUM(C175:C176)+H92+SUM(H93/2)+SUM(H94:H95)/2</f>
        <v>21</v>
      </c>
      <c r="D182" s="15"/>
      <c r="E182" s="15"/>
      <c r="F182" s="15"/>
      <c r="G182" s="15"/>
      <c r="I182" s="15"/>
      <c r="J182" s="15"/>
      <c r="K182" s="15"/>
      <c r="Q182" s="15"/>
    </row>
    <row r="183" spans="1:17" x14ac:dyDescent="0.2">
      <c r="A183" s="15"/>
      <c r="B183" s="13" t="s">
        <v>664</v>
      </c>
      <c r="C183" s="49">
        <f>C144+C147+C159+SUM(H93/2)+H104</f>
        <v>7.5</v>
      </c>
      <c r="D183" s="15"/>
      <c r="E183" s="15"/>
      <c r="F183" s="15"/>
      <c r="G183" s="15"/>
      <c r="I183" s="15"/>
      <c r="J183" s="15"/>
      <c r="K183" s="15"/>
      <c r="Q183" s="15"/>
    </row>
    <row r="184" spans="1:17" x14ac:dyDescent="0.2">
      <c r="A184" s="15"/>
      <c r="B184" s="13" t="s">
        <v>271</v>
      </c>
      <c r="C184" s="49">
        <f>C142+SUM(C152:C153)+C155+C158+C162+C171+SUM(H87:H88)+SUM(H94:H95)/2+H97+SUM(H99:H101)/2+H108</f>
        <v>41</v>
      </c>
      <c r="D184" s="15"/>
      <c r="E184" s="15"/>
      <c r="F184" s="15"/>
      <c r="G184" s="15"/>
      <c r="H184" s="15"/>
      <c r="I184" s="15"/>
      <c r="J184" s="15"/>
      <c r="K184" s="15"/>
      <c r="Q184" s="15"/>
    </row>
    <row r="185" spans="1:17" x14ac:dyDescent="0.2">
      <c r="A185" s="15"/>
      <c r="B185" s="13" t="s">
        <v>144</v>
      </c>
      <c r="C185" s="49">
        <f>C139+C146+SUM(C149:C150)+C154+C167+C174+SUM(H99:H101)/2+SUM(H106:H107)+H111</f>
        <v>145.5</v>
      </c>
      <c r="D185" s="15"/>
      <c r="E185" s="15"/>
      <c r="F185" s="15"/>
      <c r="G185" s="15"/>
      <c r="H185" s="15"/>
      <c r="I185" s="15"/>
      <c r="J185" s="15"/>
      <c r="K185" s="15"/>
      <c r="Q185" s="15"/>
    </row>
    <row r="186" spans="1:17" x14ac:dyDescent="0.2">
      <c r="A186" s="15"/>
      <c r="B186" s="13" t="s">
        <v>666</v>
      </c>
      <c r="C186" s="49">
        <f>C141+C143+C148+C165+C173+H98+H105</f>
        <v>31</v>
      </c>
      <c r="D186" s="15"/>
      <c r="E186" s="15"/>
      <c r="F186" s="15"/>
      <c r="G186" s="15"/>
      <c r="H186" s="15"/>
      <c r="I186" s="15"/>
      <c r="J186" s="15"/>
      <c r="K186" s="15"/>
      <c r="Q186" s="15"/>
    </row>
    <row r="187" spans="1:17" x14ac:dyDescent="0.2">
      <c r="A187" s="15"/>
      <c r="C187" s="49"/>
      <c r="D187" s="15"/>
      <c r="E187" s="15"/>
      <c r="F187" s="15"/>
      <c r="G187" s="15"/>
      <c r="H187" s="15"/>
      <c r="I187" s="15"/>
      <c r="J187" s="15"/>
      <c r="K187" s="15"/>
      <c r="Q187" s="15"/>
    </row>
    <row r="188" spans="1:17" x14ac:dyDescent="0.2">
      <c r="A188" s="15"/>
      <c r="B188" s="13" t="s">
        <v>231</v>
      </c>
      <c r="C188" s="49">
        <f>H124</f>
        <v>1</v>
      </c>
      <c r="D188" s="15"/>
      <c r="E188" s="15"/>
      <c r="F188" s="15"/>
      <c r="G188" s="15"/>
      <c r="H188" s="15"/>
      <c r="I188" s="15"/>
      <c r="J188" s="15"/>
      <c r="K188" s="15"/>
      <c r="Q188" s="15"/>
    </row>
    <row r="189" spans="1:17" x14ac:dyDescent="0.2">
      <c r="A189" s="15"/>
      <c r="B189" s="13" t="s">
        <v>995</v>
      </c>
      <c r="C189" s="49">
        <v>0</v>
      </c>
      <c r="D189" s="15"/>
      <c r="E189" s="15"/>
      <c r="F189" s="15"/>
      <c r="G189" s="15"/>
      <c r="H189" s="15"/>
      <c r="I189" s="15"/>
      <c r="J189" s="15"/>
      <c r="K189" s="15"/>
      <c r="Q189" s="15"/>
    </row>
    <row r="190" spans="1:17" x14ac:dyDescent="0.2">
      <c r="A190" s="15"/>
      <c r="B190" s="13" t="s">
        <v>953</v>
      </c>
      <c r="C190" s="49">
        <v>0</v>
      </c>
      <c r="D190" s="15"/>
      <c r="E190" s="15"/>
      <c r="F190" s="15"/>
      <c r="G190" s="15"/>
      <c r="H190" s="15"/>
      <c r="I190" s="15"/>
      <c r="J190" s="15"/>
      <c r="K190" s="15"/>
      <c r="Q190" s="15"/>
    </row>
    <row r="191" spans="1:17" x14ac:dyDescent="0.2">
      <c r="A191" s="15"/>
      <c r="B191" s="13" t="s">
        <v>394</v>
      </c>
      <c r="C191" s="49">
        <v>0</v>
      </c>
      <c r="D191" s="15"/>
      <c r="E191" s="15"/>
      <c r="F191" s="15"/>
      <c r="G191" s="15"/>
      <c r="H191" s="15"/>
      <c r="I191" s="15"/>
      <c r="J191" s="15"/>
      <c r="K191" s="15"/>
      <c r="Q191" s="15"/>
    </row>
    <row r="192" spans="1:17" x14ac:dyDescent="0.2">
      <c r="A192" s="15"/>
      <c r="B192" s="13" t="s">
        <v>238</v>
      </c>
      <c r="C192" s="49">
        <v>0</v>
      </c>
      <c r="D192" s="15"/>
      <c r="E192" s="15"/>
      <c r="F192" s="15"/>
      <c r="G192" s="15"/>
      <c r="H192" s="15"/>
      <c r="I192" s="15"/>
      <c r="J192" s="15"/>
      <c r="K192" s="15"/>
      <c r="Q192" s="15"/>
    </row>
    <row r="193" spans="1:17" x14ac:dyDescent="0.2">
      <c r="A193" s="15"/>
      <c r="B193" s="13" t="s">
        <v>226</v>
      </c>
      <c r="C193" s="49">
        <v>0</v>
      </c>
      <c r="D193" s="15"/>
      <c r="E193" s="15"/>
      <c r="F193" s="15"/>
      <c r="G193" s="15"/>
      <c r="H193" s="15"/>
      <c r="I193" s="15"/>
      <c r="J193" s="15"/>
      <c r="K193" s="15"/>
      <c r="Q193" s="15"/>
    </row>
    <row r="194" spans="1:17" x14ac:dyDescent="0.2">
      <c r="A194" s="15"/>
      <c r="B194" s="13" t="s">
        <v>1641</v>
      </c>
      <c r="C194" s="49">
        <v>0</v>
      </c>
      <c r="D194" s="15"/>
      <c r="E194" s="15"/>
      <c r="F194" s="15"/>
      <c r="G194" s="15"/>
      <c r="H194" s="15"/>
      <c r="I194" s="15"/>
      <c r="J194" s="15"/>
      <c r="K194" s="15"/>
      <c r="Q194" s="15"/>
    </row>
    <row r="195" spans="1:17" x14ac:dyDescent="0.2">
      <c r="A195" s="15"/>
      <c r="B195" s="13" t="s">
        <v>998</v>
      </c>
      <c r="C195" s="49">
        <v>0</v>
      </c>
      <c r="D195" s="15"/>
      <c r="E195" s="15"/>
      <c r="F195" s="15"/>
      <c r="G195" s="15"/>
      <c r="H195" s="15"/>
      <c r="I195" s="15"/>
      <c r="J195" s="15"/>
      <c r="K195" s="15"/>
      <c r="Q195" s="15"/>
    </row>
    <row r="196" spans="1:17" x14ac:dyDescent="0.2">
      <c r="A196" s="15"/>
      <c r="B196" s="13" t="s">
        <v>407</v>
      </c>
      <c r="C196" s="49">
        <v>0</v>
      </c>
      <c r="D196" s="15"/>
      <c r="E196" s="15"/>
      <c r="F196" s="15"/>
      <c r="G196" s="15"/>
      <c r="H196" s="15"/>
      <c r="I196" s="15"/>
      <c r="J196" s="15"/>
      <c r="K196" s="15"/>
      <c r="Q196" s="15"/>
    </row>
    <row r="197" spans="1:17" x14ac:dyDescent="0.2">
      <c r="A197" s="15"/>
      <c r="B197" s="13" t="s">
        <v>86</v>
      </c>
      <c r="C197" s="49">
        <v>0</v>
      </c>
      <c r="D197" s="15"/>
      <c r="E197" s="15"/>
      <c r="F197" s="15"/>
      <c r="G197" s="15"/>
      <c r="H197" s="15"/>
      <c r="I197" s="15"/>
      <c r="J197" s="15"/>
      <c r="K197" s="15"/>
      <c r="Q197" s="15"/>
    </row>
    <row r="198" spans="1:17" x14ac:dyDescent="0.2">
      <c r="A198" s="15"/>
      <c r="B198" s="13" t="s">
        <v>1612</v>
      </c>
      <c r="C198" s="49">
        <v>0</v>
      </c>
      <c r="D198" s="15"/>
      <c r="E198" s="15"/>
      <c r="F198" s="15"/>
      <c r="G198" s="15"/>
      <c r="H198" s="15"/>
      <c r="I198" s="15"/>
      <c r="J198" s="15"/>
      <c r="K198" s="15"/>
      <c r="Q198" s="15"/>
    </row>
    <row r="199" spans="1:17" x14ac:dyDescent="0.2">
      <c r="A199" s="15"/>
      <c r="B199" s="13" t="s">
        <v>676</v>
      </c>
      <c r="C199" s="49">
        <f>H125</f>
        <v>2</v>
      </c>
      <c r="D199" s="15"/>
      <c r="E199" s="15"/>
      <c r="F199" s="15"/>
      <c r="G199" s="15"/>
      <c r="H199" s="15"/>
      <c r="I199" s="15"/>
      <c r="J199" s="15"/>
      <c r="K199" s="15"/>
      <c r="Q199" s="15"/>
    </row>
    <row r="200" spans="1:17" x14ac:dyDescent="0.2">
      <c r="A200" s="15"/>
      <c r="B200" s="13" t="s">
        <v>975</v>
      </c>
      <c r="C200" s="49">
        <v>0</v>
      </c>
      <c r="D200" s="15"/>
      <c r="E200" s="15"/>
      <c r="F200" s="15"/>
      <c r="G200" s="15"/>
      <c r="H200" s="15"/>
      <c r="I200" s="15"/>
      <c r="J200" s="15"/>
      <c r="K200" s="15"/>
      <c r="Q200" s="15"/>
    </row>
    <row r="201" spans="1:17" x14ac:dyDescent="0.2">
      <c r="B201" s="13" t="s">
        <v>249</v>
      </c>
      <c r="C201" s="49">
        <v>0</v>
      </c>
      <c r="D201" s="15"/>
      <c r="E201" s="15"/>
      <c r="F201" s="15"/>
      <c r="G201" s="15"/>
      <c r="H201" s="15"/>
      <c r="I201" s="15"/>
      <c r="J201" s="15"/>
      <c r="K201" s="15"/>
      <c r="Q201" s="15"/>
    </row>
    <row r="202" spans="1:17" x14ac:dyDescent="0.2">
      <c r="B202" s="13" t="s">
        <v>1709</v>
      </c>
      <c r="C202" s="49">
        <v>0</v>
      </c>
      <c r="D202" s="15"/>
      <c r="E202" s="15"/>
      <c r="F202" s="15"/>
      <c r="G202" s="15"/>
      <c r="H202" s="15"/>
      <c r="I202" s="15"/>
      <c r="J202" s="15"/>
      <c r="K202" s="15"/>
      <c r="Q202" s="15"/>
    </row>
    <row r="203" spans="1:17" x14ac:dyDescent="0.2">
      <c r="B203" s="13" t="s">
        <v>426</v>
      </c>
      <c r="C203" s="49">
        <v>0</v>
      </c>
      <c r="D203" s="15"/>
      <c r="E203" s="15"/>
      <c r="F203" s="15"/>
      <c r="G203" s="15"/>
      <c r="H203" s="15"/>
      <c r="I203" s="15"/>
      <c r="J203" s="15"/>
      <c r="K203" s="15"/>
      <c r="Q203" s="15"/>
    </row>
    <row r="204" spans="1:17" x14ac:dyDescent="0.2">
      <c r="B204" s="13" t="s">
        <v>34</v>
      </c>
      <c r="C204" s="49">
        <f>SUM(H46:H49)+H126</f>
        <v>15</v>
      </c>
      <c r="D204" s="15"/>
      <c r="E204" s="15"/>
      <c r="F204" s="15"/>
      <c r="G204" s="15"/>
      <c r="H204" s="15"/>
      <c r="I204" s="15"/>
      <c r="J204" s="15"/>
      <c r="K204" s="15"/>
      <c r="Q204" s="15"/>
    </row>
    <row r="205" spans="1:17" x14ac:dyDescent="0.2">
      <c r="B205" s="13" t="s">
        <v>99</v>
      </c>
      <c r="C205" s="49">
        <f>H50+H127</f>
        <v>2</v>
      </c>
      <c r="D205" s="15"/>
      <c r="E205" s="15"/>
      <c r="F205" s="15"/>
      <c r="G205" s="15"/>
      <c r="H205" s="15"/>
      <c r="I205" s="15"/>
      <c r="J205" s="15"/>
      <c r="K205" s="15"/>
      <c r="Q205" s="15"/>
    </row>
    <row r="206" spans="1:17" x14ac:dyDescent="0.2">
      <c r="B206" s="13" t="s">
        <v>170</v>
      </c>
      <c r="C206" s="49">
        <v>0</v>
      </c>
      <c r="D206" s="15"/>
      <c r="E206" s="15"/>
      <c r="F206" s="15"/>
      <c r="G206" s="15"/>
      <c r="H206" s="15"/>
      <c r="I206" s="15"/>
      <c r="J206" s="15"/>
      <c r="K206" s="15"/>
      <c r="Q206" s="15"/>
    </row>
    <row r="207" spans="1:17" x14ac:dyDescent="0.2">
      <c r="B207" s="13" t="s">
        <v>1694</v>
      </c>
      <c r="C207" s="49">
        <v>0</v>
      </c>
      <c r="D207" s="15"/>
      <c r="E207" s="15"/>
      <c r="F207" s="15"/>
      <c r="G207" s="15"/>
      <c r="H207" s="15"/>
      <c r="I207" s="15"/>
      <c r="J207" s="15"/>
      <c r="K207" s="15"/>
      <c r="Q207" s="15"/>
    </row>
    <row r="208" spans="1:17" x14ac:dyDescent="0.2">
      <c r="B208" s="13" t="s">
        <v>1031</v>
      </c>
      <c r="C208" s="49">
        <v>0</v>
      </c>
      <c r="D208" s="15"/>
      <c r="E208" s="15"/>
      <c r="F208" s="15"/>
      <c r="G208" s="15"/>
      <c r="H208" s="15"/>
      <c r="I208" s="15"/>
      <c r="J208" s="15"/>
      <c r="K208" s="15"/>
      <c r="Q208" s="15"/>
    </row>
    <row r="209" spans="1:17" x14ac:dyDescent="0.2">
      <c r="B209" s="13" t="s">
        <v>319</v>
      </c>
      <c r="C209" s="49">
        <v>0</v>
      </c>
      <c r="D209" s="15"/>
      <c r="E209" s="15"/>
      <c r="F209" s="15"/>
      <c r="G209" s="15"/>
      <c r="H209" s="15"/>
      <c r="I209" s="15"/>
      <c r="J209" s="15"/>
      <c r="K209" s="15"/>
      <c r="Q209" s="15"/>
    </row>
    <row r="210" spans="1:17" x14ac:dyDescent="0.2">
      <c r="B210" s="13" t="s">
        <v>1610</v>
      </c>
      <c r="C210" s="49">
        <v>0</v>
      </c>
      <c r="D210" s="15"/>
      <c r="E210" s="15"/>
      <c r="F210" s="15"/>
      <c r="G210" s="15"/>
      <c r="H210" s="15"/>
      <c r="I210" s="15"/>
      <c r="J210" s="15"/>
      <c r="K210" s="15"/>
      <c r="Q210" s="15"/>
    </row>
    <row r="211" spans="1:17" customFormat="1" ht="15" x14ac:dyDescent="0.25">
      <c r="A211" s="48"/>
      <c r="B211" s="13" t="s">
        <v>709</v>
      </c>
      <c r="C211" s="21">
        <v>0</v>
      </c>
      <c r="H211" s="15"/>
    </row>
    <row r="212" spans="1:17" customFormat="1" ht="15" x14ac:dyDescent="0.25">
      <c r="A212" s="48"/>
      <c r="B212" s="13" t="s">
        <v>743</v>
      </c>
      <c r="C212" s="21">
        <v>0</v>
      </c>
      <c r="H212" s="15"/>
    </row>
    <row r="213" spans="1:17" customFormat="1" ht="15" x14ac:dyDescent="0.25">
      <c r="A213" s="48"/>
      <c r="B213" s="13" t="s">
        <v>167</v>
      </c>
      <c r="C213" s="21">
        <v>0</v>
      </c>
    </row>
    <row r="214" spans="1:17" customFormat="1" ht="15" x14ac:dyDescent="0.25">
      <c r="A214" s="48"/>
      <c r="B214" s="13" t="s">
        <v>522</v>
      </c>
      <c r="C214" s="21">
        <v>0</v>
      </c>
    </row>
    <row r="215" spans="1:17" customFormat="1" ht="15" x14ac:dyDescent="0.25">
      <c r="A215" s="48"/>
      <c r="B215" s="13" t="s">
        <v>1594</v>
      </c>
      <c r="C215" s="21">
        <v>0</v>
      </c>
    </row>
    <row r="216" spans="1:17" customFormat="1" ht="15" x14ac:dyDescent="0.25">
      <c r="A216" s="48"/>
      <c r="B216" s="13" t="s">
        <v>1347</v>
      </c>
      <c r="C216" s="21">
        <v>0</v>
      </c>
    </row>
    <row r="217" spans="1:17" ht="15" x14ac:dyDescent="0.25">
      <c r="B217" s="12" t="s">
        <v>35</v>
      </c>
      <c r="C217" s="49">
        <f>H58+H117+SUM(H128/2)+SUM(C218:C222)</f>
        <v>40.5</v>
      </c>
      <c r="D217" s="15"/>
      <c r="E217" s="15"/>
      <c r="F217" s="15"/>
      <c r="G217" s="15"/>
      <c r="H217"/>
      <c r="I217" s="15"/>
      <c r="J217" s="15"/>
      <c r="K217" s="15"/>
      <c r="Q217" s="15"/>
    </row>
    <row r="218" spans="1:17" x14ac:dyDescent="0.2">
      <c r="B218" s="13" t="s">
        <v>667</v>
      </c>
      <c r="C218" s="49">
        <f>C188+C199+SUM(C204:C205)+SUM(H59/2)+H118+H122+SUM(H123/2)</f>
        <v>25</v>
      </c>
      <c r="D218" s="15"/>
      <c r="E218" s="15"/>
      <c r="F218" s="15"/>
      <c r="G218" s="15"/>
      <c r="H218" s="15"/>
      <c r="I218" s="15"/>
      <c r="J218" s="15"/>
      <c r="K218" s="15"/>
      <c r="Q218" s="15"/>
    </row>
    <row r="219" spans="1:17" x14ac:dyDescent="0.2">
      <c r="B219" s="13" t="s">
        <v>668</v>
      </c>
      <c r="C219" s="49">
        <f>SUM(H119/2)+SUM(H121/2)</f>
        <v>1.5</v>
      </c>
      <c r="D219" s="15"/>
      <c r="E219" s="15"/>
      <c r="F219" s="15"/>
      <c r="G219" s="15"/>
      <c r="H219" s="15"/>
      <c r="I219" s="15"/>
      <c r="J219" s="15"/>
      <c r="K219" s="15"/>
      <c r="Q219" s="15"/>
    </row>
    <row r="220" spans="1:17" x14ac:dyDescent="0.2">
      <c r="B220" s="13" t="s">
        <v>669</v>
      </c>
      <c r="C220" s="49">
        <f>SUM(H59/2)+SUM(H119/2)+SUM(H123/2)</f>
        <v>1.5</v>
      </c>
      <c r="D220" s="15"/>
      <c r="E220" s="15"/>
      <c r="F220" s="15"/>
      <c r="G220" s="15"/>
      <c r="H220" s="15"/>
      <c r="I220" s="15"/>
      <c r="J220" s="15"/>
      <c r="K220" s="15"/>
      <c r="Q220" s="15"/>
    </row>
    <row r="221" spans="1:17" x14ac:dyDescent="0.2">
      <c r="B221" s="13" t="s">
        <v>670</v>
      </c>
      <c r="C221" s="49">
        <f>H120+SUM(H121/2)</f>
        <v>3</v>
      </c>
      <c r="D221" s="15"/>
      <c r="E221" s="15"/>
      <c r="F221" s="15"/>
      <c r="G221" s="15"/>
      <c r="H221" s="15"/>
      <c r="I221" s="15"/>
      <c r="J221" s="15"/>
      <c r="K221" s="15"/>
      <c r="Q221" s="15"/>
    </row>
    <row r="222" spans="1:17" x14ac:dyDescent="0.2">
      <c r="B222" s="13" t="s">
        <v>666</v>
      </c>
      <c r="C222" s="49">
        <v>0</v>
      </c>
      <c r="D222" s="15"/>
      <c r="E222" s="15"/>
      <c r="F222" s="15"/>
      <c r="G222" s="15"/>
      <c r="H222" s="15"/>
      <c r="I222" s="15"/>
      <c r="J222" s="15"/>
      <c r="K222" s="15"/>
      <c r="Q222" s="15"/>
    </row>
    <row r="223" spans="1:17" x14ac:dyDescent="0.2">
      <c r="B223" s="16"/>
      <c r="C223" s="49"/>
      <c r="D223" s="15"/>
      <c r="E223" s="15"/>
      <c r="F223" s="15"/>
      <c r="G223" s="15"/>
      <c r="H223" s="15"/>
      <c r="I223" s="15"/>
      <c r="J223" s="15"/>
      <c r="K223" s="15"/>
      <c r="Q223" s="15"/>
    </row>
    <row r="224" spans="1:17" x14ac:dyDescent="0.2">
      <c r="A224" s="15"/>
      <c r="B224" s="13" t="s">
        <v>186</v>
      </c>
      <c r="C224" s="49">
        <v>0</v>
      </c>
      <c r="D224" s="15"/>
      <c r="E224" s="15"/>
      <c r="F224" s="15"/>
      <c r="G224" s="15"/>
      <c r="H224" s="15"/>
      <c r="I224" s="15"/>
      <c r="J224" s="15"/>
      <c r="K224" s="15"/>
      <c r="Q224" s="15"/>
    </row>
    <row r="225" spans="1:17" x14ac:dyDescent="0.2">
      <c r="A225" s="15"/>
      <c r="B225" s="13" t="s">
        <v>55</v>
      </c>
      <c r="C225" s="49">
        <v>0</v>
      </c>
      <c r="D225" s="15"/>
      <c r="E225" s="15"/>
      <c r="F225" s="15"/>
      <c r="G225" s="15"/>
      <c r="H225" s="15"/>
      <c r="I225" s="15"/>
      <c r="J225" s="15"/>
      <c r="K225" s="15"/>
      <c r="Q225" s="15"/>
    </row>
    <row r="226" spans="1:17" x14ac:dyDescent="0.2">
      <c r="A226" s="15"/>
      <c r="B226" s="13" t="s">
        <v>593</v>
      </c>
      <c r="C226" s="49">
        <f>SUM(H51:H52)</f>
        <v>3</v>
      </c>
      <c r="D226" s="15"/>
      <c r="E226" s="15"/>
      <c r="F226" s="15"/>
      <c r="G226" s="15"/>
      <c r="H226" s="15"/>
      <c r="I226" s="15"/>
      <c r="J226" s="15"/>
      <c r="K226" s="15"/>
      <c r="Q226" s="15"/>
    </row>
    <row r="227" spans="1:17" x14ac:dyDescent="0.2">
      <c r="A227" s="15"/>
      <c r="B227" s="13" t="s">
        <v>161</v>
      </c>
      <c r="C227" s="49">
        <f>H53</f>
        <v>4</v>
      </c>
      <c r="D227" s="15"/>
      <c r="E227" s="15"/>
      <c r="F227" s="15"/>
      <c r="G227" s="15"/>
      <c r="H227" s="15"/>
      <c r="I227" s="15"/>
      <c r="J227" s="15"/>
      <c r="K227" s="15"/>
      <c r="Q227" s="15"/>
    </row>
    <row r="228" spans="1:17" x14ac:dyDescent="0.2">
      <c r="A228" s="15"/>
      <c r="B228" s="13" t="s">
        <v>66</v>
      </c>
      <c r="C228" s="49">
        <v>0</v>
      </c>
      <c r="D228" s="15"/>
      <c r="E228" s="15"/>
      <c r="F228" s="15"/>
      <c r="G228" s="15"/>
      <c r="H228" s="15"/>
      <c r="I228" s="15"/>
      <c r="J228" s="15"/>
      <c r="K228" s="15"/>
      <c r="Q228" s="15"/>
    </row>
    <row r="229" spans="1:17" x14ac:dyDescent="0.2">
      <c r="A229" s="15"/>
      <c r="B229" s="13" t="s">
        <v>1347</v>
      </c>
      <c r="C229" s="49">
        <v>0</v>
      </c>
      <c r="D229" s="15"/>
      <c r="E229" s="15"/>
      <c r="F229" s="15"/>
      <c r="G229" s="15"/>
      <c r="H229" s="15"/>
      <c r="I229" s="15"/>
      <c r="J229" s="15"/>
      <c r="K229" s="15"/>
      <c r="Q229" s="15"/>
    </row>
    <row r="230" spans="1:17" x14ac:dyDescent="0.2">
      <c r="A230" s="15"/>
      <c r="B230" s="12" t="s">
        <v>56</v>
      </c>
      <c r="C230" s="49">
        <f>SUM(H109:H110)/2+H112+SUM(C231:C235)</f>
        <v>16</v>
      </c>
      <c r="D230" s="15"/>
      <c r="E230" s="15"/>
      <c r="F230" s="15"/>
      <c r="G230" s="15"/>
      <c r="H230" s="15"/>
      <c r="I230" s="15"/>
      <c r="J230" s="15"/>
      <c r="K230" s="15"/>
      <c r="Q230" s="15"/>
    </row>
    <row r="231" spans="1:17" x14ac:dyDescent="0.2">
      <c r="A231" s="15"/>
      <c r="B231" s="13" t="s">
        <v>663</v>
      </c>
      <c r="C231" s="49">
        <f>SUM(H114/2)</f>
        <v>0.5</v>
      </c>
      <c r="D231" s="15"/>
      <c r="E231" s="15"/>
      <c r="F231" s="15"/>
      <c r="G231" s="15"/>
      <c r="H231" s="15"/>
      <c r="I231" s="15"/>
      <c r="J231" s="15"/>
      <c r="K231" s="15"/>
      <c r="Q231" s="15"/>
    </row>
    <row r="232" spans="1:17" x14ac:dyDescent="0.2">
      <c r="A232" s="15"/>
      <c r="B232" s="13" t="s">
        <v>664</v>
      </c>
      <c r="C232" s="49">
        <f>C227+SUM(H114/2)</f>
        <v>4.5</v>
      </c>
      <c r="D232" s="15"/>
      <c r="E232" s="15"/>
      <c r="F232" s="15"/>
      <c r="G232" s="15"/>
      <c r="H232" s="15"/>
      <c r="I232" s="15"/>
      <c r="J232" s="15"/>
      <c r="K232" s="15"/>
      <c r="Q232" s="15"/>
    </row>
    <row r="233" spans="1:17" x14ac:dyDescent="0.2">
      <c r="A233" s="15"/>
      <c r="B233" s="13" t="s">
        <v>271</v>
      </c>
      <c r="C233" s="49">
        <f>C226+SUM(H113/2)</f>
        <v>4</v>
      </c>
      <c r="D233" s="15"/>
      <c r="E233" s="15"/>
      <c r="F233" s="15"/>
      <c r="G233" s="15"/>
      <c r="H233" s="15"/>
      <c r="I233" s="15"/>
      <c r="J233" s="15"/>
      <c r="K233" s="15"/>
      <c r="Q233" s="15"/>
    </row>
    <row r="234" spans="1:17" x14ac:dyDescent="0.2">
      <c r="A234" s="15"/>
      <c r="B234" s="13" t="s">
        <v>144</v>
      </c>
      <c r="C234" s="49">
        <f>SUM(H113/2)+H115</f>
        <v>2</v>
      </c>
      <c r="D234" s="15"/>
      <c r="E234" s="15"/>
      <c r="F234" s="15"/>
      <c r="G234" s="15"/>
      <c r="H234" s="15"/>
      <c r="I234" s="15"/>
      <c r="J234" s="15"/>
      <c r="K234" s="15"/>
      <c r="Q234" s="15"/>
    </row>
    <row r="235" spans="1:17" x14ac:dyDescent="0.2">
      <c r="A235" s="15"/>
      <c r="B235" s="13" t="s">
        <v>666</v>
      </c>
      <c r="C235" s="49">
        <v>0</v>
      </c>
      <c r="D235" s="15"/>
      <c r="E235" s="15"/>
      <c r="F235" s="15"/>
      <c r="G235" s="15"/>
      <c r="H235" s="15"/>
      <c r="I235" s="15"/>
      <c r="J235" s="15"/>
      <c r="K235" s="15"/>
      <c r="Q235" s="15"/>
    </row>
    <row r="236" spans="1:17" x14ac:dyDescent="0.2">
      <c r="A236" s="15"/>
      <c r="C236" s="49"/>
      <c r="D236" s="15"/>
      <c r="E236" s="15"/>
      <c r="F236" s="15"/>
      <c r="G236" s="15"/>
      <c r="H236" s="15"/>
      <c r="I236" s="15"/>
      <c r="J236" s="15"/>
      <c r="K236" s="15"/>
      <c r="Q236" s="15"/>
    </row>
    <row r="237" spans="1:17" x14ac:dyDescent="0.2">
      <c r="A237" s="15"/>
      <c r="B237" s="13" t="s">
        <v>778</v>
      </c>
      <c r="C237" s="49">
        <v>0</v>
      </c>
      <c r="D237" s="15"/>
      <c r="E237" s="15"/>
      <c r="F237" s="15"/>
      <c r="G237" s="15"/>
      <c r="H237" s="15"/>
      <c r="I237" s="15"/>
      <c r="J237" s="15"/>
      <c r="K237" s="15"/>
      <c r="Q237" s="15"/>
    </row>
    <row r="238" spans="1:17" x14ac:dyDescent="0.2">
      <c r="A238" s="15"/>
      <c r="B238" s="13" t="s">
        <v>1444</v>
      </c>
      <c r="C238" s="49">
        <v>0</v>
      </c>
      <c r="D238" s="15"/>
      <c r="E238" s="15"/>
      <c r="F238" s="15"/>
      <c r="G238" s="15"/>
      <c r="H238" s="15"/>
      <c r="I238" s="15"/>
      <c r="J238" s="15"/>
      <c r="K238" s="15"/>
      <c r="Q238" s="15"/>
    </row>
    <row r="239" spans="1:17" x14ac:dyDescent="0.2">
      <c r="A239" s="15"/>
      <c r="B239" s="13" t="s">
        <v>1631</v>
      </c>
      <c r="C239" s="49">
        <v>0</v>
      </c>
      <c r="D239" s="15"/>
      <c r="E239" s="15"/>
      <c r="F239" s="15"/>
      <c r="G239" s="15"/>
      <c r="H239" s="15"/>
      <c r="I239" s="15"/>
      <c r="J239" s="15"/>
      <c r="K239" s="15"/>
      <c r="Q239" s="15"/>
    </row>
    <row r="240" spans="1:17" x14ac:dyDescent="0.2">
      <c r="A240" s="15"/>
      <c r="B240" s="13" t="s">
        <v>1099</v>
      </c>
      <c r="C240" s="49">
        <v>0</v>
      </c>
      <c r="D240" s="15"/>
      <c r="E240" s="15"/>
      <c r="F240" s="15"/>
      <c r="G240" s="15"/>
      <c r="H240" s="15"/>
      <c r="I240" s="15"/>
      <c r="J240" s="15"/>
      <c r="K240" s="15"/>
      <c r="Q240" s="15"/>
    </row>
    <row r="241" spans="1:17" x14ac:dyDescent="0.2">
      <c r="A241" s="15"/>
      <c r="B241" s="13" t="s">
        <v>1264</v>
      </c>
      <c r="C241" s="49">
        <v>0</v>
      </c>
      <c r="D241" s="15"/>
      <c r="E241" s="15"/>
      <c r="F241" s="15"/>
      <c r="G241" s="15"/>
      <c r="H241" s="15"/>
      <c r="I241" s="15"/>
      <c r="J241" s="15"/>
      <c r="K241" s="15"/>
      <c r="Q241" s="15"/>
    </row>
    <row r="242" spans="1:17" x14ac:dyDescent="0.2">
      <c r="A242" s="15"/>
      <c r="B242" s="13" t="s">
        <v>980</v>
      </c>
      <c r="C242" s="49">
        <v>0</v>
      </c>
      <c r="D242" s="15"/>
      <c r="E242" s="15"/>
      <c r="F242" s="15"/>
      <c r="G242" s="15"/>
      <c r="H242" s="15"/>
      <c r="I242" s="15"/>
      <c r="J242" s="15"/>
      <c r="K242" s="15"/>
      <c r="Q242" s="15"/>
    </row>
    <row r="243" spans="1:17" x14ac:dyDescent="0.2">
      <c r="A243" s="15"/>
      <c r="B243" s="13" t="s">
        <v>1157</v>
      </c>
      <c r="C243" s="49">
        <v>0</v>
      </c>
      <c r="D243" s="15"/>
      <c r="E243" s="15"/>
      <c r="F243" s="15"/>
      <c r="G243" s="15"/>
      <c r="H243" s="15"/>
      <c r="I243" s="15"/>
      <c r="J243" s="15"/>
      <c r="K243" s="15"/>
      <c r="Q243" s="15"/>
    </row>
    <row r="244" spans="1:17" x14ac:dyDescent="0.2">
      <c r="A244" s="15"/>
      <c r="B244" s="16" t="s">
        <v>1248</v>
      </c>
      <c r="C244" s="49">
        <v>0</v>
      </c>
      <c r="D244" s="15"/>
      <c r="E244" s="15"/>
      <c r="F244" s="15"/>
      <c r="G244" s="15"/>
      <c r="H244" s="15"/>
      <c r="I244" s="15"/>
      <c r="J244" s="15"/>
      <c r="K244" s="15"/>
      <c r="Q244" s="15"/>
    </row>
    <row r="245" spans="1:17" x14ac:dyDescent="0.2">
      <c r="A245" s="15"/>
      <c r="B245" s="16" t="s">
        <v>1688</v>
      </c>
      <c r="C245" s="49">
        <v>0</v>
      </c>
      <c r="D245" s="15"/>
      <c r="E245" s="15"/>
      <c r="F245" s="15"/>
      <c r="G245" s="15"/>
      <c r="H245" s="15"/>
      <c r="I245" s="15"/>
      <c r="J245" s="15"/>
      <c r="K245" s="15"/>
      <c r="Q245" s="15"/>
    </row>
    <row r="246" spans="1:17" x14ac:dyDescent="0.2">
      <c r="A246" s="15"/>
      <c r="B246" s="13" t="s">
        <v>793</v>
      </c>
      <c r="C246" s="49">
        <v>0</v>
      </c>
      <c r="D246" s="15"/>
      <c r="E246" s="15"/>
      <c r="F246" s="15"/>
      <c r="G246" s="15"/>
      <c r="H246" s="15"/>
      <c r="I246" s="15"/>
      <c r="J246" s="15"/>
      <c r="K246" s="15"/>
      <c r="Q246" s="15"/>
    </row>
    <row r="247" spans="1:17" x14ac:dyDescent="0.2">
      <c r="A247" s="15"/>
      <c r="B247" s="13" t="s">
        <v>1666</v>
      </c>
      <c r="C247" s="49">
        <v>0</v>
      </c>
      <c r="D247" s="15"/>
      <c r="E247" s="15"/>
      <c r="F247" s="15"/>
      <c r="G247" s="15"/>
      <c r="H247" s="15"/>
      <c r="I247" s="15"/>
      <c r="J247" s="15"/>
      <c r="K247" s="15"/>
      <c r="Q247" s="15"/>
    </row>
    <row r="248" spans="1:17" x14ac:dyDescent="0.2">
      <c r="A248" s="15"/>
      <c r="B248" s="13" t="s">
        <v>878</v>
      </c>
      <c r="C248" s="49">
        <v>0</v>
      </c>
      <c r="D248" s="15"/>
      <c r="E248" s="15"/>
      <c r="F248" s="15"/>
      <c r="G248" s="15"/>
      <c r="H248" s="15"/>
      <c r="I248" s="15"/>
      <c r="J248" s="15"/>
      <c r="K248" s="15"/>
      <c r="Q248" s="15"/>
    </row>
    <row r="249" spans="1:17" x14ac:dyDescent="0.2">
      <c r="A249" s="15"/>
      <c r="B249" s="13" t="s">
        <v>1691</v>
      </c>
      <c r="C249" s="49">
        <v>0</v>
      </c>
      <c r="D249" s="15"/>
      <c r="E249" s="15"/>
      <c r="F249" s="15"/>
      <c r="G249" s="15"/>
      <c r="H249" s="15"/>
      <c r="I249" s="15"/>
      <c r="J249" s="15"/>
      <c r="K249" s="15"/>
      <c r="Q249" s="15"/>
    </row>
    <row r="250" spans="1:17" x14ac:dyDescent="0.2">
      <c r="A250" s="15"/>
      <c r="B250" s="13" t="s">
        <v>804</v>
      </c>
      <c r="C250" s="49">
        <v>0</v>
      </c>
      <c r="D250" s="15"/>
      <c r="E250" s="15"/>
      <c r="F250" s="15"/>
      <c r="G250" s="15"/>
      <c r="H250" s="15"/>
      <c r="I250" s="15"/>
      <c r="J250" s="15"/>
      <c r="K250" s="15"/>
      <c r="Q250" s="15"/>
    </row>
    <row r="251" spans="1:17" x14ac:dyDescent="0.2">
      <c r="A251" s="15"/>
      <c r="B251" s="13" t="s">
        <v>984</v>
      </c>
      <c r="C251" s="49">
        <v>0</v>
      </c>
      <c r="D251" s="15"/>
      <c r="E251" s="15"/>
      <c r="F251" s="15"/>
      <c r="G251" s="15"/>
      <c r="H251" s="15"/>
      <c r="I251" s="15"/>
      <c r="J251" s="15"/>
      <c r="K251" s="15"/>
      <c r="Q251" s="15"/>
    </row>
    <row r="252" spans="1:17" x14ac:dyDescent="0.2">
      <c r="A252" s="15"/>
      <c r="B252" s="13" t="s">
        <v>785</v>
      </c>
      <c r="C252" s="49">
        <v>0</v>
      </c>
      <c r="D252" s="15"/>
      <c r="E252" s="15"/>
      <c r="F252" s="15"/>
      <c r="G252" s="15"/>
      <c r="H252" s="15"/>
      <c r="I252" s="15"/>
      <c r="J252" s="15"/>
      <c r="K252" s="15"/>
      <c r="Q252" s="15"/>
    </row>
    <row r="253" spans="1:17" x14ac:dyDescent="0.2">
      <c r="A253" s="15"/>
      <c r="B253" s="13" t="s">
        <v>795</v>
      </c>
      <c r="C253" s="49">
        <f>H54</f>
        <v>4</v>
      </c>
      <c r="D253" s="15"/>
      <c r="E253" s="15"/>
      <c r="F253" s="15"/>
      <c r="G253" s="15"/>
      <c r="H253" s="15"/>
      <c r="I253" s="15"/>
      <c r="J253" s="15"/>
      <c r="K253" s="15"/>
      <c r="Q253" s="15"/>
    </row>
    <row r="254" spans="1:17" x14ac:dyDescent="0.2">
      <c r="A254" s="15"/>
      <c r="B254" s="13" t="s">
        <v>989</v>
      </c>
      <c r="C254" s="49">
        <v>0</v>
      </c>
      <c r="D254" s="15"/>
      <c r="E254" s="15"/>
      <c r="F254" s="15"/>
      <c r="G254" s="15"/>
      <c r="H254" s="15"/>
      <c r="I254" s="15"/>
      <c r="J254" s="15"/>
      <c r="K254" s="15"/>
      <c r="Q254" s="15"/>
    </row>
    <row r="255" spans="1:17" x14ac:dyDescent="0.2">
      <c r="A255" s="15"/>
      <c r="B255" s="13" t="s">
        <v>772</v>
      </c>
      <c r="C255" s="49">
        <v>0</v>
      </c>
      <c r="D255" s="15"/>
      <c r="E255" s="15"/>
      <c r="F255" s="15"/>
      <c r="G255" s="15"/>
      <c r="H255" s="15"/>
      <c r="I255" s="15"/>
      <c r="J255" s="15"/>
      <c r="K255" s="15"/>
      <c r="Q255" s="15"/>
    </row>
    <row r="256" spans="1:17" x14ac:dyDescent="0.2">
      <c r="A256" s="15"/>
      <c r="B256" s="13" t="s">
        <v>1245</v>
      </c>
      <c r="C256" s="49">
        <v>0</v>
      </c>
      <c r="D256" s="15"/>
      <c r="E256" s="15"/>
      <c r="F256" s="15"/>
      <c r="G256" s="15"/>
      <c r="H256" s="15"/>
      <c r="I256" s="15"/>
      <c r="J256" s="15"/>
      <c r="K256" s="15"/>
      <c r="Q256" s="15"/>
    </row>
    <row r="257" spans="1:17" x14ac:dyDescent="0.2">
      <c r="A257" s="15"/>
      <c r="B257" s="13" t="s">
        <v>789</v>
      </c>
      <c r="C257" s="49">
        <v>0</v>
      </c>
      <c r="D257" s="15"/>
      <c r="E257" s="15"/>
      <c r="F257" s="15"/>
      <c r="G257" s="15"/>
      <c r="H257" s="15"/>
      <c r="I257" s="15"/>
      <c r="J257" s="15"/>
      <c r="K257" s="15"/>
      <c r="Q257" s="15"/>
    </row>
    <row r="258" spans="1:17" x14ac:dyDescent="0.2">
      <c r="A258" s="15"/>
      <c r="B258" s="13" t="s">
        <v>875</v>
      </c>
      <c r="C258" s="49">
        <v>0</v>
      </c>
      <c r="D258" s="15"/>
      <c r="E258" s="15"/>
      <c r="F258" s="15"/>
      <c r="G258" s="15"/>
      <c r="H258" s="15"/>
      <c r="I258" s="15"/>
      <c r="J258" s="15"/>
      <c r="K258" s="15"/>
      <c r="Q258" s="15"/>
    </row>
    <row r="259" spans="1:17" x14ac:dyDescent="0.2">
      <c r="A259" s="15"/>
      <c r="B259" s="13" t="s">
        <v>1347</v>
      </c>
      <c r="C259" s="49">
        <v>0</v>
      </c>
      <c r="D259" s="15"/>
      <c r="E259" s="15"/>
      <c r="F259" s="15"/>
      <c r="G259" s="15"/>
      <c r="H259" s="15"/>
      <c r="I259" s="15"/>
      <c r="J259" s="15"/>
      <c r="K259" s="15"/>
      <c r="Q259" s="15"/>
    </row>
    <row r="260" spans="1:17" x14ac:dyDescent="0.2">
      <c r="A260" s="15"/>
      <c r="B260" s="12" t="s">
        <v>771</v>
      </c>
      <c r="C260" s="49">
        <f>SUM(H128/2)+H129+SUM(C261:C266)</f>
        <v>35.5</v>
      </c>
      <c r="D260" s="15"/>
      <c r="E260" s="15"/>
      <c r="F260" s="15"/>
      <c r="G260" s="15"/>
      <c r="H260" s="15"/>
      <c r="I260" s="15"/>
      <c r="J260" s="15"/>
      <c r="K260" s="15"/>
      <c r="Q260" s="15"/>
    </row>
    <row r="261" spans="1:17" x14ac:dyDescent="0.2">
      <c r="A261" s="15"/>
      <c r="B261" s="13" t="s">
        <v>776</v>
      </c>
      <c r="C261" s="49">
        <f>H130+SUM(H134/2)</f>
        <v>2.5</v>
      </c>
      <c r="D261" s="15"/>
      <c r="E261" s="15"/>
      <c r="F261" s="15"/>
      <c r="G261" s="15"/>
      <c r="H261" s="15"/>
      <c r="I261" s="15"/>
      <c r="J261" s="15"/>
      <c r="K261" s="15"/>
      <c r="Q261" s="15"/>
    </row>
    <row r="262" spans="1:17" x14ac:dyDescent="0.2">
      <c r="A262" s="15"/>
      <c r="B262" s="13" t="s">
        <v>1351</v>
      </c>
      <c r="C262" s="49">
        <f>C253+SUM(H132/2)+SUM(H134/2)</f>
        <v>5</v>
      </c>
      <c r="D262" s="15"/>
      <c r="E262" s="15"/>
      <c r="F262" s="15"/>
      <c r="G262" s="15"/>
      <c r="H262" s="15"/>
      <c r="I262" s="15"/>
      <c r="J262" s="15"/>
      <c r="K262" s="15"/>
      <c r="Q262" s="15"/>
    </row>
    <row r="263" spans="1:17" x14ac:dyDescent="0.2">
      <c r="A263" s="15"/>
      <c r="B263" s="13" t="s">
        <v>1352</v>
      </c>
      <c r="C263" s="49">
        <f>SUM(H131/2)+H135</f>
        <v>1.5</v>
      </c>
      <c r="D263" s="15"/>
      <c r="E263" s="15"/>
      <c r="F263" s="15"/>
      <c r="G263" s="15"/>
      <c r="H263" s="15"/>
      <c r="I263" s="15"/>
      <c r="J263" s="15"/>
      <c r="K263" s="15"/>
      <c r="Q263" s="15"/>
    </row>
    <row r="264" spans="1:17" x14ac:dyDescent="0.2">
      <c r="A264" s="15"/>
      <c r="B264" s="13" t="s">
        <v>1353</v>
      </c>
      <c r="C264" s="49">
        <f>SUM(H132/2)</f>
        <v>0.5</v>
      </c>
      <c r="D264" s="15"/>
      <c r="E264" s="15"/>
      <c r="F264" s="15"/>
      <c r="G264" s="15"/>
      <c r="H264" s="15"/>
      <c r="I264" s="15"/>
      <c r="J264" s="15"/>
      <c r="K264" s="15"/>
      <c r="Q264" s="15"/>
    </row>
    <row r="265" spans="1:17" x14ac:dyDescent="0.2">
      <c r="A265" s="15"/>
      <c r="B265" s="13" t="s">
        <v>1354</v>
      </c>
      <c r="C265" s="49">
        <f>SUM(H131/2)</f>
        <v>0.5</v>
      </c>
      <c r="D265" s="15"/>
      <c r="E265" s="15"/>
      <c r="F265" s="15"/>
      <c r="G265" s="15"/>
      <c r="H265" s="15"/>
      <c r="I265" s="15"/>
      <c r="J265" s="15"/>
      <c r="K265" s="15"/>
      <c r="Q265" s="15"/>
    </row>
    <row r="266" spans="1:17" x14ac:dyDescent="0.2">
      <c r="A266" s="15"/>
      <c r="B266" s="13" t="s">
        <v>1880</v>
      </c>
      <c r="C266" s="49">
        <v>0</v>
      </c>
      <c r="H266" s="15"/>
    </row>
    <row r="267" spans="1:17" x14ac:dyDescent="0.2">
      <c r="B267" s="13" t="s">
        <v>2250</v>
      </c>
      <c r="C267" s="49">
        <f>SUM(C262:C266)</f>
        <v>7.5</v>
      </c>
    </row>
    <row r="268" spans="1:17" x14ac:dyDescent="0.2">
      <c r="B268" s="13" t="s">
        <v>1888</v>
      </c>
      <c r="C268" s="49">
        <f>H55+H57+H91+SUM(H102:H103)+H136</f>
        <v>22</v>
      </c>
    </row>
    <row r="269" spans="1:17" x14ac:dyDescent="0.2">
      <c r="C269" s="49"/>
    </row>
    <row r="270" spans="1:17" x14ac:dyDescent="0.2">
      <c r="B270" s="13" t="s">
        <v>1889</v>
      </c>
      <c r="C270" s="49">
        <f>C181+C217+C230+C260+C268</f>
        <v>372</v>
      </c>
    </row>
    <row r="271" spans="1:17" x14ac:dyDescent="0.2">
      <c r="C271" s="49"/>
    </row>
    <row r="272" spans="1:17" x14ac:dyDescent="0.2">
      <c r="B272" s="13" t="s">
        <v>5756</v>
      </c>
      <c r="C272" s="49">
        <f>C145+C147+SUM(C175:C176)</f>
        <v>17</v>
      </c>
    </row>
    <row r="273" spans="2:3" x14ac:dyDescent="0.2">
      <c r="B273" s="13" t="s">
        <v>1272</v>
      </c>
      <c r="C273" s="49">
        <f>C181-C272</f>
        <v>241</v>
      </c>
    </row>
    <row r="274" spans="2:3" x14ac:dyDescent="0.2">
      <c r="C274" s="49"/>
    </row>
    <row r="275" spans="2:3" x14ac:dyDescent="0.2">
      <c r="B275" s="13" t="s">
        <v>5756</v>
      </c>
      <c r="C275" s="49">
        <f>C272</f>
        <v>17</v>
      </c>
    </row>
    <row r="276" spans="2:3" x14ac:dyDescent="0.2">
      <c r="B276" s="13" t="s">
        <v>1891</v>
      </c>
      <c r="C276" s="49">
        <f>C270-C275</f>
        <v>355</v>
      </c>
    </row>
    <row r="277" spans="2:3" x14ac:dyDescent="0.2">
      <c r="C277" s="49"/>
    </row>
    <row r="278" spans="2:3" x14ac:dyDescent="0.2">
      <c r="B278" s="13" t="s">
        <v>11</v>
      </c>
      <c r="C278" s="49">
        <f>C181</f>
        <v>258</v>
      </c>
    </row>
    <row r="279" spans="2:3" x14ac:dyDescent="0.2">
      <c r="B279" s="13" t="s">
        <v>35</v>
      </c>
      <c r="C279" s="49">
        <f>C217</f>
        <v>40.5</v>
      </c>
    </row>
    <row r="280" spans="2:3" x14ac:dyDescent="0.2">
      <c r="B280" s="13" t="s">
        <v>56</v>
      </c>
      <c r="C280" s="49">
        <f>C230</f>
        <v>16</v>
      </c>
    </row>
    <row r="281" spans="2:3" x14ac:dyDescent="0.2">
      <c r="B281" s="13" t="s">
        <v>771</v>
      </c>
      <c r="C281" s="49">
        <f>C260</f>
        <v>35.5</v>
      </c>
    </row>
    <row r="282" spans="2:3" x14ac:dyDescent="0.2">
      <c r="C282" s="49"/>
    </row>
    <row r="283" spans="2:3" ht="13.5" thickBot="1" x14ac:dyDescent="0.25">
      <c r="C283" s="49"/>
    </row>
    <row r="284" spans="2:3" x14ac:dyDescent="0.25">
      <c r="B284" s="85" t="s">
        <v>5449</v>
      </c>
      <c r="C284" s="88">
        <v>21</v>
      </c>
    </row>
    <row r="285" spans="2:3" x14ac:dyDescent="0.25">
      <c r="B285" s="86" t="s">
        <v>5450</v>
      </c>
      <c r="C285" s="89">
        <v>7.5</v>
      </c>
    </row>
    <row r="286" spans="2:3" x14ac:dyDescent="0.25">
      <c r="B286" s="86" t="s">
        <v>5451</v>
      </c>
      <c r="C286" s="89">
        <v>41</v>
      </c>
    </row>
    <row r="287" spans="2:3" x14ac:dyDescent="0.25">
      <c r="B287" s="86" t="s">
        <v>5452</v>
      </c>
      <c r="C287" s="89">
        <v>145.5</v>
      </c>
    </row>
    <row r="288" spans="2:3" ht="13.5" thickBot="1" x14ac:dyDescent="0.3">
      <c r="B288" s="87" t="s">
        <v>5453</v>
      </c>
      <c r="C288" s="90">
        <v>31</v>
      </c>
    </row>
    <row r="289" spans="2:3" x14ac:dyDescent="0.25">
      <c r="B289" s="85" t="s">
        <v>5454</v>
      </c>
      <c r="C289" s="88">
        <v>25</v>
      </c>
    </row>
    <row r="290" spans="2:3" x14ac:dyDescent="0.25">
      <c r="B290" s="86" t="s">
        <v>5455</v>
      </c>
      <c r="C290" s="89">
        <v>1.5</v>
      </c>
    </row>
    <row r="291" spans="2:3" x14ac:dyDescent="0.25">
      <c r="B291" s="86" t="s">
        <v>5456</v>
      </c>
      <c r="C291" s="89">
        <v>1.5</v>
      </c>
    </row>
    <row r="292" spans="2:3" x14ac:dyDescent="0.25">
      <c r="B292" s="86" t="s">
        <v>5457</v>
      </c>
      <c r="C292" s="89">
        <v>3</v>
      </c>
    </row>
    <row r="293" spans="2:3" ht="13.5" thickBot="1" x14ac:dyDescent="0.3">
      <c r="B293" s="87" t="s">
        <v>5458</v>
      </c>
      <c r="C293" s="90">
        <v>0</v>
      </c>
    </row>
    <row r="294" spans="2:3" x14ac:dyDescent="0.25">
      <c r="B294" s="85" t="s">
        <v>923</v>
      </c>
      <c r="C294" s="88">
        <v>0.5</v>
      </c>
    </row>
    <row r="295" spans="2:3" x14ac:dyDescent="0.25">
      <c r="B295" s="86" t="s">
        <v>924</v>
      </c>
      <c r="C295" s="89">
        <v>4.5</v>
      </c>
    </row>
    <row r="296" spans="2:3" x14ac:dyDescent="0.25">
      <c r="B296" s="86" t="s">
        <v>925</v>
      </c>
      <c r="C296" s="89">
        <v>4</v>
      </c>
    </row>
    <row r="297" spans="2:3" x14ac:dyDescent="0.25">
      <c r="B297" s="86" t="s">
        <v>926</v>
      </c>
      <c r="C297" s="89">
        <v>2</v>
      </c>
    </row>
    <row r="298" spans="2:3" ht="13.5" thickBot="1" x14ac:dyDescent="0.3">
      <c r="B298" s="87" t="s">
        <v>629</v>
      </c>
      <c r="C298" s="90">
        <v>0</v>
      </c>
    </row>
    <row r="299" spans="2:3" x14ac:dyDescent="0.25">
      <c r="B299" s="85" t="s">
        <v>776</v>
      </c>
      <c r="C299" s="88">
        <v>2.5</v>
      </c>
    </row>
    <row r="300" spans="2:3" x14ac:dyDescent="0.25">
      <c r="B300" s="86" t="s">
        <v>1351</v>
      </c>
      <c r="C300" s="89">
        <v>5</v>
      </c>
    </row>
    <row r="301" spans="2:3" x14ac:dyDescent="0.25">
      <c r="B301" s="86" t="s">
        <v>1352</v>
      </c>
      <c r="C301" s="89">
        <v>1.5</v>
      </c>
    </row>
    <row r="302" spans="2:3" x14ac:dyDescent="0.25">
      <c r="B302" s="86" t="s">
        <v>1353</v>
      </c>
      <c r="C302" s="89">
        <v>0.5</v>
      </c>
    </row>
    <row r="303" spans="2:3" x14ac:dyDescent="0.25">
      <c r="B303" s="86" t="s">
        <v>1354</v>
      </c>
      <c r="C303" s="89">
        <v>0.5</v>
      </c>
    </row>
    <row r="304" spans="2:3" ht="13.5" thickBot="1" x14ac:dyDescent="0.3">
      <c r="B304" s="87" t="s">
        <v>1880</v>
      </c>
      <c r="C304" s="90">
        <v>0</v>
      </c>
    </row>
    <row r="305" spans="3:3" x14ac:dyDescent="0.2">
      <c r="C305" s="49"/>
    </row>
    <row r="306" spans="3:3" x14ac:dyDescent="0.2">
      <c r="C306" s="49"/>
    </row>
    <row r="307" spans="3:3" x14ac:dyDescent="0.2">
      <c r="C307" s="49"/>
    </row>
  </sheetData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34"/>
  <sheetViews>
    <sheetView zoomScale="126" zoomScaleNormal="103" workbookViewId="0">
      <pane ySplit="1" topLeftCell="A512" activePane="bottomLeft" state="frozen"/>
      <selection pane="bottomLeft" activeCell="J398" sqref="J398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19.140625" style="10" customWidth="1"/>
    <col min="4" max="4" width="11.5703125" style="13" customWidth="1"/>
    <col min="5" max="5" width="11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1878</v>
      </c>
      <c r="B2" s="13" t="s">
        <v>532</v>
      </c>
      <c r="C2" s="10" t="s">
        <v>533</v>
      </c>
      <c r="D2" s="13" t="s">
        <v>8</v>
      </c>
      <c r="E2" s="14" t="s">
        <v>534</v>
      </c>
      <c r="F2" s="14" t="s">
        <v>11</v>
      </c>
      <c r="G2" s="13"/>
      <c r="H2" s="14">
        <f>G2+I2</f>
        <v>6</v>
      </c>
      <c r="I2" s="13">
        <v>6</v>
      </c>
      <c r="J2" s="13">
        <v>5</v>
      </c>
      <c r="K2" s="13" t="s">
        <v>2182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s="14" customFormat="1" ht="25.5" customHeight="1" x14ac:dyDescent="0.25">
      <c r="A3" s="11" t="s">
        <v>1878</v>
      </c>
      <c r="B3" s="13" t="s">
        <v>76</v>
      </c>
      <c r="C3" s="10" t="s">
        <v>330</v>
      </c>
      <c r="D3" s="13" t="s">
        <v>1940</v>
      </c>
      <c r="E3" s="14" t="s">
        <v>1281</v>
      </c>
      <c r="F3" s="14" t="s">
        <v>11</v>
      </c>
      <c r="G3" s="13">
        <v>11</v>
      </c>
      <c r="H3" s="14">
        <f>G3+I3</f>
        <v>11</v>
      </c>
      <c r="I3" s="13"/>
      <c r="J3" s="13">
        <v>10</v>
      </c>
      <c r="K3" s="13" t="s">
        <v>2234</v>
      </c>
      <c r="L3" s="14" t="s">
        <v>177</v>
      </c>
      <c r="M3" s="14">
        <v>193</v>
      </c>
      <c r="N3" s="14">
        <v>983</v>
      </c>
      <c r="O3" s="14">
        <v>519300</v>
      </c>
      <c r="P3" s="14">
        <v>298300</v>
      </c>
    </row>
    <row r="4" spans="1:19" s="14" customFormat="1" ht="25.5" customHeight="1" x14ac:dyDescent="0.25">
      <c r="A4" s="11" t="s">
        <v>1878</v>
      </c>
      <c r="B4" s="13" t="s">
        <v>76</v>
      </c>
      <c r="C4" s="10" t="s">
        <v>330</v>
      </c>
      <c r="D4" s="13" t="s">
        <v>39</v>
      </c>
      <c r="E4" s="14" t="s">
        <v>1281</v>
      </c>
      <c r="F4" s="14" t="s">
        <v>11</v>
      </c>
      <c r="G4" s="13">
        <v>1</v>
      </c>
      <c r="H4" s="14">
        <f t="shared" ref="H4:H40" si="0">G4+I4</f>
        <v>1</v>
      </c>
      <c r="I4" s="13"/>
      <c r="J4" s="13">
        <v>1</v>
      </c>
      <c r="K4" s="13" t="s">
        <v>1513</v>
      </c>
      <c r="L4" s="14" t="s">
        <v>177</v>
      </c>
      <c r="M4" s="14">
        <v>193</v>
      </c>
      <c r="N4" s="14">
        <v>983</v>
      </c>
      <c r="O4" s="14">
        <v>519300</v>
      </c>
      <c r="P4" s="14">
        <v>298300</v>
      </c>
    </row>
    <row r="5" spans="1:19" s="14" customFormat="1" ht="25.5" customHeight="1" x14ac:dyDescent="0.25">
      <c r="A5" s="11" t="s">
        <v>1878</v>
      </c>
      <c r="B5" s="13" t="s">
        <v>76</v>
      </c>
      <c r="C5" s="10" t="s">
        <v>501</v>
      </c>
      <c r="D5" s="13" t="s">
        <v>90</v>
      </c>
      <c r="E5" s="13" t="s">
        <v>176</v>
      </c>
      <c r="F5" s="14" t="s">
        <v>11</v>
      </c>
      <c r="G5" s="13">
        <v>1</v>
      </c>
      <c r="H5" s="14">
        <f t="shared" si="0"/>
        <v>2</v>
      </c>
      <c r="I5" s="13">
        <v>1</v>
      </c>
      <c r="J5" s="13">
        <v>2</v>
      </c>
      <c r="K5" s="13" t="s">
        <v>2274</v>
      </c>
      <c r="L5" s="14" t="s">
        <v>175</v>
      </c>
      <c r="M5" s="14">
        <v>577</v>
      </c>
      <c r="N5" s="14">
        <v>647</v>
      </c>
      <c r="O5" s="14">
        <v>557700</v>
      </c>
      <c r="P5" s="14">
        <v>364700</v>
      </c>
    </row>
    <row r="6" spans="1:19" s="14" customFormat="1" ht="25.5" customHeight="1" x14ac:dyDescent="0.25">
      <c r="A6" s="11" t="s">
        <v>1878</v>
      </c>
      <c r="B6" s="13" t="s">
        <v>76</v>
      </c>
      <c r="C6" s="10" t="s">
        <v>2023</v>
      </c>
      <c r="D6" s="13" t="s">
        <v>20</v>
      </c>
      <c r="E6" s="13" t="s">
        <v>1926</v>
      </c>
      <c r="F6" s="14" t="s">
        <v>11</v>
      </c>
      <c r="G6" s="13"/>
      <c r="H6" s="14">
        <f t="shared" si="0"/>
        <v>1</v>
      </c>
      <c r="I6" s="13">
        <v>1</v>
      </c>
      <c r="J6" s="13">
        <v>1</v>
      </c>
      <c r="K6" s="13" t="s">
        <v>252</v>
      </c>
      <c r="L6" s="14" t="s">
        <v>177</v>
      </c>
      <c r="M6" s="14">
        <v>203</v>
      </c>
      <c r="N6" s="14">
        <v>716</v>
      </c>
      <c r="O6" s="14">
        <v>520300</v>
      </c>
      <c r="P6" s="14">
        <v>271600</v>
      </c>
    </row>
    <row r="7" spans="1:19" ht="25.5" customHeight="1" x14ac:dyDescent="0.25">
      <c r="A7" s="11" t="s">
        <v>1878</v>
      </c>
      <c r="B7" s="13" t="s">
        <v>76</v>
      </c>
      <c r="C7" s="10" t="s">
        <v>174</v>
      </c>
      <c r="D7" s="13" t="s">
        <v>92</v>
      </c>
      <c r="E7" s="13" t="s">
        <v>176</v>
      </c>
      <c r="F7" s="14" t="s">
        <v>11</v>
      </c>
      <c r="G7" s="13">
        <v>1</v>
      </c>
      <c r="H7" s="14">
        <f t="shared" si="0"/>
        <v>16</v>
      </c>
      <c r="I7" s="14">
        <v>15</v>
      </c>
      <c r="J7" s="14">
        <v>8</v>
      </c>
      <c r="K7" s="13" t="s">
        <v>2043</v>
      </c>
      <c r="L7" s="15" t="s">
        <v>175</v>
      </c>
      <c r="M7" s="15">
        <v>1385</v>
      </c>
      <c r="N7" s="15">
        <v>735</v>
      </c>
      <c r="O7" s="15">
        <v>513850</v>
      </c>
      <c r="P7" s="15">
        <v>307350</v>
      </c>
    </row>
    <row r="8" spans="1:19" ht="25.5" customHeight="1" x14ac:dyDescent="0.25">
      <c r="A8" s="11" t="s">
        <v>1878</v>
      </c>
      <c r="B8" s="13" t="s">
        <v>76</v>
      </c>
      <c r="C8" s="10" t="s">
        <v>1925</v>
      </c>
      <c r="D8" s="13" t="s">
        <v>20</v>
      </c>
      <c r="E8" s="13" t="s">
        <v>1926</v>
      </c>
      <c r="F8" s="14" t="s">
        <v>11</v>
      </c>
      <c r="G8" s="13">
        <v>1</v>
      </c>
      <c r="H8" s="14">
        <f t="shared" si="0"/>
        <v>5</v>
      </c>
      <c r="I8" s="14">
        <v>4</v>
      </c>
      <c r="J8" s="14">
        <v>3</v>
      </c>
      <c r="K8" s="13" t="s">
        <v>2046</v>
      </c>
      <c r="L8" s="15" t="s">
        <v>177</v>
      </c>
      <c r="M8" s="15">
        <v>1812</v>
      </c>
      <c r="N8" s="15">
        <v>5867</v>
      </c>
      <c r="O8" s="15">
        <v>518120</v>
      </c>
      <c r="P8" s="15">
        <v>258670</v>
      </c>
    </row>
    <row r="9" spans="1:19" s="14" customFormat="1" ht="25.5" customHeight="1" x14ac:dyDescent="0.25">
      <c r="A9" s="11" t="s">
        <v>1878</v>
      </c>
      <c r="B9" s="13" t="s">
        <v>76</v>
      </c>
      <c r="C9" s="10" t="s">
        <v>2024</v>
      </c>
      <c r="D9" s="13" t="s">
        <v>20</v>
      </c>
      <c r="E9" s="13" t="s">
        <v>1926</v>
      </c>
      <c r="F9" s="14" t="s">
        <v>11</v>
      </c>
      <c r="G9" s="13"/>
      <c r="H9" s="14">
        <f>G9+I9</f>
        <v>1</v>
      </c>
      <c r="I9" s="13">
        <v>1</v>
      </c>
      <c r="J9" s="13">
        <v>1</v>
      </c>
      <c r="K9" s="13" t="s">
        <v>252</v>
      </c>
      <c r="L9" s="14" t="s">
        <v>177</v>
      </c>
      <c r="M9" s="14">
        <v>2555</v>
      </c>
      <c r="N9" s="14">
        <v>7092</v>
      </c>
      <c r="O9" s="14">
        <v>525550</v>
      </c>
      <c r="P9" s="14">
        <v>270920</v>
      </c>
    </row>
    <row r="10" spans="1:19" ht="22.5" x14ac:dyDescent="0.25">
      <c r="A10" s="11" t="s">
        <v>1878</v>
      </c>
      <c r="B10" s="13" t="s">
        <v>76</v>
      </c>
      <c r="C10" s="10" t="s">
        <v>946</v>
      </c>
      <c r="D10" s="13" t="s">
        <v>26</v>
      </c>
      <c r="E10" s="13" t="s">
        <v>178</v>
      </c>
      <c r="F10" s="14" t="s">
        <v>11</v>
      </c>
      <c r="G10" s="13">
        <v>1</v>
      </c>
      <c r="H10" s="14">
        <f t="shared" si="0"/>
        <v>2</v>
      </c>
      <c r="I10" s="14">
        <v>1</v>
      </c>
      <c r="J10" s="14">
        <v>2</v>
      </c>
      <c r="K10" s="13" t="s">
        <v>1990</v>
      </c>
      <c r="L10" s="15" t="s">
        <v>177</v>
      </c>
      <c r="M10" s="15">
        <v>420</v>
      </c>
      <c r="N10" s="15">
        <v>767</v>
      </c>
      <c r="O10" s="15">
        <v>542000</v>
      </c>
      <c r="P10" s="15">
        <v>276700</v>
      </c>
    </row>
    <row r="11" spans="1:19" ht="22.5" x14ac:dyDescent="0.25">
      <c r="A11" s="11" t="s">
        <v>1878</v>
      </c>
      <c r="B11" s="13" t="s">
        <v>76</v>
      </c>
      <c r="C11" s="10" t="s">
        <v>388</v>
      </c>
      <c r="D11" s="13" t="s">
        <v>20</v>
      </c>
      <c r="E11" s="13" t="s">
        <v>176</v>
      </c>
      <c r="F11" s="14" t="s">
        <v>11</v>
      </c>
      <c r="G11" s="13"/>
      <c r="H11" s="14">
        <f t="shared" si="0"/>
        <v>4</v>
      </c>
      <c r="I11" s="14">
        <v>4</v>
      </c>
      <c r="J11" s="14">
        <v>3</v>
      </c>
      <c r="K11" s="13" t="s">
        <v>2050</v>
      </c>
      <c r="L11" s="15" t="s">
        <v>175</v>
      </c>
      <c r="M11" s="15">
        <v>1180</v>
      </c>
      <c r="N11" s="15">
        <v>830</v>
      </c>
      <c r="O11" s="15">
        <v>511800</v>
      </c>
      <c r="P11" s="15">
        <v>308300</v>
      </c>
    </row>
    <row r="12" spans="1:19" ht="22.5" x14ac:dyDescent="0.25">
      <c r="A12" s="11" t="s">
        <v>1878</v>
      </c>
      <c r="B12" s="13" t="s">
        <v>76</v>
      </c>
      <c r="C12" s="17" t="s">
        <v>2088</v>
      </c>
      <c r="E12" s="13" t="s">
        <v>2089</v>
      </c>
      <c r="F12" s="14" t="s">
        <v>11</v>
      </c>
      <c r="G12" s="13"/>
      <c r="H12" s="14">
        <f>G12+I12</f>
        <v>2</v>
      </c>
      <c r="I12" s="14">
        <v>2</v>
      </c>
      <c r="J12" s="14">
        <v>2</v>
      </c>
      <c r="K12" s="13" t="s">
        <v>2297</v>
      </c>
      <c r="L12" s="15" t="s">
        <v>177</v>
      </c>
      <c r="M12" s="15">
        <v>271</v>
      </c>
      <c r="N12" s="15">
        <v>967</v>
      </c>
      <c r="O12" s="15">
        <v>527100</v>
      </c>
      <c r="P12" s="15">
        <v>296700</v>
      </c>
    </row>
    <row r="13" spans="1:19" ht="22.5" x14ac:dyDescent="0.25">
      <c r="A13" s="11" t="s">
        <v>1878</v>
      </c>
      <c r="B13" s="13" t="s">
        <v>213</v>
      </c>
      <c r="C13" s="10" t="s">
        <v>214</v>
      </c>
      <c r="D13" s="13" t="s">
        <v>215</v>
      </c>
      <c r="E13" s="13" t="s">
        <v>216</v>
      </c>
      <c r="F13" s="14" t="s">
        <v>11</v>
      </c>
      <c r="G13" s="13"/>
      <c r="H13" s="14">
        <f t="shared" si="0"/>
        <v>2</v>
      </c>
      <c r="I13" s="14">
        <v>2</v>
      </c>
      <c r="J13" s="14">
        <v>1</v>
      </c>
      <c r="K13" s="13" t="s">
        <v>180</v>
      </c>
      <c r="L13" s="15" t="s">
        <v>218</v>
      </c>
      <c r="M13" s="15">
        <v>7365</v>
      </c>
      <c r="N13" s="15">
        <v>1960</v>
      </c>
      <c r="O13" s="15">
        <v>473650</v>
      </c>
      <c r="P13" s="15">
        <v>519600</v>
      </c>
    </row>
    <row r="14" spans="1:19" x14ac:dyDescent="0.25">
      <c r="A14" s="11" t="s">
        <v>1878</v>
      </c>
      <c r="B14" s="13" t="s">
        <v>42</v>
      </c>
      <c r="C14" s="10" t="s">
        <v>142</v>
      </c>
      <c r="D14" s="13" t="s">
        <v>39</v>
      </c>
      <c r="E14" s="14" t="s">
        <v>143</v>
      </c>
      <c r="F14" s="14" t="s">
        <v>11</v>
      </c>
      <c r="G14" s="13">
        <v>1</v>
      </c>
      <c r="H14" s="14">
        <f t="shared" si="0"/>
        <v>6</v>
      </c>
      <c r="I14" s="14">
        <v>5</v>
      </c>
      <c r="J14" s="14">
        <v>5</v>
      </c>
      <c r="K14" s="13" t="s">
        <v>2034</v>
      </c>
      <c r="L14" s="15" t="s">
        <v>144</v>
      </c>
      <c r="M14" s="15">
        <v>685</v>
      </c>
      <c r="N14" s="15">
        <v>407</v>
      </c>
      <c r="O14" s="15">
        <v>168500</v>
      </c>
      <c r="P14" s="15">
        <v>40700</v>
      </c>
    </row>
    <row r="15" spans="1:19" x14ac:dyDescent="0.25">
      <c r="A15" s="11" t="s">
        <v>1878</v>
      </c>
      <c r="B15" s="13" t="s">
        <v>42</v>
      </c>
      <c r="C15" s="10" t="s">
        <v>1961</v>
      </c>
      <c r="D15" s="13" t="s">
        <v>401</v>
      </c>
      <c r="E15" s="14" t="s">
        <v>1962</v>
      </c>
      <c r="F15" s="14" t="s">
        <v>11</v>
      </c>
      <c r="G15" s="13">
        <v>1</v>
      </c>
      <c r="H15" s="14">
        <f t="shared" si="0"/>
        <v>2</v>
      </c>
      <c r="I15" s="14">
        <v>1</v>
      </c>
      <c r="J15" s="14">
        <v>2</v>
      </c>
      <c r="K15" s="13" t="s">
        <v>2027</v>
      </c>
      <c r="L15" s="15" t="s">
        <v>520</v>
      </c>
      <c r="M15" s="15">
        <v>61</v>
      </c>
      <c r="N15" s="15">
        <v>610</v>
      </c>
      <c r="O15" s="15">
        <v>206100</v>
      </c>
      <c r="P15" s="15">
        <v>61000</v>
      </c>
    </row>
    <row r="16" spans="1:19" x14ac:dyDescent="0.25">
      <c r="A16" s="11" t="s">
        <v>1878</v>
      </c>
      <c r="B16" s="13" t="s">
        <v>10</v>
      </c>
      <c r="C16" s="10" t="s">
        <v>1920</v>
      </c>
      <c r="D16" s="13" t="s">
        <v>401</v>
      </c>
      <c r="E16" s="14" t="s">
        <v>1921</v>
      </c>
      <c r="F16" s="14" t="s">
        <v>11</v>
      </c>
      <c r="G16" s="13">
        <v>1</v>
      </c>
      <c r="H16" s="14">
        <f t="shared" si="0"/>
        <v>3</v>
      </c>
      <c r="I16" s="14">
        <v>2</v>
      </c>
      <c r="J16" s="14">
        <v>3</v>
      </c>
      <c r="K16" s="13" t="s">
        <v>2035</v>
      </c>
      <c r="L16" s="15" t="s">
        <v>166</v>
      </c>
      <c r="M16" s="15">
        <v>3425</v>
      </c>
      <c r="N16" s="15">
        <v>3364</v>
      </c>
      <c r="O16" s="15">
        <v>334250</v>
      </c>
      <c r="P16" s="15">
        <v>533640</v>
      </c>
    </row>
    <row r="17" spans="1:16" ht="22.5" x14ac:dyDescent="0.25">
      <c r="A17" s="11" t="s">
        <v>1878</v>
      </c>
      <c r="B17" s="13" t="s">
        <v>10</v>
      </c>
      <c r="C17" s="10" t="s">
        <v>165</v>
      </c>
      <c r="D17" s="13" t="s">
        <v>825</v>
      </c>
      <c r="E17" s="14" t="s">
        <v>12</v>
      </c>
      <c r="F17" s="14" t="s">
        <v>11</v>
      </c>
      <c r="G17" s="13"/>
      <c r="H17" s="14">
        <f t="shared" si="0"/>
        <v>3</v>
      </c>
      <c r="I17" s="14">
        <v>3</v>
      </c>
      <c r="J17" s="14">
        <v>3</v>
      </c>
      <c r="K17" s="13" t="s">
        <v>2208</v>
      </c>
      <c r="L17" s="15" t="s">
        <v>166</v>
      </c>
      <c r="M17" s="15">
        <v>274</v>
      </c>
      <c r="N17" s="15">
        <v>72</v>
      </c>
      <c r="O17" s="15">
        <v>327400</v>
      </c>
      <c r="P17" s="15">
        <v>507200</v>
      </c>
    </row>
    <row r="18" spans="1:16" x14ac:dyDescent="0.25">
      <c r="A18" s="11" t="s">
        <v>1878</v>
      </c>
      <c r="B18" s="13" t="s">
        <v>10</v>
      </c>
      <c r="C18" s="10" t="s">
        <v>1134</v>
      </c>
      <c r="D18" s="13" t="s">
        <v>8</v>
      </c>
      <c r="E18" s="14" t="s">
        <v>9</v>
      </c>
      <c r="F18" s="14" t="s">
        <v>11</v>
      </c>
      <c r="G18" s="13"/>
      <c r="H18" s="14">
        <f t="shared" si="0"/>
        <v>6</v>
      </c>
      <c r="I18" s="14">
        <v>6</v>
      </c>
      <c r="J18" s="14">
        <v>5</v>
      </c>
      <c r="K18" s="13" t="s">
        <v>2214</v>
      </c>
      <c r="L18" s="15" t="s">
        <v>166</v>
      </c>
      <c r="M18" s="15">
        <v>571</v>
      </c>
      <c r="N18" s="15">
        <v>372</v>
      </c>
      <c r="O18" s="15">
        <v>357100</v>
      </c>
      <c r="P18" s="15">
        <v>537200</v>
      </c>
    </row>
    <row r="19" spans="1:16" ht="22.5" x14ac:dyDescent="0.25">
      <c r="A19" s="11" t="s">
        <v>1878</v>
      </c>
      <c r="B19" s="13" t="s">
        <v>10</v>
      </c>
      <c r="C19" s="10" t="s">
        <v>2067</v>
      </c>
      <c r="D19" s="13" t="s">
        <v>2068</v>
      </c>
      <c r="E19" s="14" t="s">
        <v>9</v>
      </c>
      <c r="F19" s="14" t="s">
        <v>11</v>
      </c>
      <c r="G19" s="13"/>
      <c r="H19" s="14">
        <f>G19+I19</f>
        <v>7</v>
      </c>
      <c r="I19" s="14">
        <v>7</v>
      </c>
      <c r="J19" s="14">
        <v>4</v>
      </c>
      <c r="K19" s="13" t="s">
        <v>2207</v>
      </c>
      <c r="L19" s="15" t="s">
        <v>166</v>
      </c>
      <c r="M19" s="15">
        <v>519</v>
      </c>
      <c r="N19" s="15">
        <v>284</v>
      </c>
      <c r="O19" s="15">
        <v>351900</v>
      </c>
      <c r="P19" s="15">
        <v>528400</v>
      </c>
    </row>
    <row r="20" spans="1:16" x14ac:dyDescent="0.25">
      <c r="A20" s="11" t="s">
        <v>1878</v>
      </c>
      <c r="B20" s="13" t="s">
        <v>10</v>
      </c>
      <c r="C20" s="10" t="s">
        <v>2070</v>
      </c>
      <c r="D20" s="13" t="s">
        <v>2069</v>
      </c>
      <c r="E20" s="14" t="s">
        <v>12</v>
      </c>
      <c r="F20" s="14" t="s">
        <v>11</v>
      </c>
      <c r="G20" s="13"/>
      <c r="H20" s="14">
        <f>G20+I20</f>
        <v>2</v>
      </c>
      <c r="I20" s="14">
        <v>2</v>
      </c>
      <c r="J20" s="14">
        <v>2</v>
      </c>
      <c r="K20" s="13" t="s">
        <v>2201</v>
      </c>
      <c r="L20" s="15" t="s">
        <v>166</v>
      </c>
      <c r="M20" s="15">
        <v>27399</v>
      </c>
      <c r="N20" s="15">
        <v>7356</v>
      </c>
      <c r="O20" s="15">
        <v>327399</v>
      </c>
      <c r="P20" s="15">
        <v>507356</v>
      </c>
    </row>
    <row r="21" spans="1:16" x14ac:dyDescent="0.25">
      <c r="A21" s="11" t="s">
        <v>1878</v>
      </c>
      <c r="B21" s="13" t="s">
        <v>10</v>
      </c>
      <c r="C21" s="10" t="s">
        <v>2071</v>
      </c>
      <c r="D21" s="13" t="s">
        <v>1279</v>
      </c>
      <c r="E21" s="14" t="s">
        <v>9</v>
      </c>
      <c r="F21" s="14" t="s">
        <v>11</v>
      </c>
      <c r="G21" s="13"/>
      <c r="H21" s="14">
        <f>G21+I21</f>
        <v>2</v>
      </c>
      <c r="I21" s="14">
        <v>2</v>
      </c>
      <c r="J21" s="14">
        <v>2</v>
      </c>
      <c r="K21" s="13" t="s">
        <v>2180</v>
      </c>
      <c r="L21" s="15" t="s">
        <v>166</v>
      </c>
      <c r="M21" s="15">
        <v>563</v>
      </c>
      <c r="N21" s="15">
        <v>151</v>
      </c>
      <c r="O21" s="15">
        <v>356300</v>
      </c>
      <c r="P21" s="15">
        <v>515100</v>
      </c>
    </row>
    <row r="22" spans="1:16" ht="22.5" x14ac:dyDescent="0.25">
      <c r="A22" s="11" t="s">
        <v>1878</v>
      </c>
      <c r="B22" s="13" t="s">
        <v>126</v>
      </c>
      <c r="C22" s="10" t="s">
        <v>527</v>
      </c>
      <c r="D22" s="13" t="s">
        <v>528</v>
      </c>
      <c r="E22" s="14" t="s">
        <v>444</v>
      </c>
      <c r="F22" s="14" t="s">
        <v>11</v>
      </c>
      <c r="G22" s="13"/>
      <c r="H22" s="14">
        <f t="shared" si="0"/>
        <v>6</v>
      </c>
      <c r="I22" s="14">
        <v>6</v>
      </c>
      <c r="J22" s="14">
        <v>5</v>
      </c>
      <c r="K22" s="13" t="s">
        <v>2213</v>
      </c>
      <c r="L22" s="15" t="s">
        <v>445</v>
      </c>
      <c r="M22" s="15">
        <v>1603</v>
      </c>
      <c r="N22" s="15">
        <v>6355</v>
      </c>
      <c r="O22" s="15">
        <v>416030</v>
      </c>
      <c r="P22" s="15">
        <v>363550</v>
      </c>
    </row>
    <row r="23" spans="1:16" x14ac:dyDescent="0.25">
      <c r="A23" s="11" t="s">
        <v>1878</v>
      </c>
      <c r="B23" s="13" t="s">
        <v>126</v>
      </c>
      <c r="C23" s="10" t="s">
        <v>1980</v>
      </c>
      <c r="D23" s="13" t="s">
        <v>1207</v>
      </c>
      <c r="E23" s="14" t="s">
        <v>1378</v>
      </c>
      <c r="F23" s="14" t="s">
        <v>11</v>
      </c>
      <c r="G23" s="13"/>
      <c r="H23" s="14">
        <f>G23+I23</f>
        <v>1</v>
      </c>
      <c r="I23" s="14">
        <v>1</v>
      </c>
      <c r="J23" s="14">
        <v>1</v>
      </c>
      <c r="K23" s="13" t="s">
        <v>1979</v>
      </c>
      <c r="L23" s="15" t="s">
        <v>445</v>
      </c>
      <c r="M23" s="15">
        <v>499</v>
      </c>
      <c r="N23" s="15">
        <v>7320</v>
      </c>
      <c r="O23" s="15">
        <v>404990</v>
      </c>
      <c r="P23" s="15">
        <v>373200</v>
      </c>
    </row>
    <row r="24" spans="1:16" x14ac:dyDescent="0.25">
      <c r="A24" s="11" t="s">
        <v>1878</v>
      </c>
      <c r="B24" s="13" t="s">
        <v>191</v>
      </c>
      <c r="C24" s="10" t="s">
        <v>43</v>
      </c>
      <c r="D24" s="13" t="s">
        <v>1278</v>
      </c>
      <c r="E24" s="14" t="s">
        <v>43</v>
      </c>
      <c r="F24" s="14" t="s">
        <v>11</v>
      </c>
      <c r="G24" s="13">
        <v>1</v>
      </c>
      <c r="H24" s="14">
        <f>G24+I24</f>
        <v>3</v>
      </c>
      <c r="I24" s="14">
        <v>2</v>
      </c>
      <c r="J24" s="14">
        <v>3</v>
      </c>
      <c r="K24" s="13" t="s">
        <v>2312</v>
      </c>
      <c r="L24" s="15" t="s">
        <v>520</v>
      </c>
      <c r="M24" s="15">
        <v>64087</v>
      </c>
      <c r="N24" s="15">
        <v>76444</v>
      </c>
      <c r="O24" s="15">
        <v>264087</v>
      </c>
      <c r="P24" s="15">
        <v>76444</v>
      </c>
    </row>
    <row r="25" spans="1:16" ht="22.5" x14ac:dyDescent="0.25">
      <c r="A25" s="11" t="s">
        <v>1878</v>
      </c>
      <c r="B25" s="13" t="s">
        <v>191</v>
      </c>
      <c r="C25" s="10" t="s">
        <v>192</v>
      </c>
      <c r="D25" s="13" t="s">
        <v>92</v>
      </c>
      <c r="E25" s="14" t="s">
        <v>194</v>
      </c>
      <c r="F25" s="14" t="s">
        <v>11</v>
      </c>
      <c r="G25" s="13">
        <v>1</v>
      </c>
      <c r="H25" s="14">
        <f t="shared" si="0"/>
        <v>3</v>
      </c>
      <c r="I25" s="14">
        <v>2</v>
      </c>
      <c r="J25" s="14">
        <v>2</v>
      </c>
      <c r="K25" s="13" t="s">
        <v>2032</v>
      </c>
      <c r="L25" s="15" t="s">
        <v>119</v>
      </c>
      <c r="M25" s="15">
        <v>112</v>
      </c>
      <c r="N25" s="15">
        <v>30</v>
      </c>
      <c r="O25" s="15">
        <v>311200</v>
      </c>
      <c r="P25" s="15">
        <v>103000</v>
      </c>
    </row>
    <row r="26" spans="1:16" x14ac:dyDescent="0.25">
      <c r="A26" s="11" t="s">
        <v>1878</v>
      </c>
      <c r="B26" s="13" t="s">
        <v>68</v>
      </c>
      <c r="C26" s="10" t="s">
        <v>2111</v>
      </c>
      <c r="D26" s="13" t="s">
        <v>90</v>
      </c>
      <c r="E26" s="14" t="s">
        <v>2112</v>
      </c>
      <c r="F26" s="14" t="s">
        <v>11</v>
      </c>
      <c r="G26" s="13"/>
      <c r="H26" s="14">
        <f>G26+I26</f>
        <v>2</v>
      </c>
      <c r="I26" s="14">
        <v>2</v>
      </c>
      <c r="J26" s="14">
        <v>2</v>
      </c>
      <c r="K26" s="13" t="s">
        <v>2201</v>
      </c>
      <c r="L26" s="15" t="s">
        <v>697</v>
      </c>
      <c r="M26" s="15">
        <v>1694</v>
      </c>
      <c r="N26" s="15">
        <v>9185</v>
      </c>
      <c r="O26" s="15">
        <v>416940</v>
      </c>
      <c r="P26" s="15">
        <v>91850</v>
      </c>
    </row>
    <row r="27" spans="1:16" x14ac:dyDescent="0.25">
      <c r="A27" s="11" t="s">
        <v>1878</v>
      </c>
      <c r="B27" s="13" t="s">
        <v>68</v>
      </c>
      <c r="C27" s="10" t="s">
        <v>381</v>
      </c>
      <c r="D27" s="13" t="s">
        <v>20</v>
      </c>
      <c r="E27" s="14" t="s">
        <v>314</v>
      </c>
      <c r="F27" s="14" t="s">
        <v>11</v>
      </c>
      <c r="G27" s="13">
        <v>1</v>
      </c>
      <c r="H27" s="14">
        <f t="shared" si="0"/>
        <v>7</v>
      </c>
      <c r="I27" s="14">
        <v>6</v>
      </c>
      <c r="J27" s="14">
        <v>5</v>
      </c>
      <c r="K27" s="13" t="s">
        <v>2044</v>
      </c>
      <c r="L27" s="15" t="s">
        <v>110</v>
      </c>
      <c r="M27" s="15">
        <v>17</v>
      </c>
      <c r="N27" s="15">
        <v>160</v>
      </c>
      <c r="O27" s="15">
        <v>401700</v>
      </c>
      <c r="P27" s="15">
        <v>116000</v>
      </c>
    </row>
    <row r="28" spans="1:16" ht="22.5" x14ac:dyDescent="0.25">
      <c r="A28" s="11" t="s">
        <v>1878</v>
      </c>
      <c r="B28" s="13" t="s">
        <v>68</v>
      </c>
      <c r="C28" s="10" t="s">
        <v>1959</v>
      </c>
      <c r="D28" s="13" t="s">
        <v>138</v>
      </c>
      <c r="E28" s="13" t="s">
        <v>600</v>
      </c>
      <c r="F28" s="14" t="s">
        <v>11</v>
      </c>
      <c r="G28" s="13">
        <v>1</v>
      </c>
      <c r="H28" s="14">
        <f>G28+I28</f>
        <v>2</v>
      </c>
      <c r="I28" s="14">
        <v>1</v>
      </c>
      <c r="J28" s="14">
        <v>2</v>
      </c>
      <c r="K28" s="13" t="s">
        <v>2047</v>
      </c>
      <c r="L28" s="15" t="s">
        <v>145</v>
      </c>
      <c r="M28" s="15">
        <v>704</v>
      </c>
      <c r="N28" s="15">
        <v>899</v>
      </c>
      <c r="O28" s="15">
        <v>370400</v>
      </c>
      <c r="P28" s="15">
        <v>89900</v>
      </c>
    </row>
    <row r="29" spans="1:16" ht="22.5" x14ac:dyDescent="0.25">
      <c r="A29" s="11" t="s">
        <v>1878</v>
      </c>
      <c r="B29" s="13" t="s">
        <v>68</v>
      </c>
      <c r="C29" s="10" t="s">
        <v>2110</v>
      </c>
      <c r="E29" s="13" t="s">
        <v>600</v>
      </c>
      <c r="F29" s="14" t="s">
        <v>11</v>
      </c>
      <c r="G29" s="13"/>
      <c r="H29" s="14">
        <f>G29+I29</f>
        <v>3</v>
      </c>
      <c r="I29" s="14">
        <v>3</v>
      </c>
      <c r="J29" s="14">
        <v>2</v>
      </c>
      <c r="K29" s="13" t="s">
        <v>2186</v>
      </c>
      <c r="L29" s="15" t="s">
        <v>145</v>
      </c>
      <c r="M29" s="15">
        <v>693</v>
      </c>
      <c r="N29" s="15">
        <v>906</v>
      </c>
      <c r="O29" s="15">
        <v>369300</v>
      </c>
      <c r="P29" s="15">
        <v>90600</v>
      </c>
    </row>
    <row r="30" spans="1:16" ht="22.5" x14ac:dyDescent="0.25">
      <c r="A30" s="11" t="s">
        <v>1878</v>
      </c>
      <c r="B30" s="13" t="s">
        <v>68</v>
      </c>
      <c r="C30" s="10" t="s">
        <v>117</v>
      </c>
      <c r="D30" s="13" t="s">
        <v>92</v>
      </c>
      <c r="E30" s="14" t="s">
        <v>118</v>
      </c>
      <c r="F30" s="14" t="s">
        <v>11</v>
      </c>
      <c r="G30" s="13">
        <v>1</v>
      </c>
      <c r="H30" s="14">
        <f t="shared" si="0"/>
        <v>10</v>
      </c>
      <c r="I30" s="14">
        <v>9</v>
      </c>
      <c r="J30" s="14">
        <v>6</v>
      </c>
      <c r="K30" s="13" t="s">
        <v>2036</v>
      </c>
      <c r="L30" s="15" t="s">
        <v>119</v>
      </c>
      <c r="M30" s="15">
        <v>8492</v>
      </c>
      <c r="N30" s="15">
        <v>1226</v>
      </c>
      <c r="O30" s="15">
        <v>384920</v>
      </c>
      <c r="P30" s="15">
        <v>112260</v>
      </c>
    </row>
    <row r="31" spans="1:16" ht="22.5" x14ac:dyDescent="0.25">
      <c r="A31" s="11" t="s">
        <v>1878</v>
      </c>
      <c r="B31" s="13" t="s">
        <v>68</v>
      </c>
      <c r="C31" s="10" t="s">
        <v>197</v>
      </c>
      <c r="D31" s="13" t="s">
        <v>92</v>
      </c>
      <c r="E31" s="14" t="s">
        <v>198</v>
      </c>
      <c r="F31" s="14" t="s">
        <v>11</v>
      </c>
      <c r="G31" s="13">
        <v>2</v>
      </c>
      <c r="H31" s="14">
        <f t="shared" si="0"/>
        <v>3</v>
      </c>
      <c r="I31" s="14">
        <v>1</v>
      </c>
      <c r="J31" s="14">
        <v>3</v>
      </c>
      <c r="K31" s="13" t="s">
        <v>2038</v>
      </c>
      <c r="L31" s="15" t="s">
        <v>145</v>
      </c>
      <c r="M31" s="15">
        <v>6693</v>
      </c>
      <c r="N31" s="15">
        <v>8848</v>
      </c>
      <c r="O31" s="15">
        <v>366930</v>
      </c>
      <c r="P31" s="15">
        <v>88480</v>
      </c>
    </row>
    <row r="32" spans="1:16" ht="25.5" x14ac:dyDescent="0.25">
      <c r="A32" s="11" t="s">
        <v>1878</v>
      </c>
      <c r="B32" s="13" t="s">
        <v>68</v>
      </c>
      <c r="C32" s="17" t="s">
        <v>702</v>
      </c>
      <c r="D32" s="13" t="s">
        <v>26</v>
      </c>
      <c r="E32" s="13" t="s">
        <v>703</v>
      </c>
      <c r="F32" s="14" t="s">
        <v>11</v>
      </c>
      <c r="G32" s="13"/>
      <c r="H32" s="14">
        <f t="shared" si="0"/>
        <v>3</v>
      </c>
      <c r="I32" s="14">
        <v>3</v>
      </c>
      <c r="J32" s="14">
        <v>1</v>
      </c>
      <c r="K32" s="13" t="s">
        <v>349</v>
      </c>
      <c r="L32" s="15" t="s">
        <v>145</v>
      </c>
      <c r="M32" s="15">
        <v>6651</v>
      </c>
      <c r="N32" s="15">
        <v>8879</v>
      </c>
      <c r="O32" s="15">
        <v>366510</v>
      </c>
      <c r="P32" s="15">
        <v>88790</v>
      </c>
    </row>
    <row r="33" spans="1:16" x14ac:dyDescent="0.25">
      <c r="A33" s="11" t="s">
        <v>1878</v>
      </c>
      <c r="B33" s="13" t="s">
        <v>68</v>
      </c>
      <c r="C33" s="17" t="s">
        <v>2109</v>
      </c>
      <c r="D33" s="13" t="s">
        <v>401</v>
      </c>
      <c r="E33" s="13" t="s">
        <v>198</v>
      </c>
      <c r="F33" s="14" t="s">
        <v>11</v>
      </c>
      <c r="G33" s="13"/>
      <c r="H33" s="14">
        <f>G33+I33</f>
        <v>2</v>
      </c>
      <c r="I33" s="14">
        <v>2</v>
      </c>
      <c r="J33" s="14">
        <v>2</v>
      </c>
      <c r="K33" s="13" t="s">
        <v>2180</v>
      </c>
      <c r="L33" s="15" t="s">
        <v>145</v>
      </c>
      <c r="M33" s="15">
        <v>6902</v>
      </c>
      <c r="N33" s="15">
        <v>8992</v>
      </c>
      <c r="O33" s="15">
        <v>369020</v>
      </c>
      <c r="P33" s="15">
        <v>89920</v>
      </c>
    </row>
    <row r="34" spans="1:16" x14ac:dyDescent="0.25">
      <c r="A34" s="11" t="s">
        <v>1878</v>
      </c>
      <c r="B34" s="13" t="s">
        <v>68</v>
      </c>
      <c r="C34" s="10" t="s">
        <v>402</v>
      </c>
      <c r="D34" s="13" t="s">
        <v>18</v>
      </c>
      <c r="E34" s="14" t="s">
        <v>21</v>
      </c>
      <c r="F34" s="14" t="s">
        <v>11</v>
      </c>
      <c r="G34" s="13"/>
      <c r="H34" s="14">
        <f t="shared" si="0"/>
        <v>12</v>
      </c>
      <c r="I34" s="14">
        <v>12</v>
      </c>
      <c r="J34" s="14">
        <v>8</v>
      </c>
      <c r="K34" s="13" t="s">
        <v>2239</v>
      </c>
      <c r="L34" s="15" t="s">
        <v>145</v>
      </c>
      <c r="M34" s="15">
        <v>70986</v>
      </c>
      <c r="N34" s="15">
        <v>89924</v>
      </c>
      <c r="O34" s="15">
        <v>370986</v>
      </c>
      <c r="P34" s="15">
        <v>89924</v>
      </c>
    </row>
    <row r="35" spans="1:16" x14ac:dyDescent="0.25">
      <c r="A35" s="11" t="s">
        <v>1878</v>
      </c>
      <c r="B35" s="13" t="s">
        <v>68</v>
      </c>
      <c r="C35" s="10" t="s">
        <v>2196</v>
      </c>
      <c r="D35" s="13" t="s">
        <v>90</v>
      </c>
      <c r="E35" s="14" t="s">
        <v>402</v>
      </c>
      <c r="F35" s="14" t="s">
        <v>11</v>
      </c>
      <c r="G35" s="13"/>
      <c r="H35" s="14">
        <f>G35+I35</f>
        <v>1</v>
      </c>
      <c r="I35" s="14">
        <v>1</v>
      </c>
      <c r="J35" s="14">
        <v>1</v>
      </c>
      <c r="K35" s="13" t="s">
        <v>1222</v>
      </c>
      <c r="L35" s="15" t="s">
        <v>145</v>
      </c>
      <c r="M35" s="15">
        <v>70986</v>
      </c>
      <c r="N35" s="15">
        <v>89924</v>
      </c>
      <c r="O35" s="15">
        <v>370986</v>
      </c>
      <c r="P35" s="15">
        <v>89924</v>
      </c>
    </row>
    <row r="36" spans="1:16" ht="22.5" x14ac:dyDescent="0.25">
      <c r="A36" s="11" t="s">
        <v>1878</v>
      </c>
      <c r="B36" s="13" t="s">
        <v>68</v>
      </c>
      <c r="C36" s="10" t="s">
        <v>2108</v>
      </c>
      <c r="D36" s="13" t="s">
        <v>540</v>
      </c>
      <c r="E36" s="14" t="s">
        <v>314</v>
      </c>
      <c r="F36" s="14" t="s">
        <v>11</v>
      </c>
      <c r="G36" s="13"/>
      <c r="H36" s="14">
        <f>G36+I36</f>
        <v>2</v>
      </c>
      <c r="I36" s="14">
        <v>2</v>
      </c>
      <c r="J36" s="14">
        <v>2</v>
      </c>
      <c r="K36" s="13" t="s">
        <v>2180</v>
      </c>
      <c r="L36" s="15" t="s">
        <v>110</v>
      </c>
      <c r="M36" s="15">
        <v>87</v>
      </c>
      <c r="N36" s="15">
        <v>1577</v>
      </c>
      <c r="O36" s="15">
        <v>400870</v>
      </c>
      <c r="P36" s="15">
        <v>115770</v>
      </c>
    </row>
    <row r="37" spans="1:16" x14ac:dyDescent="0.25">
      <c r="A37" s="11" t="s">
        <v>1878</v>
      </c>
      <c r="B37" s="13" t="s">
        <v>209</v>
      </c>
      <c r="C37" s="10" t="s">
        <v>2083</v>
      </c>
      <c r="E37" s="14" t="s">
        <v>2084</v>
      </c>
      <c r="F37" s="14" t="s">
        <v>11</v>
      </c>
      <c r="G37" s="13"/>
      <c r="H37" s="14">
        <f t="shared" si="0"/>
        <v>2</v>
      </c>
      <c r="I37" s="14">
        <v>2</v>
      </c>
      <c r="J37" s="14">
        <v>2</v>
      </c>
      <c r="K37" s="13" t="s">
        <v>2201</v>
      </c>
      <c r="L37" s="15" t="s">
        <v>140</v>
      </c>
      <c r="M37" s="15">
        <v>885</v>
      </c>
      <c r="N37" s="15">
        <v>3087</v>
      </c>
      <c r="O37" s="15">
        <v>608850</v>
      </c>
      <c r="P37" s="15">
        <v>230870</v>
      </c>
    </row>
    <row r="38" spans="1:16" x14ac:dyDescent="0.25">
      <c r="A38" s="11" t="s">
        <v>1878</v>
      </c>
      <c r="B38" s="13" t="s">
        <v>209</v>
      </c>
      <c r="C38" s="10" t="s">
        <v>383</v>
      </c>
      <c r="D38" s="13" t="s">
        <v>20</v>
      </c>
      <c r="E38" s="14" t="s">
        <v>384</v>
      </c>
      <c r="F38" s="14" t="s">
        <v>11</v>
      </c>
      <c r="G38" s="13">
        <v>1</v>
      </c>
      <c r="H38" s="14">
        <f t="shared" si="0"/>
        <v>2</v>
      </c>
      <c r="I38" s="14">
        <v>1</v>
      </c>
      <c r="J38" s="14">
        <v>2</v>
      </c>
      <c r="K38" s="13" t="s">
        <v>2019</v>
      </c>
      <c r="L38" s="15" t="s">
        <v>177</v>
      </c>
      <c r="M38" s="15">
        <v>7252</v>
      </c>
      <c r="N38" s="15">
        <v>666</v>
      </c>
      <c r="O38" s="15">
        <v>572520</v>
      </c>
      <c r="P38" s="15">
        <v>206660</v>
      </c>
    </row>
    <row r="39" spans="1:16" ht="22.5" x14ac:dyDescent="0.25">
      <c r="A39" s="11" t="s">
        <v>1878</v>
      </c>
      <c r="B39" s="13" t="s">
        <v>64</v>
      </c>
      <c r="C39" s="10" t="s">
        <v>195</v>
      </c>
      <c r="D39" s="13" t="s">
        <v>92</v>
      </c>
      <c r="E39" s="14" t="s">
        <v>69</v>
      </c>
      <c r="F39" s="14" t="s">
        <v>11</v>
      </c>
      <c r="G39" s="13">
        <v>1</v>
      </c>
      <c r="H39" s="14">
        <f t="shared" si="0"/>
        <v>2</v>
      </c>
      <c r="I39" s="14">
        <v>1</v>
      </c>
      <c r="J39" s="14">
        <v>2</v>
      </c>
      <c r="K39" s="13" t="s">
        <v>2032</v>
      </c>
      <c r="L39" s="15" t="s">
        <v>113</v>
      </c>
      <c r="M39" s="15">
        <v>9265</v>
      </c>
      <c r="N39" s="15">
        <v>1610</v>
      </c>
      <c r="O39" s="15">
        <v>392650</v>
      </c>
      <c r="P39" s="15">
        <v>216100</v>
      </c>
    </row>
    <row r="40" spans="1:16" x14ac:dyDescent="0.25">
      <c r="A40" s="11" t="s">
        <v>1878</v>
      </c>
      <c r="B40" s="13" t="s">
        <v>64</v>
      </c>
      <c r="C40" s="10" t="s">
        <v>1117</v>
      </c>
      <c r="D40" s="13" t="s">
        <v>26</v>
      </c>
      <c r="E40" s="14" t="s">
        <v>69</v>
      </c>
      <c r="F40" s="14" t="s">
        <v>11</v>
      </c>
      <c r="G40" s="13">
        <v>1</v>
      </c>
      <c r="H40" s="14">
        <f t="shared" si="0"/>
        <v>2</v>
      </c>
      <c r="I40" s="14">
        <v>1</v>
      </c>
      <c r="J40" s="14">
        <v>2</v>
      </c>
      <c r="K40" s="13" t="s">
        <v>1993</v>
      </c>
      <c r="L40" s="15" t="s">
        <v>111</v>
      </c>
      <c r="M40" s="15">
        <v>72</v>
      </c>
      <c r="N40" s="15">
        <v>188</v>
      </c>
      <c r="O40" s="15">
        <v>407200</v>
      </c>
      <c r="P40" s="15">
        <v>218800</v>
      </c>
    </row>
    <row r="41" spans="1:16" x14ac:dyDescent="0.25">
      <c r="A41" s="11" t="s">
        <v>1878</v>
      </c>
      <c r="B41" s="13" t="s">
        <v>261</v>
      </c>
      <c r="C41" s="10" t="s">
        <v>602</v>
      </c>
      <c r="D41" s="13" t="s">
        <v>39</v>
      </c>
      <c r="E41" s="14" t="s">
        <v>601</v>
      </c>
      <c r="F41" s="14" t="s">
        <v>11</v>
      </c>
      <c r="G41" s="13"/>
      <c r="H41" s="14">
        <f t="shared" ref="H41:H85" si="1">G41+I41</f>
        <v>2</v>
      </c>
      <c r="I41" s="14">
        <v>2</v>
      </c>
      <c r="J41" s="14">
        <v>1</v>
      </c>
      <c r="K41" s="13" t="s">
        <v>868</v>
      </c>
      <c r="L41" s="15" t="s">
        <v>110</v>
      </c>
      <c r="M41" s="15">
        <v>48</v>
      </c>
      <c r="N41" s="15">
        <v>209</v>
      </c>
      <c r="O41" s="15">
        <v>404800</v>
      </c>
      <c r="P41" s="15">
        <v>120900</v>
      </c>
    </row>
    <row r="42" spans="1:16" ht="22.5" x14ac:dyDescent="0.25">
      <c r="A42" s="11" t="s">
        <v>1878</v>
      </c>
      <c r="B42" s="13" t="s">
        <v>705</v>
      </c>
      <c r="C42" s="10" t="s">
        <v>2003</v>
      </c>
      <c r="D42" s="13" t="s">
        <v>215</v>
      </c>
      <c r="E42" s="13" t="s">
        <v>2004</v>
      </c>
      <c r="F42" s="14" t="s">
        <v>11</v>
      </c>
      <c r="G42" s="13"/>
      <c r="H42" s="14">
        <f t="shared" si="1"/>
        <v>2</v>
      </c>
      <c r="I42" s="14">
        <v>2</v>
      </c>
      <c r="J42" s="14">
        <v>1</v>
      </c>
      <c r="K42" s="13" t="s">
        <v>173</v>
      </c>
      <c r="L42" s="15" t="s">
        <v>108</v>
      </c>
      <c r="M42" s="15">
        <v>116</v>
      </c>
      <c r="N42" s="15">
        <v>931</v>
      </c>
      <c r="O42" s="15">
        <v>511600</v>
      </c>
      <c r="P42" s="15">
        <v>193100</v>
      </c>
    </row>
    <row r="43" spans="1:16" ht="33.75" x14ac:dyDescent="0.25">
      <c r="A43" s="11" t="s">
        <v>1878</v>
      </c>
      <c r="B43" s="13" t="s">
        <v>283</v>
      </c>
      <c r="C43" s="10" t="s">
        <v>1954</v>
      </c>
      <c r="D43" s="13" t="s">
        <v>1955</v>
      </c>
      <c r="E43" s="14" t="s">
        <v>1956</v>
      </c>
      <c r="F43" s="14" t="s">
        <v>11</v>
      </c>
      <c r="G43" s="13">
        <v>1</v>
      </c>
      <c r="H43" s="14">
        <f t="shared" si="1"/>
        <v>3</v>
      </c>
      <c r="I43" s="14">
        <v>2</v>
      </c>
      <c r="J43" s="14">
        <v>2</v>
      </c>
      <c r="K43" s="13" t="s">
        <v>2037</v>
      </c>
      <c r="L43" s="15" t="s">
        <v>477</v>
      </c>
      <c r="M43" s="15">
        <v>3615</v>
      </c>
      <c r="N43" s="15">
        <v>6457</v>
      </c>
      <c r="O43" s="15">
        <v>636150</v>
      </c>
      <c r="P43" s="15">
        <v>164570</v>
      </c>
    </row>
    <row r="44" spans="1:16" ht="22.5" x14ac:dyDescent="0.25">
      <c r="A44" s="11" t="s">
        <v>1878</v>
      </c>
      <c r="B44" s="13" t="s">
        <v>283</v>
      </c>
      <c r="C44" s="10" t="s">
        <v>2105</v>
      </c>
      <c r="D44" s="13" t="s">
        <v>540</v>
      </c>
      <c r="E44" s="14" t="s">
        <v>1956</v>
      </c>
      <c r="F44" s="14" t="s">
        <v>11</v>
      </c>
      <c r="G44" s="13"/>
      <c r="H44" s="14">
        <f>G44+I44</f>
        <v>2</v>
      </c>
      <c r="I44" s="14">
        <v>2</v>
      </c>
      <c r="J44" s="14">
        <v>2</v>
      </c>
      <c r="K44" s="13" t="s">
        <v>2277</v>
      </c>
      <c r="L44" s="15" t="s">
        <v>477</v>
      </c>
      <c r="M44" s="15">
        <v>2895</v>
      </c>
      <c r="N44" s="15">
        <v>6567</v>
      </c>
      <c r="O44" s="15">
        <v>628950</v>
      </c>
      <c r="P44" s="15">
        <v>165670</v>
      </c>
    </row>
    <row r="45" spans="1:16" x14ac:dyDescent="0.25">
      <c r="A45" s="11" t="s">
        <v>1878</v>
      </c>
      <c r="B45" s="13" t="s">
        <v>283</v>
      </c>
      <c r="C45" s="10" t="s">
        <v>2106</v>
      </c>
      <c r="D45" s="13" t="s">
        <v>90</v>
      </c>
      <c r="E45" s="14" t="s">
        <v>2107</v>
      </c>
      <c r="F45" s="14" t="s">
        <v>11</v>
      </c>
      <c r="G45" s="13"/>
      <c r="H45" s="14">
        <f>G45+I45</f>
        <v>2</v>
      </c>
      <c r="I45" s="14">
        <v>2</v>
      </c>
      <c r="J45" s="14">
        <v>2</v>
      </c>
      <c r="K45" s="13" t="s">
        <v>2240</v>
      </c>
      <c r="L45" s="15" t="s">
        <v>477</v>
      </c>
      <c r="M45" s="15">
        <v>293</v>
      </c>
      <c r="N45" s="15">
        <v>569</v>
      </c>
      <c r="O45" s="15">
        <v>629300</v>
      </c>
      <c r="P45" s="15">
        <v>156900</v>
      </c>
    </row>
    <row r="46" spans="1:16" x14ac:dyDescent="0.25">
      <c r="A46" s="11" t="s">
        <v>1878</v>
      </c>
      <c r="B46" s="13" t="s">
        <v>283</v>
      </c>
      <c r="C46" s="10" t="s">
        <v>1957</v>
      </c>
      <c r="D46" s="13" t="s">
        <v>1207</v>
      </c>
      <c r="E46" s="14" t="s">
        <v>1958</v>
      </c>
      <c r="F46" s="14" t="s">
        <v>11</v>
      </c>
      <c r="G46" s="13">
        <v>1</v>
      </c>
      <c r="H46" s="14">
        <f t="shared" si="1"/>
        <v>2</v>
      </c>
      <c r="I46" s="14">
        <v>1</v>
      </c>
      <c r="J46" s="14">
        <v>2</v>
      </c>
      <c r="K46" s="13" t="s">
        <v>1983</v>
      </c>
      <c r="L46" s="15" t="s">
        <v>108</v>
      </c>
      <c r="M46" s="15">
        <v>7520</v>
      </c>
      <c r="N46" s="15">
        <v>6240</v>
      </c>
      <c r="O46" s="15">
        <v>575200</v>
      </c>
      <c r="P46" s="15">
        <v>162400</v>
      </c>
    </row>
    <row r="47" spans="1:16" ht="22.5" x14ac:dyDescent="0.25">
      <c r="A47" s="11" t="s">
        <v>1878</v>
      </c>
      <c r="B47" s="13" t="s">
        <v>1933</v>
      </c>
      <c r="C47" s="10" t="s">
        <v>1934</v>
      </c>
      <c r="D47" s="13" t="s">
        <v>92</v>
      </c>
      <c r="E47" s="13" t="s">
        <v>1935</v>
      </c>
      <c r="F47" s="14" t="s">
        <v>11</v>
      </c>
      <c r="G47" s="13">
        <v>1</v>
      </c>
      <c r="H47" s="14">
        <f t="shared" si="1"/>
        <v>3</v>
      </c>
      <c r="I47" s="14">
        <v>2</v>
      </c>
      <c r="J47" s="14">
        <v>2</v>
      </c>
      <c r="K47" s="13" t="s">
        <v>2037</v>
      </c>
      <c r="L47" s="15" t="s">
        <v>111</v>
      </c>
      <c r="M47" s="15">
        <v>640</v>
      </c>
      <c r="N47" s="15">
        <v>823</v>
      </c>
      <c r="O47" s="15">
        <v>464000</v>
      </c>
      <c r="P47" s="15">
        <v>282300</v>
      </c>
    </row>
    <row r="48" spans="1:16" ht="22.5" x14ac:dyDescent="0.25">
      <c r="A48" s="11" t="s">
        <v>1878</v>
      </c>
      <c r="B48" s="13" t="s">
        <v>1933</v>
      </c>
      <c r="C48" s="10" t="s">
        <v>2244</v>
      </c>
      <c r="D48" s="13" t="s">
        <v>540</v>
      </c>
      <c r="E48" s="13" t="s">
        <v>2245</v>
      </c>
      <c r="F48" s="14" t="s">
        <v>11</v>
      </c>
      <c r="G48" s="13"/>
      <c r="H48" s="14">
        <f t="shared" si="1"/>
        <v>1</v>
      </c>
      <c r="I48" s="14">
        <v>1</v>
      </c>
      <c r="J48" s="14">
        <v>1</v>
      </c>
      <c r="K48" s="13" t="s">
        <v>1329</v>
      </c>
      <c r="L48" s="15" t="s">
        <v>445</v>
      </c>
      <c r="M48" s="15">
        <v>469</v>
      </c>
      <c r="N48" s="15">
        <v>291</v>
      </c>
      <c r="O48" s="15">
        <v>446900</v>
      </c>
      <c r="P48" s="15">
        <v>329100</v>
      </c>
    </row>
    <row r="49" spans="1:16" ht="22.5" x14ac:dyDescent="0.25">
      <c r="A49" s="11" t="s">
        <v>1878</v>
      </c>
      <c r="B49" s="13" t="s">
        <v>2314</v>
      </c>
      <c r="C49" s="10" t="s">
        <v>2315</v>
      </c>
      <c r="D49" s="13" t="s">
        <v>540</v>
      </c>
      <c r="E49" s="14" t="s">
        <v>2316</v>
      </c>
      <c r="F49" s="14" t="s">
        <v>11</v>
      </c>
      <c r="G49" s="13"/>
      <c r="H49" s="14">
        <f t="shared" si="1"/>
        <v>2</v>
      </c>
      <c r="I49" s="14">
        <v>2</v>
      </c>
      <c r="J49" s="14">
        <v>1</v>
      </c>
      <c r="K49" s="13" t="s">
        <v>2317</v>
      </c>
      <c r="L49" s="15" t="s">
        <v>175</v>
      </c>
      <c r="M49" s="15">
        <v>174</v>
      </c>
      <c r="N49" s="15">
        <v>132</v>
      </c>
      <c r="O49" s="15">
        <v>517400</v>
      </c>
      <c r="P49" s="15">
        <v>313200</v>
      </c>
    </row>
    <row r="50" spans="1:16" ht="22.5" x14ac:dyDescent="0.25">
      <c r="A50" s="11" t="s">
        <v>1878</v>
      </c>
      <c r="B50" s="13" t="s">
        <v>2091</v>
      </c>
      <c r="C50" s="10" t="s">
        <v>2092</v>
      </c>
      <c r="D50" s="13" t="s">
        <v>90</v>
      </c>
      <c r="E50" s="13" t="s">
        <v>2093</v>
      </c>
      <c r="F50" s="14" t="s">
        <v>11</v>
      </c>
      <c r="G50" s="13"/>
      <c r="H50" s="14">
        <f>G50+I50</f>
        <v>3</v>
      </c>
      <c r="I50" s="14">
        <v>3</v>
      </c>
      <c r="J50" s="14">
        <v>3</v>
      </c>
      <c r="K50" s="13" t="s">
        <v>2273</v>
      </c>
      <c r="L50" s="15" t="s">
        <v>111</v>
      </c>
      <c r="M50" s="15">
        <v>8449</v>
      </c>
      <c r="N50" s="15">
        <v>4589</v>
      </c>
      <c r="O50" s="15">
        <v>484490</v>
      </c>
      <c r="P50" s="15">
        <v>245890</v>
      </c>
    </row>
    <row r="51" spans="1:16" x14ac:dyDescent="0.25">
      <c r="A51" s="11" t="s">
        <v>1878</v>
      </c>
      <c r="B51" s="13" t="s">
        <v>78</v>
      </c>
      <c r="C51" s="10" t="s">
        <v>392</v>
      </c>
      <c r="D51" s="13" t="s">
        <v>18</v>
      </c>
      <c r="E51" s="14" t="s">
        <v>141</v>
      </c>
      <c r="F51" s="14" t="s">
        <v>11</v>
      </c>
      <c r="G51" s="13"/>
      <c r="H51" s="14">
        <f t="shared" si="1"/>
        <v>2</v>
      </c>
      <c r="I51" s="14">
        <v>2</v>
      </c>
      <c r="J51" s="14">
        <v>2</v>
      </c>
      <c r="K51" s="13" t="s">
        <v>2190</v>
      </c>
      <c r="L51" s="15" t="s">
        <v>393</v>
      </c>
      <c r="M51" s="15">
        <v>2398</v>
      </c>
      <c r="N51" s="15">
        <v>601</v>
      </c>
      <c r="O51" s="15">
        <v>623980</v>
      </c>
      <c r="P51" s="15">
        <v>306010</v>
      </c>
    </row>
    <row r="52" spans="1:16" x14ac:dyDescent="0.25">
      <c r="A52" s="11" t="s">
        <v>1878</v>
      </c>
      <c r="B52" s="13" t="s">
        <v>78</v>
      </c>
      <c r="C52" s="10" t="s">
        <v>565</v>
      </c>
      <c r="D52" s="13" t="s">
        <v>158</v>
      </c>
      <c r="E52" s="14" t="s">
        <v>566</v>
      </c>
      <c r="F52" s="14" t="s">
        <v>11</v>
      </c>
      <c r="G52" s="13"/>
      <c r="H52" s="14">
        <f t="shared" si="1"/>
        <v>2</v>
      </c>
      <c r="I52" s="14">
        <v>2</v>
      </c>
      <c r="J52" s="14">
        <v>2</v>
      </c>
      <c r="K52" s="13" t="s">
        <v>2201</v>
      </c>
      <c r="L52" s="15" t="s">
        <v>177</v>
      </c>
      <c r="M52" s="15">
        <v>81758</v>
      </c>
      <c r="N52" s="15">
        <v>89781</v>
      </c>
      <c r="O52" s="15">
        <v>581758</v>
      </c>
      <c r="P52" s="15">
        <v>289781</v>
      </c>
    </row>
    <row r="53" spans="1:16" ht="22.5" x14ac:dyDescent="0.25">
      <c r="A53" s="11" t="s">
        <v>1878</v>
      </c>
      <c r="B53" s="13" t="s">
        <v>78</v>
      </c>
      <c r="C53" s="10" t="s">
        <v>1987</v>
      </c>
      <c r="D53" s="13" t="s">
        <v>1988</v>
      </c>
      <c r="E53" s="14" t="s">
        <v>566</v>
      </c>
      <c r="F53" s="14" t="s">
        <v>11</v>
      </c>
      <c r="G53" s="13"/>
      <c r="H53" s="14">
        <f t="shared" si="1"/>
        <v>2</v>
      </c>
      <c r="I53" s="14">
        <v>2</v>
      </c>
      <c r="J53" s="14">
        <v>1</v>
      </c>
      <c r="K53" s="13" t="s">
        <v>1805</v>
      </c>
      <c r="L53" s="15" t="s">
        <v>177</v>
      </c>
      <c r="M53" s="15">
        <v>8850</v>
      </c>
      <c r="N53" s="15">
        <v>8389</v>
      </c>
      <c r="O53" s="15">
        <v>588500</v>
      </c>
      <c r="P53" s="15">
        <v>283890</v>
      </c>
    </row>
    <row r="54" spans="1:16" ht="22.5" x14ac:dyDescent="0.25">
      <c r="A54" s="11" t="s">
        <v>1878</v>
      </c>
      <c r="B54" s="13" t="s">
        <v>78</v>
      </c>
      <c r="C54" s="10" t="s">
        <v>2028</v>
      </c>
      <c r="D54" s="13" t="s">
        <v>92</v>
      </c>
      <c r="E54" s="14" t="s">
        <v>2029</v>
      </c>
      <c r="F54" s="14" t="s">
        <v>11</v>
      </c>
      <c r="G54" s="13"/>
      <c r="H54" s="14">
        <f t="shared" si="1"/>
        <v>1</v>
      </c>
      <c r="I54" s="14">
        <v>1</v>
      </c>
      <c r="J54" s="14">
        <v>1</v>
      </c>
      <c r="K54" s="13" t="s">
        <v>309</v>
      </c>
      <c r="L54" s="15" t="s">
        <v>393</v>
      </c>
      <c r="M54" s="15">
        <v>2200</v>
      </c>
      <c r="N54" s="15">
        <v>3534</v>
      </c>
      <c r="O54" s="15">
        <v>622000</v>
      </c>
      <c r="P54" s="15">
        <v>335340</v>
      </c>
    </row>
    <row r="55" spans="1:16" ht="22.5" x14ac:dyDescent="0.25">
      <c r="A55" s="11" t="s">
        <v>1878</v>
      </c>
      <c r="B55" s="13" t="s">
        <v>78</v>
      </c>
      <c r="C55" s="10" t="s">
        <v>2085</v>
      </c>
      <c r="D55" s="13" t="s">
        <v>17</v>
      </c>
      <c r="E55" s="13" t="s">
        <v>2086</v>
      </c>
      <c r="F55" s="14" t="s">
        <v>11</v>
      </c>
      <c r="G55" s="13"/>
      <c r="H55" s="14">
        <f>G55+I55</f>
        <v>2</v>
      </c>
      <c r="I55" s="14">
        <v>2</v>
      </c>
      <c r="J55" s="14">
        <v>2</v>
      </c>
      <c r="K55" s="13" t="s">
        <v>2171</v>
      </c>
      <c r="L55" s="15" t="s">
        <v>175</v>
      </c>
      <c r="M55" s="15">
        <v>7112</v>
      </c>
      <c r="N55" s="15">
        <v>4526</v>
      </c>
      <c r="O55" s="15">
        <v>571120</v>
      </c>
      <c r="P55" s="15">
        <v>345260</v>
      </c>
    </row>
    <row r="56" spans="1:16" ht="22.5" x14ac:dyDescent="0.25">
      <c r="A56" s="11" t="s">
        <v>1878</v>
      </c>
      <c r="B56" s="13" t="s">
        <v>78</v>
      </c>
      <c r="C56" s="10" t="s">
        <v>1989</v>
      </c>
      <c r="D56" s="13" t="s">
        <v>1988</v>
      </c>
      <c r="E56" s="14" t="s">
        <v>566</v>
      </c>
      <c r="F56" s="14" t="s">
        <v>11</v>
      </c>
      <c r="G56" s="13"/>
      <c r="H56" s="14">
        <f>G56+I56</f>
        <v>2</v>
      </c>
      <c r="I56" s="14">
        <v>2</v>
      </c>
      <c r="J56" s="14">
        <v>1</v>
      </c>
      <c r="K56" s="13" t="s">
        <v>1805</v>
      </c>
      <c r="L56" s="15" t="s">
        <v>175</v>
      </c>
      <c r="M56" s="15">
        <v>9818</v>
      </c>
      <c r="N56" s="15">
        <v>1965</v>
      </c>
      <c r="O56" s="15">
        <v>598180</v>
      </c>
      <c r="P56" s="15">
        <v>319650</v>
      </c>
    </row>
    <row r="57" spans="1:16" ht="22.5" x14ac:dyDescent="0.25">
      <c r="A57" s="11" t="s">
        <v>1878</v>
      </c>
      <c r="B57" s="13" t="s">
        <v>206</v>
      </c>
      <c r="C57" s="10" t="s">
        <v>207</v>
      </c>
      <c r="D57" s="13" t="s">
        <v>92</v>
      </c>
      <c r="E57" s="14" t="s">
        <v>208</v>
      </c>
      <c r="F57" s="14" t="s">
        <v>11</v>
      </c>
      <c r="G57" s="13"/>
      <c r="H57" s="14">
        <f>G57+I57</f>
        <v>1</v>
      </c>
      <c r="I57" s="14">
        <v>1</v>
      </c>
      <c r="J57" s="14">
        <v>1</v>
      </c>
      <c r="K57" s="13" t="s">
        <v>309</v>
      </c>
      <c r="L57" s="15" t="s">
        <v>111</v>
      </c>
      <c r="M57" s="15">
        <v>7362</v>
      </c>
      <c r="N57" s="15">
        <v>5923</v>
      </c>
      <c r="O57" s="15">
        <v>473620</v>
      </c>
      <c r="P57" s="15">
        <v>259230</v>
      </c>
    </row>
    <row r="58" spans="1:16" ht="22.5" x14ac:dyDescent="0.25">
      <c r="A58" s="11" t="s">
        <v>1878</v>
      </c>
      <c r="B58" s="13" t="s">
        <v>206</v>
      </c>
      <c r="C58" s="10" t="s">
        <v>1931</v>
      </c>
      <c r="D58" s="13" t="s">
        <v>1932</v>
      </c>
      <c r="E58" s="14" t="s">
        <v>208</v>
      </c>
      <c r="F58" s="14" t="s">
        <v>11</v>
      </c>
      <c r="G58" s="13">
        <v>1</v>
      </c>
      <c r="H58" s="14">
        <f t="shared" si="1"/>
        <v>2</v>
      </c>
      <c r="I58" s="14">
        <v>1</v>
      </c>
      <c r="J58" s="14">
        <v>2</v>
      </c>
      <c r="K58" s="13" t="s">
        <v>2048</v>
      </c>
      <c r="L58" s="15" t="s">
        <v>111</v>
      </c>
      <c r="M58" s="15">
        <v>7254</v>
      </c>
      <c r="N58" s="15">
        <v>6350</v>
      </c>
      <c r="O58" s="15">
        <v>472540</v>
      </c>
      <c r="P58" s="15">
        <v>263500</v>
      </c>
    </row>
    <row r="59" spans="1:16" ht="22.5" x14ac:dyDescent="0.25">
      <c r="A59" s="11" t="s">
        <v>1878</v>
      </c>
      <c r="B59" s="13" t="s">
        <v>206</v>
      </c>
      <c r="C59" s="10" t="s">
        <v>2005</v>
      </c>
      <c r="D59" s="13" t="s">
        <v>215</v>
      </c>
      <c r="E59" s="14" t="s">
        <v>2006</v>
      </c>
      <c r="F59" s="14" t="s">
        <v>11</v>
      </c>
      <c r="G59" s="13"/>
      <c r="H59" s="14">
        <f t="shared" si="1"/>
        <v>3</v>
      </c>
      <c r="I59" s="14">
        <v>3</v>
      </c>
      <c r="J59" s="14">
        <v>1</v>
      </c>
      <c r="K59" s="13" t="s">
        <v>173</v>
      </c>
      <c r="L59" s="15" t="s">
        <v>111</v>
      </c>
      <c r="M59" s="15">
        <v>8738</v>
      </c>
      <c r="N59" s="15">
        <v>6188</v>
      </c>
      <c r="O59" s="15">
        <v>487380</v>
      </c>
      <c r="P59" s="15">
        <v>261880</v>
      </c>
    </row>
    <row r="60" spans="1:16" x14ac:dyDescent="0.25">
      <c r="A60" s="11" t="s">
        <v>1878</v>
      </c>
      <c r="B60" s="13" t="s">
        <v>206</v>
      </c>
      <c r="C60" s="10" t="s">
        <v>1936</v>
      </c>
      <c r="D60" s="13" t="s">
        <v>2254</v>
      </c>
      <c r="E60" s="14" t="s">
        <v>1936</v>
      </c>
      <c r="F60" s="14" t="s">
        <v>11</v>
      </c>
      <c r="G60" s="13">
        <v>1</v>
      </c>
      <c r="H60" s="14">
        <f>G60+I60</f>
        <v>5</v>
      </c>
      <c r="I60" s="14">
        <v>4</v>
      </c>
      <c r="J60" s="14">
        <v>5</v>
      </c>
      <c r="K60" s="13" t="s">
        <v>2290</v>
      </c>
      <c r="L60" s="15" t="s">
        <v>111</v>
      </c>
      <c r="M60" s="15">
        <v>983</v>
      </c>
      <c r="N60" s="15">
        <v>725</v>
      </c>
      <c r="O60" s="15">
        <v>498300</v>
      </c>
      <c r="P60" s="15">
        <v>272500</v>
      </c>
    </row>
    <row r="61" spans="1:16" x14ac:dyDescent="0.25">
      <c r="A61" s="11" t="s">
        <v>1878</v>
      </c>
      <c r="B61" s="13" t="s">
        <v>206</v>
      </c>
      <c r="C61" s="10" t="s">
        <v>1937</v>
      </c>
      <c r="D61" s="13" t="s">
        <v>401</v>
      </c>
      <c r="E61" s="14" t="s">
        <v>1936</v>
      </c>
      <c r="F61" s="14" t="s">
        <v>11</v>
      </c>
      <c r="G61" s="13">
        <v>1</v>
      </c>
      <c r="H61" s="14">
        <f>G61+I61</f>
        <v>2</v>
      </c>
      <c r="I61" s="14">
        <v>1</v>
      </c>
      <c r="J61" s="14">
        <v>2</v>
      </c>
      <c r="K61" s="13" t="s">
        <v>2048</v>
      </c>
      <c r="L61" s="15" t="s">
        <v>111</v>
      </c>
      <c r="M61" s="15">
        <v>9757</v>
      </c>
      <c r="N61" s="15">
        <v>7248</v>
      </c>
      <c r="O61" s="15">
        <v>497570</v>
      </c>
      <c r="P61" s="15">
        <v>272480</v>
      </c>
    </row>
    <row r="62" spans="1:16" x14ac:dyDescent="0.25">
      <c r="A62" s="11" t="s">
        <v>1878</v>
      </c>
      <c r="B62" s="13" t="s">
        <v>46</v>
      </c>
      <c r="C62" s="10" t="s">
        <v>452</v>
      </c>
      <c r="D62" s="13" t="s">
        <v>18</v>
      </c>
      <c r="E62" s="14" t="s">
        <v>45</v>
      </c>
      <c r="F62" s="14" t="s">
        <v>11</v>
      </c>
      <c r="G62" s="13"/>
      <c r="H62" s="14">
        <f t="shared" si="1"/>
        <v>1</v>
      </c>
      <c r="I62" s="14">
        <v>1</v>
      </c>
      <c r="J62" s="14">
        <v>1</v>
      </c>
      <c r="K62" s="13" t="s">
        <v>502</v>
      </c>
      <c r="L62" s="15" t="s">
        <v>398</v>
      </c>
      <c r="M62" s="15">
        <v>9338</v>
      </c>
      <c r="N62" s="15">
        <v>3490</v>
      </c>
      <c r="O62" s="15">
        <v>393380</v>
      </c>
      <c r="P62" s="15">
        <v>634900</v>
      </c>
    </row>
    <row r="63" spans="1:16" x14ac:dyDescent="0.25">
      <c r="A63" s="11" t="s">
        <v>1878</v>
      </c>
      <c r="B63" s="13" t="s">
        <v>46</v>
      </c>
      <c r="C63" s="10" t="s">
        <v>2192</v>
      </c>
      <c r="D63" s="13" t="s">
        <v>18</v>
      </c>
      <c r="E63" s="14" t="s">
        <v>45</v>
      </c>
      <c r="F63" s="14" t="s">
        <v>11</v>
      </c>
      <c r="G63" s="13"/>
      <c r="H63" s="14">
        <f>G63+I63</f>
        <v>1</v>
      </c>
      <c r="I63" s="14">
        <v>1</v>
      </c>
      <c r="J63" s="14">
        <v>1</v>
      </c>
      <c r="K63" s="13" t="s">
        <v>2193</v>
      </c>
      <c r="L63" s="15" t="s">
        <v>398</v>
      </c>
      <c r="M63" s="15">
        <v>9338</v>
      </c>
      <c r="N63" s="15">
        <v>3490</v>
      </c>
      <c r="O63" s="15">
        <v>393380</v>
      </c>
      <c r="P63" s="15">
        <v>634900</v>
      </c>
    </row>
    <row r="64" spans="1:16" ht="22.5" x14ac:dyDescent="0.25">
      <c r="A64" s="11" t="s">
        <v>1878</v>
      </c>
      <c r="B64" s="13" t="s">
        <v>62</v>
      </c>
      <c r="C64" s="10" t="s">
        <v>61</v>
      </c>
      <c r="D64" s="13" t="s">
        <v>26</v>
      </c>
      <c r="E64" s="13" t="s">
        <v>101</v>
      </c>
      <c r="F64" s="14" t="s">
        <v>11</v>
      </c>
      <c r="G64" s="13">
        <v>1</v>
      </c>
      <c r="H64" s="14">
        <f t="shared" si="1"/>
        <v>2</v>
      </c>
      <c r="I64" s="14">
        <v>1</v>
      </c>
      <c r="J64" s="14">
        <v>2</v>
      </c>
      <c r="K64" s="13" t="s">
        <v>1993</v>
      </c>
      <c r="L64" s="15" t="s">
        <v>111</v>
      </c>
      <c r="M64" s="15">
        <v>3001</v>
      </c>
      <c r="N64" s="15">
        <v>1755</v>
      </c>
      <c r="O64" s="15">
        <v>430010</v>
      </c>
      <c r="P64" s="15">
        <v>217550</v>
      </c>
    </row>
    <row r="65" spans="1:17" ht="22.5" x14ac:dyDescent="0.25">
      <c r="A65" s="11" t="s">
        <v>1878</v>
      </c>
      <c r="B65" s="13" t="s">
        <v>62</v>
      </c>
      <c r="C65" s="10" t="s">
        <v>91</v>
      </c>
      <c r="D65" s="13" t="s">
        <v>92</v>
      </c>
      <c r="E65" s="13" t="s">
        <v>102</v>
      </c>
      <c r="F65" s="14" t="s">
        <v>11</v>
      </c>
      <c r="G65" s="13">
        <v>1</v>
      </c>
      <c r="H65" s="14">
        <f t="shared" si="1"/>
        <v>4</v>
      </c>
      <c r="I65" s="14">
        <v>3</v>
      </c>
      <c r="J65" s="14">
        <v>3</v>
      </c>
      <c r="K65" s="13" t="s">
        <v>2045</v>
      </c>
      <c r="L65" s="15" t="s">
        <v>110</v>
      </c>
      <c r="M65" s="15">
        <v>5109</v>
      </c>
      <c r="N65" s="15">
        <v>9828</v>
      </c>
      <c r="O65" s="15">
        <v>451090</v>
      </c>
      <c r="P65" s="15">
        <v>198280</v>
      </c>
    </row>
    <row r="66" spans="1:17" ht="22.5" x14ac:dyDescent="0.25">
      <c r="A66" s="11" t="s">
        <v>1878</v>
      </c>
      <c r="B66" s="13" t="s">
        <v>62</v>
      </c>
      <c r="C66" s="10" t="s">
        <v>354</v>
      </c>
      <c r="D66" s="13" t="s">
        <v>355</v>
      </c>
      <c r="E66" s="13" t="s">
        <v>102</v>
      </c>
      <c r="F66" s="14" t="s">
        <v>11</v>
      </c>
      <c r="G66" s="13"/>
      <c r="H66" s="14">
        <f t="shared" si="1"/>
        <v>2</v>
      </c>
      <c r="I66" s="14">
        <v>2</v>
      </c>
      <c r="J66" s="14">
        <v>1</v>
      </c>
      <c r="K66" s="13" t="s">
        <v>173</v>
      </c>
      <c r="L66" s="15" t="s">
        <v>110</v>
      </c>
      <c r="M66" s="15">
        <v>5124</v>
      </c>
      <c r="N66" s="15">
        <v>9820</v>
      </c>
      <c r="O66" s="15">
        <v>451240</v>
      </c>
      <c r="P66" s="15">
        <v>198200</v>
      </c>
    </row>
    <row r="67" spans="1:17" ht="22.5" x14ac:dyDescent="0.25">
      <c r="A67" s="11" t="s">
        <v>1878</v>
      </c>
      <c r="B67" s="13" t="s">
        <v>62</v>
      </c>
      <c r="C67" s="10" t="s">
        <v>1122</v>
      </c>
      <c r="D67" s="13" t="s">
        <v>540</v>
      </c>
      <c r="E67" s="13" t="s">
        <v>102</v>
      </c>
      <c r="F67" s="14" t="s">
        <v>11</v>
      </c>
      <c r="G67" s="13"/>
      <c r="H67" s="14">
        <f t="shared" si="1"/>
        <v>3</v>
      </c>
      <c r="I67" s="14">
        <v>3</v>
      </c>
      <c r="J67" s="14">
        <v>3</v>
      </c>
      <c r="K67" s="13" t="s">
        <v>2278</v>
      </c>
      <c r="L67" s="15" t="s">
        <v>110</v>
      </c>
      <c r="M67" s="15">
        <v>5167</v>
      </c>
      <c r="N67" s="15">
        <v>9830</v>
      </c>
      <c r="O67" s="15">
        <v>451670</v>
      </c>
      <c r="P67" s="15">
        <v>198300</v>
      </c>
    </row>
    <row r="68" spans="1:17" ht="22.5" x14ac:dyDescent="0.25">
      <c r="A68" s="11" t="s">
        <v>1878</v>
      </c>
      <c r="B68" s="13" t="s">
        <v>62</v>
      </c>
      <c r="C68" s="10" t="s">
        <v>365</v>
      </c>
      <c r="D68" s="13" t="s">
        <v>366</v>
      </c>
      <c r="E68" s="13" t="s">
        <v>364</v>
      </c>
      <c r="F68" s="14" t="s">
        <v>11</v>
      </c>
      <c r="G68" s="13"/>
      <c r="H68" s="14">
        <f t="shared" si="1"/>
        <v>2</v>
      </c>
      <c r="I68" s="14">
        <v>2</v>
      </c>
      <c r="J68" s="14">
        <v>2</v>
      </c>
      <c r="K68" s="13" t="s">
        <v>2232</v>
      </c>
      <c r="L68" s="15" t="s">
        <v>111</v>
      </c>
      <c r="M68" s="15">
        <v>411</v>
      </c>
      <c r="N68" s="15">
        <v>48</v>
      </c>
      <c r="O68" s="15">
        <v>441100</v>
      </c>
      <c r="P68" s="15">
        <v>204800</v>
      </c>
    </row>
    <row r="69" spans="1:17" ht="22.5" x14ac:dyDescent="0.25">
      <c r="A69" s="11" t="s">
        <v>1878</v>
      </c>
      <c r="B69" s="13" t="s">
        <v>62</v>
      </c>
      <c r="C69" s="10" t="s">
        <v>600</v>
      </c>
      <c r="D69" s="13" t="s">
        <v>865</v>
      </c>
      <c r="E69" s="13" t="s">
        <v>386</v>
      </c>
      <c r="F69" s="14" t="s">
        <v>11</v>
      </c>
      <c r="G69" s="13">
        <v>1</v>
      </c>
      <c r="H69" s="14">
        <f t="shared" si="1"/>
        <v>7</v>
      </c>
      <c r="I69" s="14">
        <v>6</v>
      </c>
      <c r="J69" s="14">
        <v>4</v>
      </c>
      <c r="K69" s="13" t="s">
        <v>2187</v>
      </c>
      <c r="L69" s="15" t="s">
        <v>110</v>
      </c>
      <c r="M69" s="15">
        <v>5738</v>
      </c>
      <c r="N69" s="15">
        <v>9546</v>
      </c>
      <c r="O69" s="15">
        <v>457380</v>
      </c>
      <c r="P69" s="15">
        <v>195460</v>
      </c>
    </row>
    <row r="70" spans="1:17" ht="22.5" x14ac:dyDescent="0.25">
      <c r="A70" s="11" t="s">
        <v>1878</v>
      </c>
      <c r="B70" s="13" t="s">
        <v>62</v>
      </c>
      <c r="C70" s="10" t="s">
        <v>600</v>
      </c>
      <c r="D70" s="13" t="s">
        <v>215</v>
      </c>
      <c r="E70" s="13" t="s">
        <v>386</v>
      </c>
      <c r="F70" s="14" t="s">
        <v>11</v>
      </c>
      <c r="G70" s="13"/>
      <c r="H70" s="14">
        <f>G70+I70</f>
        <v>2</v>
      </c>
      <c r="I70" s="14">
        <v>2</v>
      </c>
      <c r="J70" s="14">
        <v>1</v>
      </c>
      <c r="K70" s="13" t="s">
        <v>173</v>
      </c>
      <c r="L70" s="15" t="s">
        <v>110</v>
      </c>
      <c r="M70" s="15">
        <v>570</v>
      </c>
      <c r="N70" s="15">
        <v>957</v>
      </c>
      <c r="O70" s="15">
        <v>457000</v>
      </c>
      <c r="P70" s="15">
        <v>195700</v>
      </c>
    </row>
    <row r="71" spans="1:17" x14ac:dyDescent="0.25">
      <c r="A71" s="11" t="s">
        <v>1878</v>
      </c>
      <c r="B71" s="13" t="s">
        <v>82</v>
      </c>
      <c r="C71" s="10" t="s">
        <v>1952</v>
      </c>
      <c r="D71" s="13" t="s">
        <v>1207</v>
      </c>
      <c r="E71" s="13" t="s">
        <v>1952</v>
      </c>
      <c r="F71" s="14" t="s">
        <v>11</v>
      </c>
      <c r="G71" s="13">
        <v>1</v>
      </c>
      <c r="H71" s="14">
        <f t="shared" si="1"/>
        <v>2</v>
      </c>
      <c r="I71" s="14">
        <v>1</v>
      </c>
      <c r="J71" s="14">
        <v>2</v>
      </c>
      <c r="K71" s="13" t="s">
        <v>1983</v>
      </c>
      <c r="L71" s="15" t="s">
        <v>111</v>
      </c>
      <c r="M71" s="15">
        <v>4818</v>
      </c>
      <c r="N71" s="15">
        <v>1211</v>
      </c>
      <c r="O71" s="15">
        <v>448180</v>
      </c>
      <c r="P71" s="15">
        <v>212110</v>
      </c>
    </row>
    <row r="72" spans="1:17" x14ac:dyDescent="0.25">
      <c r="A72" s="11" t="s">
        <v>1878</v>
      </c>
      <c r="B72" s="13" t="s">
        <v>22</v>
      </c>
      <c r="C72" s="10" t="s">
        <v>1963</v>
      </c>
      <c r="D72" s="13" t="s">
        <v>188</v>
      </c>
      <c r="E72" s="14" t="s">
        <v>1964</v>
      </c>
      <c r="F72" s="14" t="s">
        <v>11</v>
      </c>
      <c r="G72" s="13">
        <v>1</v>
      </c>
      <c r="H72" s="14">
        <f t="shared" si="1"/>
        <v>2</v>
      </c>
      <c r="I72" s="14">
        <v>1</v>
      </c>
      <c r="J72" s="14">
        <v>2</v>
      </c>
      <c r="K72" s="13" t="s">
        <v>1974</v>
      </c>
      <c r="L72" s="1" t="s">
        <v>119</v>
      </c>
      <c r="M72" s="1">
        <v>4761</v>
      </c>
      <c r="N72" s="1">
        <v>5867</v>
      </c>
      <c r="O72" s="1">
        <v>347610</v>
      </c>
      <c r="P72" s="1">
        <v>158670</v>
      </c>
    </row>
    <row r="73" spans="1:17" x14ac:dyDescent="0.25">
      <c r="A73" s="11" t="s">
        <v>1878</v>
      </c>
      <c r="B73" s="13" t="s">
        <v>22</v>
      </c>
      <c r="C73" s="10" t="s">
        <v>149</v>
      </c>
      <c r="D73" s="13" t="s">
        <v>1278</v>
      </c>
      <c r="E73" s="14" t="s">
        <v>149</v>
      </c>
      <c r="F73" s="14" t="s">
        <v>11</v>
      </c>
      <c r="G73" s="13"/>
      <c r="H73" s="14">
        <f>G73+I73</f>
        <v>1</v>
      </c>
      <c r="I73" s="14">
        <v>1</v>
      </c>
      <c r="J73" s="14">
        <v>1</v>
      </c>
      <c r="K73" s="13" t="s">
        <v>1799</v>
      </c>
      <c r="L73" s="1" t="s">
        <v>119</v>
      </c>
      <c r="M73" s="1">
        <v>35170</v>
      </c>
      <c r="N73" s="1">
        <v>29909</v>
      </c>
      <c r="O73" s="1">
        <v>335170</v>
      </c>
      <c r="P73" s="1">
        <v>129909</v>
      </c>
    </row>
    <row r="74" spans="1:17" x14ac:dyDescent="0.25">
      <c r="A74" s="11" t="s">
        <v>1878</v>
      </c>
      <c r="B74" s="13" t="s">
        <v>446</v>
      </c>
      <c r="C74" s="10" t="s">
        <v>2090</v>
      </c>
      <c r="E74" s="14" t="s">
        <v>659</v>
      </c>
      <c r="F74" s="14" t="s">
        <v>11</v>
      </c>
      <c r="G74" s="13"/>
      <c r="H74" s="14">
        <f>G74+I74</f>
        <v>4</v>
      </c>
      <c r="I74" s="14">
        <v>4</v>
      </c>
      <c r="J74" s="14">
        <v>3</v>
      </c>
      <c r="K74" s="13" t="s">
        <v>2173</v>
      </c>
      <c r="L74" s="15" t="s">
        <v>445</v>
      </c>
      <c r="M74" s="15">
        <v>1971</v>
      </c>
      <c r="N74" s="15">
        <v>1624</v>
      </c>
      <c r="O74" s="15">
        <v>419710</v>
      </c>
      <c r="P74" s="15">
        <v>316240</v>
      </c>
    </row>
    <row r="75" spans="1:17" ht="25.5" x14ac:dyDescent="0.25">
      <c r="A75" s="11" t="s">
        <v>1878</v>
      </c>
      <c r="B75" s="13" t="s">
        <v>609</v>
      </c>
      <c r="C75" s="17" t="s">
        <v>2302</v>
      </c>
      <c r="D75" s="13" t="s">
        <v>39</v>
      </c>
      <c r="E75" s="14" t="s">
        <v>1377</v>
      </c>
      <c r="F75" s="14" t="s">
        <v>11</v>
      </c>
      <c r="G75" s="13"/>
      <c r="H75" s="14">
        <f t="shared" si="1"/>
        <v>2</v>
      </c>
      <c r="I75" s="14">
        <v>2</v>
      </c>
      <c r="J75" s="14">
        <v>2</v>
      </c>
      <c r="K75" s="13" t="s">
        <v>2297</v>
      </c>
      <c r="L75" s="15" t="s">
        <v>177</v>
      </c>
      <c r="M75" s="15">
        <v>711</v>
      </c>
      <c r="N75" s="15">
        <v>753</v>
      </c>
      <c r="O75" s="15">
        <v>571100</v>
      </c>
      <c r="P75" s="15">
        <v>275300</v>
      </c>
    </row>
    <row r="76" spans="1:17" ht="33.75" x14ac:dyDescent="0.25">
      <c r="A76" s="11" t="s">
        <v>1878</v>
      </c>
      <c r="B76" s="13" t="s">
        <v>609</v>
      </c>
      <c r="C76" s="10" t="s">
        <v>1927</v>
      </c>
      <c r="D76" s="13" t="s">
        <v>1928</v>
      </c>
      <c r="E76" s="14" t="s">
        <v>1929</v>
      </c>
      <c r="F76" s="14" t="s">
        <v>11</v>
      </c>
      <c r="G76" s="13">
        <v>1</v>
      </c>
      <c r="H76" s="14">
        <f t="shared" si="1"/>
        <v>5</v>
      </c>
      <c r="I76" s="14">
        <v>4</v>
      </c>
      <c r="J76" s="14">
        <v>3</v>
      </c>
      <c r="K76" s="13" t="s">
        <v>2039</v>
      </c>
      <c r="L76" s="15" t="s">
        <v>177</v>
      </c>
      <c r="M76" s="15">
        <v>8292</v>
      </c>
      <c r="N76" s="15">
        <v>6867</v>
      </c>
      <c r="O76" s="15">
        <v>582920</v>
      </c>
      <c r="P76" s="15">
        <v>268670</v>
      </c>
    </row>
    <row r="77" spans="1:17" ht="22.5" x14ac:dyDescent="0.25">
      <c r="A77" s="11" t="s">
        <v>1878</v>
      </c>
      <c r="B77" s="13" t="s">
        <v>609</v>
      </c>
      <c r="C77" s="10" t="s">
        <v>2030</v>
      </c>
      <c r="D77" s="13" t="s">
        <v>1932</v>
      </c>
      <c r="E77" s="14" t="s">
        <v>2031</v>
      </c>
      <c r="F77" s="14" t="s">
        <v>11</v>
      </c>
      <c r="G77" s="13"/>
      <c r="H77" s="14">
        <f t="shared" si="1"/>
        <v>1</v>
      </c>
      <c r="I77" s="14">
        <v>1</v>
      </c>
      <c r="J77" s="14">
        <v>1</v>
      </c>
      <c r="K77" s="13" t="s">
        <v>313</v>
      </c>
      <c r="L77" s="15" t="s">
        <v>140</v>
      </c>
      <c r="M77" s="15">
        <v>1680</v>
      </c>
      <c r="N77" s="15">
        <v>3794</v>
      </c>
      <c r="O77" s="15">
        <v>616800</v>
      </c>
      <c r="P77" s="15">
        <v>237940</v>
      </c>
      <c r="Q77" s="15"/>
    </row>
    <row r="78" spans="1:17" x14ac:dyDescent="0.25">
      <c r="A78" s="11" t="s">
        <v>1878</v>
      </c>
      <c r="B78" s="13" t="s">
        <v>609</v>
      </c>
      <c r="C78" s="10" t="s">
        <v>1376</v>
      </c>
      <c r="D78" s="13" t="s">
        <v>39</v>
      </c>
      <c r="E78" s="14" t="s">
        <v>1377</v>
      </c>
      <c r="F78" s="14" t="s">
        <v>11</v>
      </c>
      <c r="G78" s="13"/>
      <c r="H78" s="14">
        <f t="shared" si="1"/>
        <v>2</v>
      </c>
      <c r="I78" s="14">
        <v>2</v>
      </c>
      <c r="J78" s="14">
        <v>1</v>
      </c>
      <c r="K78" s="13" t="s">
        <v>1805</v>
      </c>
      <c r="L78" s="15" t="s">
        <v>111</v>
      </c>
      <c r="M78" s="15">
        <v>8222</v>
      </c>
      <c r="N78" s="15">
        <v>398</v>
      </c>
      <c r="O78" s="15">
        <v>482220</v>
      </c>
      <c r="P78" s="15">
        <v>203980</v>
      </c>
      <c r="Q78" s="15"/>
    </row>
    <row r="79" spans="1:17" x14ac:dyDescent="0.25">
      <c r="A79" s="11" t="s">
        <v>1878</v>
      </c>
      <c r="B79" s="13" t="s">
        <v>609</v>
      </c>
      <c r="C79" s="10" t="s">
        <v>2087</v>
      </c>
      <c r="D79" s="13" t="s">
        <v>39</v>
      </c>
      <c r="E79" s="14" t="s">
        <v>1369</v>
      </c>
      <c r="F79" s="14" t="s">
        <v>11</v>
      </c>
      <c r="G79" s="13"/>
      <c r="H79" s="14">
        <f>G79+I79</f>
        <v>5</v>
      </c>
      <c r="I79" s="14">
        <v>5</v>
      </c>
      <c r="J79" s="14">
        <v>2</v>
      </c>
      <c r="K79" s="13" t="s">
        <v>2237</v>
      </c>
      <c r="L79" s="15" t="s">
        <v>140</v>
      </c>
      <c r="M79" s="15">
        <v>288</v>
      </c>
      <c r="N79" s="15">
        <v>487</v>
      </c>
      <c r="O79" s="15">
        <v>628800</v>
      </c>
      <c r="P79" s="15">
        <v>248700</v>
      </c>
      <c r="Q79" s="15"/>
    </row>
    <row r="80" spans="1:17" ht="22.5" x14ac:dyDescent="0.25">
      <c r="A80" s="11" t="s">
        <v>1878</v>
      </c>
      <c r="B80" s="13" t="s">
        <v>93</v>
      </c>
      <c r="C80" s="10" t="s">
        <v>1950</v>
      </c>
      <c r="D80" s="13" t="s">
        <v>2017</v>
      </c>
      <c r="E80" s="14" t="s">
        <v>1951</v>
      </c>
      <c r="F80" s="14" t="s">
        <v>11</v>
      </c>
      <c r="G80" s="13">
        <v>1</v>
      </c>
      <c r="H80" s="14">
        <f t="shared" si="1"/>
        <v>2</v>
      </c>
      <c r="I80" s="14">
        <v>1</v>
      </c>
      <c r="J80" s="14">
        <v>2</v>
      </c>
      <c r="K80" s="13" t="s">
        <v>2018</v>
      </c>
      <c r="L80" s="15" t="s">
        <v>108</v>
      </c>
      <c r="M80" s="15">
        <v>545</v>
      </c>
      <c r="N80" s="15">
        <v>7431</v>
      </c>
      <c r="O80" s="15">
        <v>505450</v>
      </c>
      <c r="P80" s="15">
        <v>174310</v>
      </c>
      <c r="Q80" s="15"/>
    </row>
    <row r="81" spans="1:17" x14ac:dyDescent="0.25">
      <c r="A81" s="11" t="s">
        <v>1878</v>
      </c>
      <c r="B81" s="13" t="s">
        <v>93</v>
      </c>
      <c r="C81" s="10" t="s">
        <v>2102</v>
      </c>
      <c r="D81" s="13" t="s">
        <v>39</v>
      </c>
      <c r="E81" s="14" t="s">
        <v>2103</v>
      </c>
      <c r="F81" s="14" t="s">
        <v>11</v>
      </c>
      <c r="G81" s="13"/>
      <c r="H81" s="14">
        <f>G81+I81</f>
        <v>4</v>
      </c>
      <c r="I81" s="14">
        <v>4</v>
      </c>
      <c r="J81" s="14">
        <v>2</v>
      </c>
      <c r="K81" s="13" t="s">
        <v>2237</v>
      </c>
      <c r="L81" s="15" t="s">
        <v>2104</v>
      </c>
      <c r="M81" s="15">
        <v>5570</v>
      </c>
      <c r="N81" s="15">
        <v>9567</v>
      </c>
      <c r="O81" s="15">
        <v>555700</v>
      </c>
      <c r="P81" s="15">
        <v>95670</v>
      </c>
      <c r="Q81" s="15"/>
    </row>
    <row r="82" spans="1:17" ht="22.5" x14ac:dyDescent="0.25">
      <c r="A82" s="11" t="s">
        <v>1878</v>
      </c>
      <c r="B82" s="13" t="s">
        <v>93</v>
      </c>
      <c r="C82" s="10" t="s">
        <v>1953</v>
      </c>
      <c r="D82" s="13" t="s">
        <v>92</v>
      </c>
      <c r="E82" s="14" t="s">
        <v>112</v>
      </c>
      <c r="F82" s="14" t="s">
        <v>11</v>
      </c>
      <c r="G82" s="13">
        <v>1</v>
      </c>
      <c r="H82" s="14">
        <f>G82+I82</f>
        <v>2</v>
      </c>
      <c r="I82" s="14">
        <v>1</v>
      </c>
      <c r="J82" s="14">
        <v>2</v>
      </c>
      <c r="K82" s="13" t="s">
        <v>2032</v>
      </c>
      <c r="L82" s="15" t="s">
        <v>110</v>
      </c>
      <c r="M82" s="15">
        <v>8976</v>
      </c>
      <c r="N82" s="15">
        <v>1375</v>
      </c>
      <c r="O82" s="15">
        <v>489760</v>
      </c>
      <c r="P82" s="15">
        <v>113750</v>
      </c>
      <c r="Q82" s="15"/>
    </row>
    <row r="83" spans="1:17" x14ac:dyDescent="0.25">
      <c r="A83" s="11" t="s">
        <v>1878</v>
      </c>
      <c r="B83" s="13" t="s">
        <v>50</v>
      </c>
      <c r="C83" s="10" t="s">
        <v>2081</v>
      </c>
      <c r="D83" s="13" t="s">
        <v>20</v>
      </c>
      <c r="E83" s="13" t="s">
        <v>2082</v>
      </c>
      <c r="F83" s="14" t="s">
        <v>11</v>
      </c>
      <c r="G83" s="13"/>
      <c r="H83" s="14">
        <f>G83+I83</f>
        <v>1</v>
      </c>
      <c r="I83" s="14">
        <v>1</v>
      </c>
      <c r="J83" s="14">
        <v>1</v>
      </c>
      <c r="K83" s="13" t="s">
        <v>252</v>
      </c>
      <c r="L83" s="15" t="s">
        <v>111</v>
      </c>
      <c r="M83" s="15">
        <v>442</v>
      </c>
      <c r="N83" s="15">
        <v>736</v>
      </c>
      <c r="O83" s="15">
        <v>444200</v>
      </c>
      <c r="P83" s="15">
        <v>273600</v>
      </c>
      <c r="Q83" s="15"/>
    </row>
    <row r="84" spans="1:17" x14ac:dyDescent="0.25">
      <c r="A84" s="11" t="s">
        <v>1878</v>
      </c>
      <c r="B84" s="13" t="s">
        <v>24</v>
      </c>
      <c r="C84" s="10" t="s">
        <v>589</v>
      </c>
      <c r="D84" s="13" t="s">
        <v>90</v>
      </c>
      <c r="E84" s="14" t="s">
        <v>1196</v>
      </c>
      <c r="F84" s="14" t="s">
        <v>11</v>
      </c>
      <c r="G84" s="13">
        <v>1</v>
      </c>
      <c r="H84" s="14">
        <f t="shared" si="1"/>
        <v>3</v>
      </c>
      <c r="I84" s="14">
        <v>2</v>
      </c>
      <c r="J84" s="14">
        <v>3</v>
      </c>
      <c r="K84" s="13" t="s">
        <v>2268</v>
      </c>
      <c r="L84" s="15" t="s">
        <v>110</v>
      </c>
      <c r="M84" s="15">
        <v>175</v>
      </c>
      <c r="N84" s="15">
        <v>423</v>
      </c>
      <c r="O84" s="15">
        <v>417500</v>
      </c>
      <c r="P84" s="15">
        <v>142300</v>
      </c>
      <c r="Q84" s="15"/>
    </row>
    <row r="85" spans="1:17" ht="22.5" x14ac:dyDescent="0.25">
      <c r="A85" s="11" t="s">
        <v>1878</v>
      </c>
      <c r="B85" s="13" t="s">
        <v>24</v>
      </c>
      <c r="C85" s="10" t="s">
        <v>23</v>
      </c>
      <c r="D85" s="13" t="s">
        <v>124</v>
      </c>
      <c r="E85" s="14" t="s">
        <v>21</v>
      </c>
      <c r="F85" s="14" t="s">
        <v>11</v>
      </c>
      <c r="G85" s="13">
        <v>4</v>
      </c>
      <c r="H85" s="14">
        <f t="shared" si="1"/>
        <v>12</v>
      </c>
      <c r="I85" s="14">
        <v>8</v>
      </c>
      <c r="J85" s="14">
        <v>9</v>
      </c>
      <c r="K85" s="13" t="s">
        <v>2269</v>
      </c>
      <c r="L85" s="15" t="s">
        <v>110</v>
      </c>
      <c r="M85" s="15">
        <v>1026</v>
      </c>
      <c r="N85" s="15">
        <v>6996</v>
      </c>
      <c r="O85" s="15">
        <v>410260</v>
      </c>
      <c r="P85" s="15">
        <v>169960</v>
      </c>
      <c r="Q85" s="15"/>
    </row>
    <row r="86" spans="1:17" ht="22.5" x14ac:dyDescent="0.25">
      <c r="A86" s="11" t="s">
        <v>1878</v>
      </c>
      <c r="B86" s="13" t="s">
        <v>24</v>
      </c>
      <c r="C86" s="10" t="s">
        <v>2177</v>
      </c>
      <c r="D86" s="13" t="s">
        <v>124</v>
      </c>
      <c r="E86" s="14" t="s">
        <v>23</v>
      </c>
      <c r="F86" s="14" t="s">
        <v>11</v>
      </c>
      <c r="G86" s="13"/>
      <c r="H86" s="14">
        <f>G86+I86</f>
        <v>1</v>
      </c>
      <c r="I86" s="14">
        <v>1</v>
      </c>
      <c r="J86" s="14">
        <v>1</v>
      </c>
      <c r="K86" s="13" t="s">
        <v>2178</v>
      </c>
      <c r="L86" s="15" t="s">
        <v>110</v>
      </c>
      <c r="M86" s="15">
        <v>1026</v>
      </c>
      <c r="N86" s="15">
        <v>6996</v>
      </c>
      <c r="O86" s="15">
        <v>410260</v>
      </c>
      <c r="P86" s="15">
        <v>169960</v>
      </c>
      <c r="Q86" s="15"/>
    </row>
    <row r="87" spans="1:17" ht="22.5" x14ac:dyDescent="0.25">
      <c r="A87" s="11" t="s">
        <v>1878</v>
      </c>
      <c r="B87" s="13" t="s">
        <v>24</v>
      </c>
      <c r="C87" s="10" t="s">
        <v>2175</v>
      </c>
      <c r="D87" s="13" t="s">
        <v>124</v>
      </c>
      <c r="E87" s="14" t="s">
        <v>23</v>
      </c>
      <c r="F87" s="14" t="s">
        <v>11</v>
      </c>
      <c r="G87" s="13"/>
      <c r="H87" s="14">
        <f>G87+I87</f>
        <v>1</v>
      </c>
      <c r="I87" s="14">
        <v>1</v>
      </c>
      <c r="J87" s="14">
        <v>1</v>
      </c>
      <c r="K87" s="13" t="s">
        <v>2178</v>
      </c>
      <c r="L87" s="15" t="s">
        <v>110</v>
      </c>
      <c r="M87" s="15">
        <v>1026</v>
      </c>
      <c r="N87" s="15">
        <v>6996</v>
      </c>
      <c r="O87" s="15">
        <v>410260</v>
      </c>
      <c r="P87" s="15">
        <v>169960</v>
      </c>
      <c r="Q87" s="15"/>
    </row>
    <row r="88" spans="1:17" ht="22.5" x14ac:dyDescent="0.25">
      <c r="A88" s="11" t="s">
        <v>1878</v>
      </c>
      <c r="B88" s="13" t="s">
        <v>24</v>
      </c>
      <c r="C88" s="10" t="s">
        <v>2279</v>
      </c>
      <c r="D88" s="13" t="s">
        <v>540</v>
      </c>
      <c r="E88" s="14" t="s">
        <v>21</v>
      </c>
      <c r="F88" s="14" t="s">
        <v>11</v>
      </c>
      <c r="G88" s="13"/>
      <c r="H88" s="14">
        <f t="shared" ref="H88:H125" si="2">G88+I88</f>
        <v>1</v>
      </c>
      <c r="I88" s="14">
        <v>1</v>
      </c>
      <c r="J88" s="14">
        <v>1</v>
      </c>
      <c r="K88" s="13" t="s">
        <v>2280</v>
      </c>
      <c r="L88" s="15" t="s">
        <v>110</v>
      </c>
      <c r="M88" s="15">
        <v>1190</v>
      </c>
      <c r="N88" s="15">
        <v>4280</v>
      </c>
      <c r="O88" s="15">
        <v>411900</v>
      </c>
      <c r="P88" s="15">
        <v>142800</v>
      </c>
      <c r="Q88" s="15"/>
    </row>
    <row r="89" spans="1:17" x14ac:dyDescent="0.25">
      <c r="A89" s="11" t="s">
        <v>1878</v>
      </c>
      <c r="B89" s="13" t="s">
        <v>24</v>
      </c>
      <c r="C89" s="10" t="s">
        <v>15</v>
      </c>
      <c r="D89" s="13" t="s">
        <v>18</v>
      </c>
      <c r="E89" s="14" t="s">
        <v>21</v>
      </c>
      <c r="F89" s="14" t="s">
        <v>11</v>
      </c>
      <c r="G89" s="13">
        <v>1</v>
      </c>
      <c r="H89" s="14">
        <f t="shared" si="2"/>
        <v>16</v>
      </c>
      <c r="I89" s="14">
        <v>15</v>
      </c>
      <c r="J89" s="14">
        <v>12</v>
      </c>
      <c r="K89" s="13" t="s">
        <v>2233</v>
      </c>
      <c r="L89" s="15" t="s">
        <v>110</v>
      </c>
      <c r="M89" s="15">
        <v>1501</v>
      </c>
      <c r="N89" s="15">
        <v>4375</v>
      </c>
      <c r="O89" s="15">
        <v>415010</v>
      </c>
      <c r="P89" s="15">
        <v>143750</v>
      </c>
      <c r="Q89" s="15"/>
    </row>
    <row r="90" spans="1:17" ht="22.5" x14ac:dyDescent="0.25">
      <c r="A90" s="11" t="s">
        <v>1878</v>
      </c>
      <c r="B90" s="13" t="s">
        <v>24</v>
      </c>
      <c r="C90" s="10" t="s">
        <v>2174</v>
      </c>
      <c r="D90" s="13" t="s">
        <v>18</v>
      </c>
      <c r="E90" s="13" t="s">
        <v>15</v>
      </c>
      <c r="F90" s="14" t="s">
        <v>11</v>
      </c>
      <c r="G90" s="13"/>
      <c r="H90" s="14">
        <f>G90+I90</f>
        <v>3</v>
      </c>
      <c r="I90" s="14">
        <v>3</v>
      </c>
      <c r="J90" s="14">
        <v>3</v>
      </c>
      <c r="K90" s="13" t="s">
        <v>2219</v>
      </c>
      <c r="L90" s="15" t="s">
        <v>110</v>
      </c>
      <c r="M90" s="15">
        <v>1501</v>
      </c>
      <c r="N90" s="15">
        <v>4375</v>
      </c>
      <c r="O90" s="15">
        <v>415010</v>
      </c>
      <c r="P90" s="15">
        <v>143750</v>
      </c>
      <c r="Q90" s="15"/>
    </row>
    <row r="91" spans="1:17" ht="22.5" x14ac:dyDescent="0.25">
      <c r="A91" s="11" t="s">
        <v>1878</v>
      </c>
      <c r="B91" s="13" t="s">
        <v>24</v>
      </c>
      <c r="C91" s="10" t="s">
        <v>2175</v>
      </c>
      <c r="D91" s="13" t="s">
        <v>18</v>
      </c>
      <c r="E91" s="13" t="s">
        <v>15</v>
      </c>
      <c r="F91" s="14" t="s">
        <v>11</v>
      </c>
      <c r="G91" s="13"/>
      <c r="H91" s="14">
        <f>G91+I91</f>
        <v>1</v>
      </c>
      <c r="I91" s="14">
        <v>1</v>
      </c>
      <c r="J91" s="14">
        <v>1</v>
      </c>
      <c r="K91" s="13" t="s">
        <v>887</v>
      </c>
      <c r="L91" s="15" t="s">
        <v>110</v>
      </c>
      <c r="M91" s="15">
        <v>1501</v>
      </c>
      <c r="N91" s="15">
        <v>4375</v>
      </c>
      <c r="O91" s="15">
        <v>415010</v>
      </c>
      <c r="P91" s="15">
        <v>143750</v>
      </c>
      <c r="Q91" s="15"/>
    </row>
    <row r="92" spans="1:17" ht="22.5" x14ac:dyDescent="0.25">
      <c r="A92" s="11" t="s">
        <v>1878</v>
      </c>
      <c r="B92" s="13" t="s">
        <v>24</v>
      </c>
      <c r="C92" s="10" t="s">
        <v>987</v>
      </c>
      <c r="D92" s="13" t="s">
        <v>540</v>
      </c>
      <c r="E92" s="14" t="s">
        <v>21</v>
      </c>
      <c r="F92" s="14" t="s">
        <v>11</v>
      </c>
      <c r="G92" s="13">
        <v>1</v>
      </c>
      <c r="H92" s="14">
        <f t="shared" si="2"/>
        <v>1</v>
      </c>
      <c r="J92" s="14">
        <v>1</v>
      </c>
      <c r="K92" s="13" t="s">
        <v>1535</v>
      </c>
      <c r="L92" s="15" t="s">
        <v>110</v>
      </c>
      <c r="M92" s="15">
        <v>137</v>
      </c>
      <c r="N92" s="15">
        <v>423</v>
      </c>
      <c r="O92" s="15">
        <v>413700</v>
      </c>
      <c r="P92" s="15">
        <v>142300</v>
      </c>
      <c r="Q92" s="15"/>
    </row>
    <row r="93" spans="1:17" ht="25.5" x14ac:dyDescent="0.25">
      <c r="A93" s="11" t="s">
        <v>1878</v>
      </c>
      <c r="B93" s="13" t="s">
        <v>24</v>
      </c>
      <c r="C93" s="17" t="s">
        <v>2267</v>
      </c>
      <c r="D93" s="13" t="s">
        <v>540</v>
      </c>
      <c r="E93" s="14" t="s">
        <v>21</v>
      </c>
      <c r="F93" s="14" t="s">
        <v>11</v>
      </c>
      <c r="G93" s="13">
        <v>1</v>
      </c>
      <c r="H93" s="14">
        <f t="shared" si="2"/>
        <v>3</v>
      </c>
      <c r="I93" s="14">
        <v>2</v>
      </c>
      <c r="J93" s="14">
        <v>2</v>
      </c>
      <c r="K93" s="13" t="s">
        <v>2266</v>
      </c>
      <c r="L93" s="15" t="s">
        <v>110</v>
      </c>
      <c r="M93" s="15">
        <v>116</v>
      </c>
      <c r="N93" s="15">
        <v>413</v>
      </c>
      <c r="O93" s="15">
        <v>411600</v>
      </c>
      <c r="P93" s="15">
        <v>141300</v>
      </c>
      <c r="Q93" s="15"/>
    </row>
    <row r="94" spans="1:17" ht="22.5" x14ac:dyDescent="0.25">
      <c r="A94" s="11" t="s">
        <v>1878</v>
      </c>
      <c r="B94" s="13" t="s">
        <v>24</v>
      </c>
      <c r="C94" s="10" t="s">
        <v>16</v>
      </c>
      <c r="D94" s="13" t="s">
        <v>19</v>
      </c>
      <c r="E94" s="14" t="s">
        <v>21</v>
      </c>
      <c r="F94" s="14" t="s">
        <v>11</v>
      </c>
      <c r="G94" s="13">
        <v>1</v>
      </c>
      <c r="H94" s="14">
        <f t="shared" si="2"/>
        <v>2</v>
      </c>
      <c r="I94" s="14">
        <v>1</v>
      </c>
      <c r="J94" s="14">
        <v>2</v>
      </c>
      <c r="K94" s="13" t="s">
        <v>2037</v>
      </c>
      <c r="L94" s="15" t="s">
        <v>110</v>
      </c>
      <c r="M94" s="15">
        <v>1022</v>
      </c>
      <c r="N94" s="15">
        <v>4594</v>
      </c>
      <c r="O94" s="15">
        <v>410220</v>
      </c>
      <c r="P94" s="15">
        <v>145940</v>
      </c>
      <c r="Q94" s="15"/>
    </row>
    <row r="95" spans="1:17" ht="22.5" x14ac:dyDescent="0.25">
      <c r="A95" s="11" t="s">
        <v>1878</v>
      </c>
      <c r="B95" s="13" t="s">
        <v>24</v>
      </c>
      <c r="C95" s="10" t="s">
        <v>1960</v>
      </c>
      <c r="D95" s="13" t="s">
        <v>19</v>
      </c>
      <c r="E95" s="14" t="s">
        <v>21</v>
      </c>
      <c r="F95" s="14" t="s">
        <v>11</v>
      </c>
      <c r="G95" s="13">
        <v>1</v>
      </c>
      <c r="H95" s="14">
        <f>G95+I95</f>
        <v>2</v>
      </c>
      <c r="I95" s="14">
        <v>1</v>
      </c>
      <c r="J95" s="14">
        <v>2</v>
      </c>
      <c r="K95" s="13" t="s">
        <v>2032</v>
      </c>
      <c r="L95" s="15" t="s">
        <v>110</v>
      </c>
      <c r="M95" s="15">
        <v>847</v>
      </c>
      <c r="N95" s="15">
        <v>6372</v>
      </c>
      <c r="O95" s="15">
        <v>408470</v>
      </c>
      <c r="P95" s="15">
        <v>163720</v>
      </c>
      <c r="Q95" s="15"/>
    </row>
    <row r="96" spans="1:17" ht="22.5" x14ac:dyDescent="0.25">
      <c r="A96" s="11" t="s">
        <v>1878</v>
      </c>
      <c r="B96" s="13" t="s">
        <v>24</v>
      </c>
      <c r="C96" s="10" t="s">
        <v>122</v>
      </c>
      <c r="D96" s="13" t="s">
        <v>123</v>
      </c>
      <c r="E96" s="14" t="s">
        <v>21</v>
      </c>
      <c r="F96" s="14" t="s">
        <v>11</v>
      </c>
      <c r="G96" s="13"/>
      <c r="H96" s="14">
        <f t="shared" si="2"/>
        <v>6</v>
      </c>
      <c r="I96" s="14">
        <v>6</v>
      </c>
      <c r="J96" s="14">
        <v>4</v>
      </c>
      <c r="K96" s="13" t="s">
        <v>2220</v>
      </c>
      <c r="L96" s="15" t="s">
        <v>110</v>
      </c>
      <c r="M96" s="15">
        <v>1184</v>
      </c>
      <c r="N96" s="15">
        <v>6802</v>
      </c>
      <c r="O96" s="15">
        <v>411840</v>
      </c>
      <c r="P96" s="15">
        <v>168020</v>
      </c>
      <c r="Q96" s="15"/>
    </row>
    <row r="97" spans="1:17" ht="22.5" x14ac:dyDescent="0.25">
      <c r="A97" s="11" t="s">
        <v>1878</v>
      </c>
      <c r="B97" s="13" t="s">
        <v>24</v>
      </c>
      <c r="C97" s="10" t="s">
        <v>27</v>
      </c>
      <c r="D97" s="13" t="s">
        <v>125</v>
      </c>
      <c r="E97" s="14" t="s">
        <v>21</v>
      </c>
      <c r="F97" s="14" t="s">
        <v>11</v>
      </c>
      <c r="G97" s="13"/>
      <c r="H97" s="14">
        <f t="shared" si="2"/>
        <v>4</v>
      </c>
      <c r="I97" s="14">
        <v>4</v>
      </c>
      <c r="J97" s="14">
        <v>2</v>
      </c>
      <c r="K97" s="13" t="s">
        <v>2195</v>
      </c>
      <c r="L97" s="15" t="s">
        <v>110</v>
      </c>
      <c r="M97" s="15">
        <v>1001</v>
      </c>
      <c r="N97" s="15">
        <v>6853</v>
      </c>
      <c r="O97" s="15">
        <v>410010</v>
      </c>
      <c r="P97" s="15">
        <v>168530</v>
      </c>
      <c r="Q97" s="15"/>
    </row>
    <row r="98" spans="1:17" ht="22.5" x14ac:dyDescent="0.25">
      <c r="A98" s="11" t="s">
        <v>1878</v>
      </c>
      <c r="B98" s="13" t="s">
        <v>24</v>
      </c>
      <c r="C98" s="10" t="s">
        <v>612</v>
      </c>
      <c r="D98" s="13" t="s">
        <v>540</v>
      </c>
      <c r="E98" s="14" t="s">
        <v>21</v>
      </c>
      <c r="F98" s="14" t="s">
        <v>11</v>
      </c>
      <c r="G98" s="13"/>
      <c r="H98" s="14">
        <f t="shared" si="2"/>
        <v>8</v>
      </c>
      <c r="I98" s="14">
        <v>8</v>
      </c>
      <c r="J98" s="14">
        <v>4</v>
      </c>
      <c r="K98" s="13" t="s">
        <v>2281</v>
      </c>
      <c r="L98" s="15" t="s">
        <v>110</v>
      </c>
      <c r="M98" s="15">
        <v>217</v>
      </c>
      <c r="N98" s="15">
        <v>520</v>
      </c>
      <c r="O98" s="15">
        <v>421700</v>
      </c>
      <c r="P98" s="15">
        <v>152000</v>
      </c>
      <c r="Q98" s="15"/>
    </row>
    <row r="99" spans="1:17" ht="22.5" x14ac:dyDescent="0.25">
      <c r="A99" s="11" t="s">
        <v>1878</v>
      </c>
      <c r="B99" s="13" t="s">
        <v>24</v>
      </c>
      <c r="C99" s="10" t="s">
        <v>13</v>
      </c>
      <c r="D99" s="13" t="s">
        <v>511</v>
      </c>
      <c r="E99" s="14" t="s">
        <v>21</v>
      </c>
      <c r="F99" s="14" t="s">
        <v>11</v>
      </c>
      <c r="G99" s="13">
        <v>14</v>
      </c>
      <c r="H99" s="14">
        <f t="shared" si="2"/>
        <v>39</v>
      </c>
      <c r="I99" s="14">
        <v>25</v>
      </c>
      <c r="J99" s="14">
        <v>21</v>
      </c>
      <c r="K99" s="13" t="s">
        <v>2334</v>
      </c>
      <c r="L99" s="15" t="s">
        <v>110</v>
      </c>
      <c r="M99" s="15">
        <v>1224</v>
      </c>
      <c r="N99" s="15">
        <v>4128</v>
      </c>
      <c r="O99" s="15">
        <v>412240</v>
      </c>
      <c r="P99" s="15">
        <v>141280</v>
      </c>
      <c r="Q99" s="15"/>
    </row>
    <row r="100" spans="1:17" ht="22.5" x14ac:dyDescent="0.25">
      <c r="A100" s="11" t="s">
        <v>1878</v>
      </c>
      <c r="B100" s="13" t="s">
        <v>24</v>
      </c>
      <c r="C100" s="10" t="s">
        <v>2221</v>
      </c>
      <c r="D100" s="13" t="s">
        <v>511</v>
      </c>
      <c r="E100" s="14" t="s">
        <v>21</v>
      </c>
      <c r="F100" s="14" t="s">
        <v>11</v>
      </c>
      <c r="G100" s="13"/>
      <c r="H100" s="14">
        <f>G100+I100</f>
        <v>2</v>
      </c>
      <c r="I100" s="14">
        <v>2</v>
      </c>
      <c r="J100" s="14">
        <v>2</v>
      </c>
      <c r="K100" s="13" t="s">
        <v>2222</v>
      </c>
      <c r="L100" s="15" t="s">
        <v>110</v>
      </c>
      <c r="M100" s="15">
        <v>1224</v>
      </c>
      <c r="N100" s="15">
        <v>4128</v>
      </c>
      <c r="O100" s="15">
        <v>412240</v>
      </c>
      <c r="P100" s="15">
        <v>141280</v>
      </c>
      <c r="Q100" s="15"/>
    </row>
    <row r="101" spans="1:17" x14ac:dyDescent="0.25">
      <c r="A101" s="11" t="s">
        <v>1878</v>
      </c>
      <c r="B101" s="13" t="s">
        <v>24</v>
      </c>
      <c r="C101" s="10" t="s">
        <v>1172</v>
      </c>
      <c r="D101" s="13" t="s">
        <v>1173</v>
      </c>
      <c r="E101" s="14" t="s">
        <v>21</v>
      </c>
      <c r="F101" s="14" t="s">
        <v>11</v>
      </c>
      <c r="G101" s="13"/>
      <c r="H101" s="14">
        <f t="shared" si="2"/>
        <v>2</v>
      </c>
      <c r="I101" s="14">
        <v>2</v>
      </c>
      <c r="J101" s="14">
        <v>2</v>
      </c>
      <c r="K101" s="13" t="s">
        <v>2217</v>
      </c>
      <c r="L101" s="15" t="s">
        <v>110</v>
      </c>
      <c r="M101" s="15">
        <v>1224</v>
      </c>
      <c r="N101" s="15">
        <v>4128</v>
      </c>
      <c r="O101" s="15">
        <v>412240</v>
      </c>
      <c r="P101" s="15">
        <v>141280</v>
      </c>
      <c r="Q101" s="15"/>
    </row>
    <row r="102" spans="1:17" x14ac:dyDescent="0.25">
      <c r="A102" s="11" t="s">
        <v>1878</v>
      </c>
      <c r="B102" s="13" t="s">
        <v>24</v>
      </c>
      <c r="C102" s="10" t="s">
        <v>1178</v>
      </c>
      <c r="D102" s="13" t="s">
        <v>1179</v>
      </c>
      <c r="E102" s="14" t="s">
        <v>21</v>
      </c>
      <c r="F102" s="14" t="s">
        <v>11</v>
      </c>
      <c r="G102" s="13"/>
      <c r="H102" s="14">
        <f t="shared" si="2"/>
        <v>2</v>
      </c>
      <c r="I102" s="14">
        <v>2</v>
      </c>
      <c r="J102" s="14">
        <v>2</v>
      </c>
      <c r="K102" s="13" t="s">
        <v>2217</v>
      </c>
      <c r="L102" s="15" t="s">
        <v>110</v>
      </c>
      <c r="M102" s="15">
        <v>1224</v>
      </c>
      <c r="N102" s="15">
        <v>4128</v>
      </c>
      <c r="O102" s="15">
        <v>412240</v>
      </c>
      <c r="P102" s="15">
        <v>141280</v>
      </c>
      <c r="Q102" s="15"/>
    </row>
    <row r="103" spans="1:17" x14ac:dyDescent="0.25">
      <c r="A103" s="11" t="s">
        <v>1878</v>
      </c>
      <c r="B103" s="13" t="s">
        <v>24</v>
      </c>
      <c r="C103" s="10" t="s">
        <v>1183</v>
      </c>
      <c r="D103" s="13" t="s">
        <v>1173</v>
      </c>
      <c r="E103" s="14" t="s">
        <v>21</v>
      </c>
      <c r="F103" s="14" t="s">
        <v>11</v>
      </c>
      <c r="G103" s="13"/>
      <c r="H103" s="14">
        <f t="shared" si="2"/>
        <v>1</v>
      </c>
      <c r="I103" s="14">
        <v>1</v>
      </c>
      <c r="J103" s="14">
        <v>1</v>
      </c>
      <c r="K103" s="13" t="s">
        <v>2215</v>
      </c>
      <c r="L103" s="15" t="s">
        <v>110</v>
      </c>
      <c r="M103" s="15">
        <v>1224</v>
      </c>
      <c r="N103" s="15">
        <v>4128</v>
      </c>
      <c r="O103" s="15">
        <v>412240</v>
      </c>
      <c r="P103" s="15">
        <v>141280</v>
      </c>
      <c r="Q103" s="15"/>
    </row>
    <row r="104" spans="1:17" x14ac:dyDescent="0.25">
      <c r="A104" s="11" t="s">
        <v>1878</v>
      </c>
      <c r="B104" s="13" t="s">
        <v>24</v>
      </c>
      <c r="C104" s="10" t="s">
        <v>1188</v>
      </c>
      <c r="D104" s="13" t="s">
        <v>1189</v>
      </c>
      <c r="E104" s="14" t="s">
        <v>21</v>
      </c>
      <c r="F104" s="14" t="s">
        <v>11</v>
      </c>
      <c r="G104" s="13"/>
      <c r="H104" s="14">
        <f t="shared" si="2"/>
        <v>1</v>
      </c>
      <c r="I104" s="14">
        <v>1</v>
      </c>
      <c r="J104" s="14">
        <v>1</v>
      </c>
      <c r="K104" s="13" t="s">
        <v>2216</v>
      </c>
      <c r="L104" s="15" t="s">
        <v>110</v>
      </c>
      <c r="M104" s="15">
        <v>122</v>
      </c>
      <c r="N104" s="15">
        <v>412</v>
      </c>
      <c r="O104" s="15">
        <v>412200</v>
      </c>
      <c r="P104" s="15">
        <v>141200</v>
      </c>
      <c r="Q104" s="15"/>
    </row>
    <row r="105" spans="1:17" x14ac:dyDescent="0.25">
      <c r="A105" s="11" t="s">
        <v>1878</v>
      </c>
      <c r="B105" s="13" t="s">
        <v>24</v>
      </c>
      <c r="C105" s="10" t="s">
        <v>25</v>
      </c>
      <c r="D105" s="13" t="s">
        <v>26</v>
      </c>
      <c r="E105" s="14" t="s">
        <v>21</v>
      </c>
      <c r="F105" s="14" t="s">
        <v>11</v>
      </c>
      <c r="G105" s="13"/>
      <c r="H105" s="14">
        <f t="shared" si="2"/>
        <v>2</v>
      </c>
      <c r="I105" s="14">
        <v>2</v>
      </c>
      <c r="J105" s="14">
        <v>2</v>
      </c>
      <c r="K105" s="13" t="s">
        <v>2195</v>
      </c>
      <c r="L105" s="15" t="s">
        <v>110</v>
      </c>
      <c r="M105" s="15">
        <v>1046</v>
      </c>
      <c r="N105" s="15">
        <v>6774</v>
      </c>
      <c r="O105" s="15">
        <v>410460</v>
      </c>
      <c r="P105" s="15">
        <v>167740</v>
      </c>
      <c r="Q105" s="15"/>
    </row>
    <row r="106" spans="1:17" x14ac:dyDescent="0.25">
      <c r="A106" s="11" t="s">
        <v>1878</v>
      </c>
      <c r="B106" s="13" t="s">
        <v>24</v>
      </c>
      <c r="C106" s="10" t="s">
        <v>1154</v>
      </c>
      <c r="D106" s="13" t="s">
        <v>121</v>
      </c>
      <c r="E106" s="14" t="s">
        <v>21</v>
      </c>
      <c r="F106" s="14" t="s">
        <v>11</v>
      </c>
      <c r="G106" s="13"/>
      <c r="H106" s="14">
        <f t="shared" si="2"/>
        <v>2</v>
      </c>
      <c r="I106" s="14">
        <v>2</v>
      </c>
      <c r="J106" s="14">
        <v>2</v>
      </c>
      <c r="K106" s="13" t="s">
        <v>2189</v>
      </c>
      <c r="L106" s="15" t="s">
        <v>110</v>
      </c>
      <c r="M106" s="15">
        <v>1196</v>
      </c>
      <c r="N106" s="15">
        <v>6835</v>
      </c>
      <c r="O106" s="15">
        <v>411960</v>
      </c>
      <c r="P106" s="15">
        <v>168350</v>
      </c>
      <c r="Q106" s="15"/>
    </row>
    <row r="107" spans="1:17" ht="22.5" x14ac:dyDescent="0.25">
      <c r="A107" s="11" t="s">
        <v>1878</v>
      </c>
      <c r="B107" s="13" t="s">
        <v>24</v>
      </c>
      <c r="C107" s="10" t="s">
        <v>28</v>
      </c>
      <c r="D107" s="13" t="s">
        <v>19</v>
      </c>
      <c r="E107" s="14" t="s">
        <v>21</v>
      </c>
      <c r="F107" s="14" t="s">
        <v>11</v>
      </c>
      <c r="G107" s="13">
        <v>1</v>
      </c>
      <c r="H107" s="14">
        <f t="shared" si="2"/>
        <v>4</v>
      </c>
      <c r="I107" s="14">
        <v>3</v>
      </c>
      <c r="J107" s="14">
        <v>3</v>
      </c>
      <c r="K107" s="13" t="s">
        <v>2033</v>
      </c>
      <c r="L107" s="15" t="s">
        <v>110</v>
      </c>
      <c r="M107" s="15">
        <v>86</v>
      </c>
      <c r="N107" s="15">
        <v>714</v>
      </c>
      <c r="O107" s="15">
        <v>408600</v>
      </c>
      <c r="P107" s="15">
        <v>171400</v>
      </c>
      <c r="Q107" s="15"/>
    </row>
    <row r="108" spans="1:17" x14ac:dyDescent="0.25">
      <c r="A108" s="11" t="s">
        <v>1878</v>
      </c>
      <c r="B108" s="13" t="s">
        <v>24</v>
      </c>
      <c r="C108" s="10" t="s">
        <v>14</v>
      </c>
      <c r="D108" s="13" t="s">
        <v>17</v>
      </c>
      <c r="E108" s="14" t="s">
        <v>21</v>
      </c>
      <c r="F108" s="14" t="s">
        <v>11</v>
      </c>
      <c r="G108" s="13"/>
      <c r="H108" s="14">
        <f t="shared" si="2"/>
        <v>10</v>
      </c>
      <c r="I108" s="14">
        <v>10</v>
      </c>
      <c r="J108" s="14">
        <v>8</v>
      </c>
      <c r="K108" s="13" t="s">
        <v>2227</v>
      </c>
      <c r="L108" s="15" t="s">
        <v>110</v>
      </c>
      <c r="M108" s="15">
        <v>1506</v>
      </c>
      <c r="N108" s="15">
        <v>4337</v>
      </c>
      <c r="O108" s="15">
        <v>415060</v>
      </c>
      <c r="P108" s="15">
        <v>143370</v>
      </c>
      <c r="Q108" s="15"/>
    </row>
    <row r="109" spans="1:17" x14ac:dyDescent="0.25">
      <c r="A109" s="11" t="s">
        <v>1878</v>
      </c>
      <c r="B109" s="13" t="s">
        <v>139</v>
      </c>
      <c r="C109" s="10" t="s">
        <v>454</v>
      </c>
      <c r="D109" s="13" t="s">
        <v>20</v>
      </c>
      <c r="E109" s="14" t="s">
        <v>455</v>
      </c>
      <c r="F109" s="14" t="s">
        <v>11</v>
      </c>
      <c r="G109" s="13">
        <v>1</v>
      </c>
      <c r="H109" s="14">
        <f t="shared" si="2"/>
        <v>6</v>
      </c>
      <c r="I109" s="14">
        <v>5</v>
      </c>
      <c r="J109" s="14">
        <v>4</v>
      </c>
      <c r="K109" s="13" t="s">
        <v>2025</v>
      </c>
      <c r="L109" s="15" t="s">
        <v>137</v>
      </c>
      <c r="M109" s="15">
        <v>99</v>
      </c>
      <c r="N109" s="15">
        <v>657</v>
      </c>
      <c r="O109" s="15">
        <v>509900</v>
      </c>
      <c r="P109" s="15">
        <v>465700</v>
      </c>
      <c r="Q109" s="15"/>
    </row>
    <row r="110" spans="1:17" ht="22.5" x14ac:dyDescent="0.25">
      <c r="A110" s="11" t="s">
        <v>1878</v>
      </c>
      <c r="B110" s="13" t="s">
        <v>269</v>
      </c>
      <c r="C110" s="10" t="s">
        <v>439</v>
      </c>
      <c r="D110" s="13" t="s">
        <v>440</v>
      </c>
      <c r="E110" s="14" t="s">
        <v>437</v>
      </c>
      <c r="F110" s="14" t="s">
        <v>11</v>
      </c>
      <c r="G110" s="13">
        <v>1</v>
      </c>
      <c r="H110" s="14">
        <f t="shared" si="2"/>
        <v>6</v>
      </c>
      <c r="I110" s="14">
        <v>5</v>
      </c>
      <c r="J110" s="14">
        <v>5</v>
      </c>
      <c r="K110" s="13" t="s">
        <v>2185</v>
      </c>
      <c r="L110" s="15" t="s">
        <v>271</v>
      </c>
      <c r="M110" s="15">
        <v>8804</v>
      </c>
      <c r="N110" s="15">
        <v>6688</v>
      </c>
      <c r="O110" s="15">
        <v>488040</v>
      </c>
      <c r="P110" s="15">
        <v>466880</v>
      </c>
      <c r="Q110" s="15"/>
    </row>
    <row r="111" spans="1:17" ht="22.5" x14ac:dyDescent="0.25">
      <c r="A111" s="11" t="s">
        <v>1878</v>
      </c>
      <c r="B111" s="13" t="s">
        <v>269</v>
      </c>
      <c r="C111" s="10" t="s">
        <v>2077</v>
      </c>
      <c r="D111" s="13" t="s">
        <v>18</v>
      </c>
      <c r="E111" s="13" t="s">
        <v>2078</v>
      </c>
      <c r="F111" s="14" t="s">
        <v>11</v>
      </c>
      <c r="G111" s="13"/>
      <c r="H111" s="14">
        <f t="shared" si="2"/>
        <v>7</v>
      </c>
      <c r="I111" s="14">
        <v>7</v>
      </c>
      <c r="J111" s="14">
        <v>4</v>
      </c>
      <c r="K111" s="13" t="s">
        <v>2212</v>
      </c>
      <c r="L111" s="15" t="s">
        <v>271</v>
      </c>
      <c r="M111" s="15">
        <v>2304</v>
      </c>
      <c r="N111" s="15">
        <v>9854</v>
      </c>
      <c r="O111" s="15">
        <v>423040</v>
      </c>
      <c r="P111" s="15">
        <v>498540</v>
      </c>
      <c r="Q111" s="15"/>
    </row>
    <row r="112" spans="1:17" ht="22.5" x14ac:dyDescent="0.25">
      <c r="A112" s="11" t="s">
        <v>1878</v>
      </c>
      <c r="B112" s="13" t="s">
        <v>269</v>
      </c>
      <c r="C112" s="10" t="s">
        <v>2183</v>
      </c>
      <c r="D112" s="13" t="s">
        <v>2184</v>
      </c>
      <c r="E112" s="13" t="s">
        <v>515</v>
      </c>
      <c r="F112" s="14" t="s">
        <v>11</v>
      </c>
      <c r="G112" s="13"/>
      <c r="H112" s="14">
        <f>G112+I112</f>
        <v>2</v>
      </c>
      <c r="I112" s="14">
        <v>2</v>
      </c>
      <c r="J112" s="14">
        <v>1</v>
      </c>
      <c r="K112" s="13" t="s">
        <v>1211</v>
      </c>
      <c r="L112" s="15" t="s">
        <v>271</v>
      </c>
      <c r="M112" s="15">
        <v>37906</v>
      </c>
      <c r="N112" s="15">
        <v>70522</v>
      </c>
      <c r="O112" s="15">
        <v>437906</v>
      </c>
      <c r="P112" s="15">
        <v>470522</v>
      </c>
      <c r="Q112" s="15"/>
    </row>
    <row r="113" spans="1:17" ht="22.5" x14ac:dyDescent="0.25">
      <c r="A113" s="11" t="s">
        <v>1878</v>
      </c>
      <c r="B113" s="13" t="s">
        <v>269</v>
      </c>
      <c r="C113" s="10" t="s">
        <v>2154</v>
      </c>
      <c r="D113" s="13" t="s">
        <v>2155</v>
      </c>
      <c r="E113" s="13" t="s">
        <v>630</v>
      </c>
      <c r="F113" s="14" t="s">
        <v>11</v>
      </c>
      <c r="G113" s="13"/>
      <c r="H113" s="14">
        <f t="shared" si="2"/>
        <v>2</v>
      </c>
      <c r="I113" s="14">
        <v>2</v>
      </c>
      <c r="J113" s="14">
        <v>2</v>
      </c>
      <c r="K113" s="13" t="s">
        <v>2156</v>
      </c>
      <c r="L113" s="15" t="s">
        <v>218</v>
      </c>
      <c r="M113" s="15">
        <v>944</v>
      </c>
      <c r="N113" s="15">
        <v>2</v>
      </c>
      <c r="O113" s="15">
        <v>494400</v>
      </c>
      <c r="P113" s="15">
        <v>500200</v>
      </c>
      <c r="Q113" s="15"/>
    </row>
    <row r="114" spans="1:17" ht="22.5" x14ac:dyDescent="0.25">
      <c r="A114" s="11" t="s">
        <v>1878</v>
      </c>
      <c r="B114" s="13" t="s">
        <v>269</v>
      </c>
      <c r="C114" s="10" t="s">
        <v>1922</v>
      </c>
      <c r="D114" s="13" t="s">
        <v>1923</v>
      </c>
      <c r="E114" s="14" t="s">
        <v>1924</v>
      </c>
      <c r="F114" s="14" t="s">
        <v>11</v>
      </c>
      <c r="G114" s="13">
        <v>1</v>
      </c>
      <c r="H114" s="14">
        <f t="shared" si="2"/>
        <v>2</v>
      </c>
      <c r="I114" s="14">
        <v>1</v>
      </c>
      <c r="J114" s="14">
        <v>2</v>
      </c>
      <c r="K114" s="13" t="s">
        <v>1974</v>
      </c>
      <c r="L114" s="15" t="s">
        <v>137</v>
      </c>
      <c r="M114" s="15">
        <v>2864</v>
      </c>
      <c r="N114" s="15">
        <v>80974</v>
      </c>
      <c r="O114" s="15">
        <v>502864</v>
      </c>
      <c r="P114" s="15">
        <v>480974</v>
      </c>
      <c r="Q114" s="15"/>
    </row>
    <row r="115" spans="1:17" x14ac:dyDescent="0.25">
      <c r="A115" s="11" t="s">
        <v>1878</v>
      </c>
      <c r="B115" s="13" t="s">
        <v>269</v>
      </c>
      <c r="C115" s="10" t="s">
        <v>1127</v>
      </c>
      <c r="D115" s="13" t="s">
        <v>2049</v>
      </c>
      <c r="E115" s="14" t="s">
        <v>405</v>
      </c>
      <c r="F115" s="14" t="s">
        <v>11</v>
      </c>
      <c r="G115" s="13"/>
      <c r="H115" s="14">
        <f t="shared" si="2"/>
        <v>5</v>
      </c>
      <c r="I115" s="14">
        <v>5</v>
      </c>
      <c r="J115" s="14">
        <v>4</v>
      </c>
      <c r="K115" s="13" t="s">
        <v>2218</v>
      </c>
      <c r="L115" s="15" t="s">
        <v>271</v>
      </c>
      <c r="M115" s="15">
        <v>2854</v>
      </c>
      <c r="N115" s="15">
        <v>7946</v>
      </c>
      <c r="O115" s="15">
        <v>428540</v>
      </c>
      <c r="P115" s="15">
        <v>479460</v>
      </c>
      <c r="Q115" s="15"/>
    </row>
    <row r="116" spans="1:17" ht="22.5" x14ac:dyDescent="0.25">
      <c r="A116" s="11" t="s">
        <v>1878</v>
      </c>
      <c r="B116" s="13" t="s">
        <v>269</v>
      </c>
      <c r="C116" s="10" t="s">
        <v>2007</v>
      </c>
      <c r="D116" s="13" t="s">
        <v>215</v>
      </c>
      <c r="E116" s="14" t="s">
        <v>272</v>
      </c>
      <c r="F116" s="14" t="s">
        <v>11</v>
      </c>
      <c r="G116" s="13"/>
      <c r="H116" s="14">
        <f>G116+I116</f>
        <v>4</v>
      </c>
      <c r="I116" s="14">
        <v>4</v>
      </c>
      <c r="J116" s="14">
        <v>3</v>
      </c>
      <c r="K116" s="13" t="s">
        <v>2247</v>
      </c>
      <c r="L116" s="15" t="s">
        <v>271</v>
      </c>
      <c r="M116" s="15">
        <v>9305</v>
      </c>
      <c r="N116" s="15">
        <v>7625</v>
      </c>
      <c r="O116" s="15">
        <v>493050</v>
      </c>
      <c r="P116" s="15">
        <v>476250</v>
      </c>
      <c r="Q116" s="15"/>
    </row>
    <row r="117" spans="1:17" ht="22.5" x14ac:dyDescent="0.25">
      <c r="A117" s="11" t="s">
        <v>1878</v>
      </c>
      <c r="B117" s="13" t="s">
        <v>269</v>
      </c>
      <c r="C117" s="10" t="s">
        <v>436</v>
      </c>
      <c r="D117" s="13" t="s">
        <v>438</v>
      </c>
      <c r="E117" s="14" t="s">
        <v>437</v>
      </c>
      <c r="F117" s="14" t="s">
        <v>11</v>
      </c>
      <c r="G117" s="13"/>
      <c r="H117" s="14">
        <f t="shared" si="2"/>
        <v>2</v>
      </c>
      <c r="I117" s="14">
        <v>2</v>
      </c>
      <c r="J117" s="14">
        <v>2</v>
      </c>
      <c r="K117" s="13" t="s">
        <v>504</v>
      </c>
      <c r="L117" s="15" t="s">
        <v>271</v>
      </c>
      <c r="M117" s="15">
        <v>7825</v>
      </c>
      <c r="N117" s="15">
        <v>6824</v>
      </c>
      <c r="O117" s="15">
        <v>478250</v>
      </c>
      <c r="P117" s="15">
        <v>468240</v>
      </c>
      <c r="Q117" s="15"/>
    </row>
    <row r="118" spans="1:17" x14ac:dyDescent="0.25">
      <c r="A118" s="11" t="s">
        <v>1878</v>
      </c>
      <c r="B118" s="13" t="s">
        <v>2079</v>
      </c>
      <c r="C118" s="10" t="s">
        <v>2080</v>
      </c>
      <c r="D118" s="13" t="s">
        <v>18</v>
      </c>
      <c r="E118" s="14" t="s">
        <v>2080</v>
      </c>
      <c r="F118" s="14" t="s">
        <v>11</v>
      </c>
      <c r="G118" s="13"/>
      <c r="H118" s="14">
        <f t="shared" si="2"/>
        <v>2</v>
      </c>
      <c r="I118" s="14">
        <v>2</v>
      </c>
      <c r="J118" s="14">
        <v>2</v>
      </c>
      <c r="K118" s="13" t="s">
        <v>2170</v>
      </c>
      <c r="L118" s="15" t="s">
        <v>271</v>
      </c>
      <c r="M118" s="15">
        <v>4746</v>
      </c>
      <c r="N118" s="15">
        <v>2424</v>
      </c>
      <c r="O118" s="15">
        <v>447460</v>
      </c>
      <c r="P118" s="15">
        <v>424240</v>
      </c>
      <c r="Q118" s="15"/>
    </row>
    <row r="119" spans="1:17" x14ac:dyDescent="0.25">
      <c r="A119" s="11" t="s">
        <v>1878</v>
      </c>
      <c r="B119" s="13" t="s">
        <v>718</v>
      </c>
      <c r="C119" s="10" t="s">
        <v>1965</v>
      </c>
      <c r="D119" s="13" t="s">
        <v>39</v>
      </c>
      <c r="E119" s="14" t="s">
        <v>1966</v>
      </c>
      <c r="F119" s="14" t="s">
        <v>718</v>
      </c>
      <c r="G119" s="13">
        <v>1</v>
      </c>
      <c r="H119" s="14">
        <f t="shared" si="2"/>
        <v>2</v>
      </c>
      <c r="I119" s="14">
        <v>1</v>
      </c>
      <c r="J119" s="14">
        <v>2</v>
      </c>
      <c r="K119" s="13" t="s">
        <v>1982</v>
      </c>
      <c r="L119" s="15" t="s">
        <v>740</v>
      </c>
      <c r="M119" s="15">
        <v>2602</v>
      </c>
      <c r="N119" s="15">
        <v>6960</v>
      </c>
      <c r="O119" s="15">
        <v>226020</v>
      </c>
      <c r="P119" s="15">
        <v>469600</v>
      </c>
      <c r="Q119" s="15"/>
    </row>
    <row r="120" spans="1:17" x14ac:dyDescent="0.25">
      <c r="A120" s="11" t="s">
        <v>1878</v>
      </c>
      <c r="B120" s="13" t="s">
        <v>231</v>
      </c>
      <c r="C120" s="10" t="s">
        <v>129</v>
      </c>
      <c r="D120" s="13" t="s">
        <v>1009</v>
      </c>
      <c r="E120" s="14" t="s">
        <v>232</v>
      </c>
      <c r="F120" s="14" t="s">
        <v>35</v>
      </c>
      <c r="G120" s="13">
        <v>1</v>
      </c>
      <c r="H120" s="14">
        <f t="shared" si="2"/>
        <v>1</v>
      </c>
      <c r="J120" s="14">
        <v>1</v>
      </c>
      <c r="K120" s="13" t="s">
        <v>947</v>
      </c>
      <c r="L120" s="15" t="s">
        <v>130</v>
      </c>
      <c r="M120" s="15">
        <v>7335</v>
      </c>
      <c r="N120" s="15">
        <v>9590</v>
      </c>
      <c r="O120" s="15">
        <v>373350</v>
      </c>
      <c r="P120" s="15">
        <v>795900</v>
      </c>
      <c r="Q120" s="15"/>
    </row>
    <row r="121" spans="1:17" ht="33.75" x14ac:dyDescent="0.25">
      <c r="A121" s="11" t="s">
        <v>1878</v>
      </c>
      <c r="B121" s="13" t="s">
        <v>231</v>
      </c>
      <c r="C121" s="10" t="s">
        <v>2055</v>
      </c>
      <c r="D121" s="13" t="s">
        <v>2056</v>
      </c>
      <c r="E121" s="14" t="s">
        <v>86</v>
      </c>
      <c r="F121" s="14" t="s">
        <v>35</v>
      </c>
      <c r="G121" s="13">
        <v>1</v>
      </c>
      <c r="H121" s="14">
        <f t="shared" si="2"/>
        <v>3</v>
      </c>
      <c r="I121" s="14">
        <v>2</v>
      </c>
      <c r="J121" s="14">
        <v>3</v>
      </c>
      <c r="K121" s="13" t="s">
        <v>2286</v>
      </c>
      <c r="L121" s="15" t="s">
        <v>115</v>
      </c>
      <c r="M121" s="15">
        <v>7792</v>
      </c>
      <c r="N121" s="15">
        <v>1967</v>
      </c>
      <c r="O121" s="15">
        <v>377920</v>
      </c>
      <c r="P121" s="15">
        <v>819670</v>
      </c>
      <c r="Q121" s="15"/>
    </row>
    <row r="122" spans="1:17" x14ac:dyDescent="0.25">
      <c r="A122" s="11" t="s">
        <v>1878</v>
      </c>
      <c r="B122" s="13" t="s">
        <v>231</v>
      </c>
      <c r="C122" s="10" t="s">
        <v>461</v>
      </c>
      <c r="D122" s="13" t="s">
        <v>8</v>
      </c>
      <c r="E122" s="14" t="s">
        <v>86</v>
      </c>
      <c r="F122" s="14" t="s">
        <v>35</v>
      </c>
      <c r="G122" s="13"/>
      <c r="H122" s="14">
        <f t="shared" si="2"/>
        <v>2</v>
      </c>
      <c r="I122" s="14">
        <v>2</v>
      </c>
      <c r="J122" s="14">
        <v>1</v>
      </c>
      <c r="K122" s="13" t="s">
        <v>2317</v>
      </c>
      <c r="L122" s="15" t="s">
        <v>115</v>
      </c>
      <c r="M122" s="15">
        <v>7477</v>
      </c>
      <c r="N122" s="15">
        <v>2885</v>
      </c>
      <c r="O122" s="15">
        <v>374770</v>
      </c>
      <c r="P122" s="15">
        <v>828850</v>
      </c>
      <c r="Q122" s="15"/>
    </row>
    <row r="123" spans="1:17" ht="22.5" x14ac:dyDescent="0.25">
      <c r="A123" s="11" t="s">
        <v>1878</v>
      </c>
      <c r="B123" s="13" t="s">
        <v>953</v>
      </c>
      <c r="C123" s="10" t="s">
        <v>1019</v>
      </c>
      <c r="D123" s="13" t="s">
        <v>41</v>
      </c>
      <c r="E123" s="14" t="s">
        <v>1017</v>
      </c>
      <c r="F123" s="14" t="s">
        <v>35</v>
      </c>
      <c r="G123" s="13">
        <v>1</v>
      </c>
      <c r="H123" s="14">
        <f>G123+I123</f>
        <v>2</v>
      </c>
      <c r="I123" s="14">
        <v>1</v>
      </c>
      <c r="J123" s="14">
        <v>2</v>
      </c>
      <c r="K123" s="13" t="s">
        <v>1992</v>
      </c>
      <c r="L123" s="15" t="s">
        <v>1275</v>
      </c>
      <c r="M123" s="15">
        <v>9296</v>
      </c>
      <c r="N123" s="15">
        <v>3639</v>
      </c>
      <c r="O123" s="15">
        <v>192960</v>
      </c>
      <c r="P123" s="15">
        <v>736390</v>
      </c>
      <c r="Q123" s="15"/>
    </row>
    <row r="124" spans="1:17" ht="22.5" x14ac:dyDescent="0.25">
      <c r="A124" s="11" t="s">
        <v>1878</v>
      </c>
      <c r="B124" s="13" t="s">
        <v>953</v>
      </c>
      <c r="C124" s="10" t="s">
        <v>1002</v>
      </c>
      <c r="D124" s="13" t="s">
        <v>1003</v>
      </c>
      <c r="E124" s="14" t="s">
        <v>1004</v>
      </c>
      <c r="F124" s="14" t="s">
        <v>35</v>
      </c>
      <c r="G124" s="13">
        <v>1</v>
      </c>
      <c r="H124" s="14">
        <f t="shared" si="2"/>
        <v>4</v>
      </c>
      <c r="I124" s="14">
        <v>3</v>
      </c>
      <c r="J124" s="14">
        <v>3</v>
      </c>
      <c r="K124" s="13" t="s">
        <v>2163</v>
      </c>
      <c r="L124" s="15" t="s">
        <v>956</v>
      </c>
      <c r="M124" s="15">
        <v>8263</v>
      </c>
      <c r="N124" s="15">
        <v>9782</v>
      </c>
      <c r="O124" s="15">
        <v>182630</v>
      </c>
      <c r="P124" s="15">
        <v>697820</v>
      </c>
      <c r="Q124" s="15"/>
    </row>
    <row r="125" spans="1:17" x14ac:dyDescent="0.25">
      <c r="A125" s="11" t="s">
        <v>1878</v>
      </c>
      <c r="B125" s="13" t="s">
        <v>394</v>
      </c>
      <c r="C125" s="10" t="s">
        <v>395</v>
      </c>
      <c r="D125" s="13" t="s">
        <v>401</v>
      </c>
      <c r="E125" s="14" t="s">
        <v>397</v>
      </c>
      <c r="F125" s="14" t="s">
        <v>35</v>
      </c>
      <c r="G125" s="13"/>
      <c r="H125" s="14">
        <f t="shared" si="2"/>
        <v>3</v>
      </c>
      <c r="I125" s="14">
        <v>3</v>
      </c>
      <c r="J125" s="14">
        <v>2</v>
      </c>
      <c r="K125" s="13" t="s">
        <v>2190</v>
      </c>
      <c r="L125" s="15" t="s">
        <v>398</v>
      </c>
      <c r="M125" s="15">
        <v>2057</v>
      </c>
      <c r="N125" s="15">
        <v>4029</v>
      </c>
      <c r="O125" s="15">
        <v>320570</v>
      </c>
      <c r="P125" s="15">
        <v>640290</v>
      </c>
      <c r="Q125" s="15"/>
    </row>
    <row r="126" spans="1:17" ht="22.5" x14ac:dyDescent="0.25">
      <c r="A126" s="11" t="s">
        <v>1878</v>
      </c>
      <c r="B126" s="13" t="s">
        <v>226</v>
      </c>
      <c r="C126" s="10" t="s">
        <v>2064</v>
      </c>
      <c r="D126" s="13" t="s">
        <v>2065</v>
      </c>
      <c r="E126" s="13" t="s">
        <v>228</v>
      </c>
      <c r="F126" s="14" t="s">
        <v>35</v>
      </c>
      <c r="G126" s="13"/>
      <c r="H126" s="14">
        <f t="shared" ref="H126:H161" si="3">G126+I126</f>
        <v>5</v>
      </c>
      <c r="I126" s="14">
        <v>5</v>
      </c>
      <c r="J126" s="14">
        <v>3</v>
      </c>
      <c r="K126" s="13" t="s">
        <v>2197</v>
      </c>
      <c r="L126" s="15" t="s">
        <v>229</v>
      </c>
      <c r="M126" s="15">
        <v>149245</v>
      </c>
      <c r="N126" s="15">
        <v>57403</v>
      </c>
      <c r="O126" s="15">
        <v>214924</v>
      </c>
      <c r="P126" s="15">
        <v>557403</v>
      </c>
      <c r="Q126" s="15"/>
    </row>
    <row r="127" spans="1:17" ht="22.5" x14ac:dyDescent="0.25">
      <c r="A127" s="11" t="s">
        <v>1878</v>
      </c>
      <c r="B127" s="13" t="s">
        <v>226</v>
      </c>
      <c r="C127" s="10" t="s">
        <v>963</v>
      </c>
      <c r="D127" s="13" t="s">
        <v>26</v>
      </c>
      <c r="E127" s="13" t="s">
        <v>228</v>
      </c>
      <c r="F127" s="14" t="s">
        <v>35</v>
      </c>
      <c r="G127" s="13"/>
      <c r="H127" s="14">
        <f t="shared" si="3"/>
        <v>2</v>
      </c>
      <c r="I127" s="14">
        <v>2</v>
      </c>
      <c r="J127" s="14">
        <v>1</v>
      </c>
      <c r="K127" s="13" t="s">
        <v>1810</v>
      </c>
      <c r="L127" s="15" t="s">
        <v>229</v>
      </c>
      <c r="M127" s="15">
        <v>9688</v>
      </c>
      <c r="N127" s="15">
        <v>6507</v>
      </c>
      <c r="O127" s="15">
        <v>296880</v>
      </c>
      <c r="P127" s="15">
        <v>565070</v>
      </c>
      <c r="Q127" s="15"/>
    </row>
    <row r="128" spans="1:17" x14ac:dyDescent="0.25">
      <c r="A128" s="11" t="s">
        <v>1878</v>
      </c>
      <c r="B128" s="13" t="s">
        <v>407</v>
      </c>
      <c r="C128" s="10" t="s">
        <v>409</v>
      </c>
      <c r="D128" s="13" t="s">
        <v>18</v>
      </c>
      <c r="E128" s="13" t="s">
        <v>408</v>
      </c>
      <c r="F128" s="14" t="s">
        <v>35</v>
      </c>
      <c r="G128" s="13">
        <v>1</v>
      </c>
      <c r="H128" s="14">
        <f t="shared" si="3"/>
        <v>5</v>
      </c>
      <c r="I128" s="14">
        <v>4</v>
      </c>
      <c r="J128" s="14">
        <v>5</v>
      </c>
      <c r="K128" s="13" t="s">
        <v>2194</v>
      </c>
      <c r="L128" s="15" t="s">
        <v>130</v>
      </c>
      <c r="M128" s="15">
        <v>28198</v>
      </c>
      <c r="N128" s="15">
        <v>3123</v>
      </c>
      <c r="O128" s="15">
        <v>328198</v>
      </c>
      <c r="P128" s="15">
        <v>703123</v>
      </c>
      <c r="Q128" s="15"/>
    </row>
    <row r="129" spans="1:17" ht="22.5" x14ac:dyDescent="0.25">
      <c r="A129" s="11" t="s">
        <v>1878</v>
      </c>
      <c r="B129" s="13" t="s">
        <v>676</v>
      </c>
      <c r="C129" s="10" t="s">
        <v>1917</v>
      </c>
      <c r="D129" s="13" t="s">
        <v>41</v>
      </c>
      <c r="E129" s="13" t="s">
        <v>745</v>
      </c>
      <c r="F129" s="14" t="s">
        <v>35</v>
      </c>
      <c r="G129" s="13">
        <v>1</v>
      </c>
      <c r="H129" s="14">
        <f t="shared" si="3"/>
        <v>4</v>
      </c>
      <c r="I129" s="14">
        <v>3</v>
      </c>
      <c r="J129" s="14">
        <v>3</v>
      </c>
      <c r="K129" s="13" t="s">
        <v>1995</v>
      </c>
      <c r="L129" s="15" t="s">
        <v>116</v>
      </c>
      <c r="M129" s="15">
        <v>8367</v>
      </c>
      <c r="N129" s="15">
        <v>6031</v>
      </c>
      <c r="O129" s="15">
        <v>83670</v>
      </c>
      <c r="P129" s="15">
        <v>860310</v>
      </c>
      <c r="Q129" s="15"/>
    </row>
    <row r="130" spans="1:17" x14ac:dyDescent="0.25">
      <c r="A130" s="11" t="s">
        <v>1878</v>
      </c>
      <c r="B130" s="13" t="s">
        <v>676</v>
      </c>
      <c r="C130" s="10" t="s">
        <v>1918</v>
      </c>
      <c r="D130" s="13" t="s">
        <v>39</v>
      </c>
      <c r="E130" s="13" t="s">
        <v>745</v>
      </c>
      <c r="F130" s="14" t="s">
        <v>35</v>
      </c>
      <c r="G130" s="13">
        <v>1</v>
      </c>
      <c r="H130" s="14">
        <f t="shared" si="3"/>
        <v>3</v>
      </c>
      <c r="I130" s="14">
        <v>2</v>
      </c>
      <c r="J130" s="14">
        <v>3</v>
      </c>
      <c r="K130" s="13" t="s">
        <v>1996</v>
      </c>
      <c r="L130" s="15" t="s">
        <v>116</v>
      </c>
      <c r="M130" s="15">
        <v>74696</v>
      </c>
      <c r="N130" s="15">
        <v>75332</v>
      </c>
      <c r="O130" s="15">
        <v>74696</v>
      </c>
      <c r="P130" s="15">
        <v>875332</v>
      </c>
      <c r="Q130" s="15"/>
    </row>
    <row r="131" spans="1:17" x14ac:dyDescent="0.25">
      <c r="A131" s="11" t="s">
        <v>1878</v>
      </c>
      <c r="B131" s="13" t="s">
        <v>249</v>
      </c>
      <c r="C131" s="10" t="s">
        <v>458</v>
      </c>
      <c r="D131" s="13" t="s">
        <v>8</v>
      </c>
      <c r="E131" s="14" t="s">
        <v>236</v>
      </c>
      <c r="F131" s="14" t="s">
        <v>35</v>
      </c>
      <c r="G131" s="13"/>
      <c r="H131" s="14">
        <f t="shared" si="3"/>
        <v>4</v>
      </c>
      <c r="I131" s="14">
        <v>4</v>
      </c>
      <c r="J131" s="14">
        <v>3</v>
      </c>
      <c r="K131" s="13" t="s">
        <v>2325</v>
      </c>
      <c r="L131" s="15" t="s">
        <v>460</v>
      </c>
      <c r="M131" s="15">
        <v>7576</v>
      </c>
      <c r="N131" s="15">
        <v>4447</v>
      </c>
      <c r="O131" s="15">
        <v>275760</v>
      </c>
      <c r="P131" s="15">
        <v>844470</v>
      </c>
      <c r="Q131" s="15"/>
    </row>
    <row r="132" spans="1:17" ht="22.5" x14ac:dyDescent="0.25">
      <c r="A132" s="11" t="s">
        <v>1878</v>
      </c>
      <c r="B132" s="13" t="s">
        <v>34</v>
      </c>
      <c r="C132" s="10" t="s">
        <v>33</v>
      </c>
      <c r="D132" s="13" t="s">
        <v>1278</v>
      </c>
      <c r="E132" s="13" t="s">
        <v>1070</v>
      </c>
      <c r="F132" s="14" t="s">
        <v>35</v>
      </c>
      <c r="G132" s="13">
        <v>13</v>
      </c>
      <c r="H132" s="14">
        <f t="shared" si="3"/>
        <v>21</v>
      </c>
      <c r="I132" s="14">
        <v>8</v>
      </c>
      <c r="J132" s="14">
        <v>9</v>
      </c>
      <c r="K132" s="13" t="s">
        <v>2226</v>
      </c>
      <c r="L132" s="15" t="s">
        <v>114</v>
      </c>
      <c r="M132" s="15">
        <v>57283</v>
      </c>
      <c r="N132" s="15">
        <v>5722</v>
      </c>
      <c r="O132" s="15">
        <v>353283</v>
      </c>
      <c r="P132" s="15">
        <v>1005722</v>
      </c>
      <c r="Q132" s="15"/>
    </row>
    <row r="133" spans="1:17" x14ac:dyDescent="0.25">
      <c r="A133" s="11" t="s">
        <v>1878</v>
      </c>
      <c r="B133" s="13" t="s">
        <v>34</v>
      </c>
      <c r="C133" s="10" t="s">
        <v>1041</v>
      </c>
      <c r="D133" s="13" t="s">
        <v>39</v>
      </c>
      <c r="E133" s="14" t="s">
        <v>33</v>
      </c>
      <c r="F133" s="14" t="s">
        <v>35</v>
      </c>
      <c r="G133" s="13"/>
      <c r="H133" s="14">
        <f t="shared" si="3"/>
        <v>7</v>
      </c>
      <c r="I133" s="14">
        <v>7</v>
      </c>
      <c r="J133" s="14">
        <v>6</v>
      </c>
      <c r="K133" s="13" t="s">
        <v>2144</v>
      </c>
      <c r="L133" s="15" t="s">
        <v>114</v>
      </c>
      <c r="M133" s="15">
        <v>3076</v>
      </c>
      <c r="N133" s="15">
        <v>1270</v>
      </c>
      <c r="O133" s="15">
        <v>330760</v>
      </c>
      <c r="P133" s="15">
        <v>1012700</v>
      </c>
      <c r="Q133" s="15"/>
    </row>
    <row r="134" spans="1:17" ht="22.5" x14ac:dyDescent="0.25">
      <c r="A134" s="11" t="s">
        <v>1878</v>
      </c>
      <c r="B134" s="13" t="s">
        <v>34</v>
      </c>
      <c r="C134" s="10" t="s">
        <v>1517</v>
      </c>
      <c r="D134" s="13" t="s">
        <v>41</v>
      </c>
      <c r="E134" s="14" t="s">
        <v>1052</v>
      </c>
      <c r="F134" s="14" t="s">
        <v>35</v>
      </c>
      <c r="G134" s="13"/>
      <c r="H134" s="14">
        <f>G134+I134</f>
        <v>1</v>
      </c>
      <c r="I134" s="14">
        <v>1</v>
      </c>
      <c r="J134" s="14">
        <v>1</v>
      </c>
      <c r="K134" s="13" t="s">
        <v>136</v>
      </c>
      <c r="L134" s="15" t="s">
        <v>114</v>
      </c>
      <c r="M134" s="15">
        <v>5788</v>
      </c>
      <c r="N134" s="15">
        <v>3858</v>
      </c>
      <c r="O134" s="15">
        <v>357880</v>
      </c>
      <c r="P134" s="15">
        <v>1038580</v>
      </c>
      <c r="Q134" s="15"/>
    </row>
    <row r="135" spans="1:17" x14ac:dyDescent="0.25">
      <c r="A135" s="11" t="s">
        <v>1878</v>
      </c>
      <c r="B135" s="13" t="s">
        <v>34</v>
      </c>
      <c r="C135" s="10" t="s">
        <v>2052</v>
      </c>
      <c r="D135" s="13" t="s">
        <v>39</v>
      </c>
      <c r="E135" s="14" t="s">
        <v>33</v>
      </c>
      <c r="F135" s="14" t="s">
        <v>35</v>
      </c>
      <c r="G135" s="13"/>
      <c r="H135" s="14">
        <f>G135+I135</f>
        <v>2</v>
      </c>
      <c r="I135" s="14">
        <v>2</v>
      </c>
      <c r="J135" s="14">
        <v>2</v>
      </c>
      <c r="K135" s="13" t="s">
        <v>2137</v>
      </c>
      <c r="L135" s="15" t="s">
        <v>114</v>
      </c>
      <c r="M135" s="15">
        <v>423</v>
      </c>
      <c r="N135" s="15">
        <v>137</v>
      </c>
      <c r="O135" s="15">
        <v>342300</v>
      </c>
      <c r="P135" s="15">
        <v>1013700</v>
      </c>
      <c r="Q135" s="15"/>
    </row>
    <row r="136" spans="1:17" ht="22.5" x14ac:dyDescent="0.25">
      <c r="A136" s="11" t="s">
        <v>1878</v>
      </c>
      <c r="B136" s="13" t="s">
        <v>34</v>
      </c>
      <c r="C136" s="10" t="s">
        <v>2053</v>
      </c>
      <c r="D136" s="13" t="s">
        <v>41</v>
      </c>
      <c r="E136" s="14" t="s">
        <v>33</v>
      </c>
      <c r="F136" s="14" t="s">
        <v>35</v>
      </c>
      <c r="G136" s="13"/>
      <c r="H136" s="14">
        <f>G136+I136</f>
        <v>2</v>
      </c>
      <c r="I136" s="14">
        <v>2</v>
      </c>
      <c r="J136" s="14">
        <v>2</v>
      </c>
      <c r="K136" s="13" t="s">
        <v>2137</v>
      </c>
      <c r="L136" s="15" t="s">
        <v>114</v>
      </c>
      <c r="M136" s="15">
        <v>3642</v>
      </c>
      <c r="N136" s="15">
        <v>1277</v>
      </c>
      <c r="O136" s="15">
        <v>336420</v>
      </c>
      <c r="P136" s="15">
        <v>1012770</v>
      </c>
      <c r="Q136" s="15"/>
    </row>
    <row r="137" spans="1:17" x14ac:dyDescent="0.25">
      <c r="A137" s="11" t="s">
        <v>1878</v>
      </c>
      <c r="B137" s="13" t="s">
        <v>34</v>
      </c>
      <c r="C137" s="10" t="s">
        <v>155</v>
      </c>
      <c r="D137" s="13" t="s">
        <v>1207</v>
      </c>
      <c r="E137" s="13" t="s">
        <v>156</v>
      </c>
      <c r="F137" s="14" t="s">
        <v>35</v>
      </c>
      <c r="G137" s="13">
        <v>1</v>
      </c>
      <c r="H137" s="14">
        <f t="shared" si="3"/>
        <v>5</v>
      </c>
      <c r="I137" s="14">
        <v>4</v>
      </c>
      <c r="J137" s="14">
        <v>4</v>
      </c>
      <c r="K137" s="13" t="s">
        <v>2001</v>
      </c>
      <c r="L137" s="15" t="s">
        <v>114</v>
      </c>
      <c r="M137" s="15">
        <v>4830</v>
      </c>
      <c r="N137" s="15">
        <v>5180</v>
      </c>
      <c r="O137" s="15">
        <v>348300</v>
      </c>
      <c r="P137" s="15">
        <v>1051800</v>
      </c>
      <c r="Q137" s="15"/>
    </row>
    <row r="138" spans="1:17" x14ac:dyDescent="0.25">
      <c r="A138" s="11" t="s">
        <v>1878</v>
      </c>
      <c r="B138" s="13" t="s">
        <v>34</v>
      </c>
      <c r="C138" s="10" t="s">
        <v>1046</v>
      </c>
      <c r="D138" s="13" t="s">
        <v>753</v>
      </c>
      <c r="E138" s="13" t="s">
        <v>469</v>
      </c>
      <c r="F138" s="14" t="s">
        <v>35</v>
      </c>
      <c r="G138" s="13"/>
      <c r="H138" s="14">
        <f t="shared" si="3"/>
        <v>1</v>
      </c>
      <c r="I138" s="14">
        <v>1</v>
      </c>
      <c r="J138" s="14">
        <v>1</v>
      </c>
      <c r="K138" s="13" t="s">
        <v>136</v>
      </c>
      <c r="L138" s="15" t="s">
        <v>114</v>
      </c>
      <c r="M138" s="15">
        <v>4004</v>
      </c>
      <c r="N138" s="15">
        <v>2800</v>
      </c>
      <c r="O138" s="15">
        <v>340040</v>
      </c>
      <c r="P138" s="15">
        <v>1028000</v>
      </c>
      <c r="Q138" s="15"/>
    </row>
    <row r="139" spans="1:17" ht="22.5" x14ac:dyDescent="0.25">
      <c r="A139" s="11" t="s">
        <v>1878</v>
      </c>
      <c r="B139" s="13" t="s">
        <v>34</v>
      </c>
      <c r="C139" s="10" t="s">
        <v>2136</v>
      </c>
      <c r="D139" s="13" t="s">
        <v>41</v>
      </c>
      <c r="E139" s="14" t="s">
        <v>33</v>
      </c>
      <c r="F139" s="14" t="s">
        <v>35</v>
      </c>
      <c r="G139" s="13">
        <v>5</v>
      </c>
      <c r="H139" s="14">
        <f t="shared" si="3"/>
        <v>26</v>
      </c>
      <c r="I139" s="14">
        <v>21</v>
      </c>
      <c r="J139" s="14">
        <v>15</v>
      </c>
      <c r="K139" s="13" t="s">
        <v>2172</v>
      </c>
      <c r="L139" s="15" t="s">
        <v>114</v>
      </c>
      <c r="M139" s="15">
        <v>3182</v>
      </c>
      <c r="N139" s="15">
        <v>1277</v>
      </c>
      <c r="O139" s="15">
        <v>331820</v>
      </c>
      <c r="P139" s="15">
        <v>1012770</v>
      </c>
      <c r="Q139" s="15"/>
    </row>
    <row r="140" spans="1:17" x14ac:dyDescent="0.25">
      <c r="A140" s="11" t="s">
        <v>1878</v>
      </c>
      <c r="B140" s="13" t="s">
        <v>34</v>
      </c>
      <c r="C140" s="10" t="s">
        <v>1056</v>
      </c>
      <c r="D140" s="13" t="s">
        <v>753</v>
      </c>
      <c r="E140" s="14" t="s">
        <v>469</v>
      </c>
      <c r="F140" s="14" t="s">
        <v>35</v>
      </c>
      <c r="G140" s="13"/>
      <c r="H140" s="14">
        <f t="shared" si="3"/>
        <v>4</v>
      </c>
      <c r="I140" s="14">
        <v>4</v>
      </c>
      <c r="J140" s="14">
        <v>3</v>
      </c>
      <c r="K140" s="13" t="s">
        <v>2140</v>
      </c>
      <c r="L140" s="15" t="s">
        <v>114</v>
      </c>
      <c r="M140" s="15">
        <v>3722</v>
      </c>
      <c r="N140" s="15">
        <v>3048</v>
      </c>
      <c r="O140" s="15">
        <v>337220</v>
      </c>
      <c r="P140" s="15">
        <v>1030480</v>
      </c>
      <c r="Q140" s="15"/>
    </row>
    <row r="141" spans="1:17" ht="22.5" x14ac:dyDescent="0.25">
      <c r="A141" s="11" t="s">
        <v>1878</v>
      </c>
      <c r="B141" s="13" t="s">
        <v>34</v>
      </c>
      <c r="C141" s="10" t="s">
        <v>1334</v>
      </c>
      <c r="D141" s="13" t="s">
        <v>41</v>
      </c>
      <c r="E141" s="14" t="s">
        <v>620</v>
      </c>
      <c r="F141" s="14" t="s">
        <v>35</v>
      </c>
      <c r="G141" s="13"/>
      <c r="H141" s="14">
        <f t="shared" si="3"/>
        <v>2</v>
      </c>
      <c r="I141" s="14">
        <v>2</v>
      </c>
      <c r="J141" s="14">
        <v>2</v>
      </c>
      <c r="K141" s="13" t="s">
        <v>2137</v>
      </c>
      <c r="L141" s="15" t="s">
        <v>114</v>
      </c>
      <c r="M141" s="15">
        <v>4389</v>
      </c>
      <c r="N141" s="15">
        <v>4905</v>
      </c>
      <c r="O141" s="15">
        <v>343890</v>
      </c>
      <c r="P141" s="15">
        <v>1049050</v>
      </c>
      <c r="Q141" s="15"/>
    </row>
    <row r="142" spans="1:17" ht="22.5" x14ac:dyDescent="0.25">
      <c r="A142" s="11" t="s">
        <v>1878</v>
      </c>
      <c r="B142" s="13" t="s">
        <v>34</v>
      </c>
      <c r="C142" s="10" t="s">
        <v>457</v>
      </c>
      <c r="D142" s="13" t="s">
        <v>1047</v>
      </c>
      <c r="E142" s="14" t="s">
        <v>33</v>
      </c>
      <c r="F142" s="14" t="s">
        <v>35</v>
      </c>
      <c r="G142" s="13"/>
      <c r="H142" s="14">
        <f t="shared" si="3"/>
        <v>3</v>
      </c>
      <c r="I142" s="14">
        <v>3</v>
      </c>
      <c r="J142" s="14">
        <v>3</v>
      </c>
      <c r="K142" s="13" t="s">
        <v>2139</v>
      </c>
      <c r="L142" s="15" t="s">
        <v>114</v>
      </c>
      <c r="M142" s="15">
        <v>4177</v>
      </c>
      <c r="N142" s="15">
        <v>1292</v>
      </c>
      <c r="O142" s="15">
        <v>341770</v>
      </c>
      <c r="P142" s="15">
        <v>1012920</v>
      </c>
      <c r="Q142" s="15"/>
    </row>
    <row r="143" spans="1:17" ht="22.5" x14ac:dyDescent="0.25">
      <c r="A143" s="11" t="s">
        <v>1878</v>
      </c>
      <c r="B143" s="13" t="s">
        <v>34</v>
      </c>
      <c r="C143" s="10" t="s">
        <v>2142</v>
      </c>
      <c r="D143" s="13" t="s">
        <v>41</v>
      </c>
      <c r="E143" s="14" t="s">
        <v>33</v>
      </c>
      <c r="F143" s="14" t="s">
        <v>35</v>
      </c>
      <c r="G143" s="13"/>
      <c r="H143" s="14">
        <f t="shared" si="3"/>
        <v>2</v>
      </c>
      <c r="I143" s="14">
        <v>2</v>
      </c>
      <c r="J143" s="14">
        <v>1</v>
      </c>
      <c r="K143" s="13" t="s">
        <v>842</v>
      </c>
      <c r="L143" s="15" t="s">
        <v>114</v>
      </c>
      <c r="M143" s="15">
        <v>6766</v>
      </c>
      <c r="N143" s="15">
        <v>3779</v>
      </c>
      <c r="O143" s="15">
        <v>367660</v>
      </c>
      <c r="P143" s="15">
        <v>1037790</v>
      </c>
      <c r="Q143" s="15"/>
    </row>
    <row r="144" spans="1:17" x14ac:dyDescent="0.25">
      <c r="A144" s="11" t="s">
        <v>1878</v>
      </c>
      <c r="B144" s="13" t="s">
        <v>34</v>
      </c>
      <c r="C144" s="10" t="s">
        <v>1037</v>
      </c>
      <c r="D144" s="13" t="s">
        <v>18</v>
      </c>
      <c r="E144" s="14" t="s">
        <v>33</v>
      </c>
      <c r="F144" s="14" t="s">
        <v>35</v>
      </c>
      <c r="G144" s="13"/>
      <c r="H144" s="14">
        <f t="shared" si="3"/>
        <v>2</v>
      </c>
      <c r="I144" s="14">
        <v>2</v>
      </c>
      <c r="J144" s="14">
        <v>2</v>
      </c>
      <c r="K144" s="13" t="s">
        <v>2143</v>
      </c>
      <c r="L144" s="15" t="s">
        <v>114</v>
      </c>
      <c r="M144" s="15">
        <v>2834</v>
      </c>
      <c r="N144" s="15">
        <v>1450</v>
      </c>
      <c r="O144" s="15">
        <v>328340</v>
      </c>
      <c r="P144" s="15">
        <v>1014500</v>
      </c>
      <c r="Q144" s="15"/>
    </row>
    <row r="145" spans="1:17" x14ac:dyDescent="0.25">
      <c r="A145" s="11" t="s">
        <v>1878</v>
      </c>
      <c r="B145" s="13" t="s">
        <v>34</v>
      </c>
      <c r="C145" s="10" t="s">
        <v>37</v>
      </c>
      <c r="D145" s="13" t="s">
        <v>8</v>
      </c>
      <c r="E145" s="14" t="s">
        <v>33</v>
      </c>
      <c r="F145" s="14" t="s">
        <v>35</v>
      </c>
      <c r="G145" s="13"/>
      <c r="H145" s="14">
        <f t="shared" si="3"/>
        <v>6</v>
      </c>
      <c r="I145" s="14">
        <v>6</v>
      </c>
      <c r="J145" s="14">
        <v>4</v>
      </c>
      <c r="K145" s="13" t="s">
        <v>2211</v>
      </c>
      <c r="L145" s="15" t="s">
        <v>114</v>
      </c>
      <c r="M145" s="15">
        <v>2945</v>
      </c>
      <c r="N145" s="15">
        <v>1335</v>
      </c>
      <c r="O145" s="15">
        <v>329450</v>
      </c>
      <c r="P145" s="15">
        <v>1013350</v>
      </c>
      <c r="Q145" s="15"/>
    </row>
    <row r="146" spans="1:17" x14ac:dyDescent="0.25">
      <c r="A146" s="11" t="s">
        <v>1878</v>
      </c>
      <c r="B146" s="13" t="s">
        <v>34</v>
      </c>
      <c r="C146" s="10" t="s">
        <v>38</v>
      </c>
      <c r="D146" s="13" t="s">
        <v>39</v>
      </c>
      <c r="E146" s="14" t="s">
        <v>33</v>
      </c>
      <c r="F146" s="14" t="s">
        <v>35</v>
      </c>
      <c r="G146" s="13"/>
      <c r="H146" s="14">
        <f t="shared" si="3"/>
        <v>7</v>
      </c>
      <c r="I146" s="14">
        <v>7</v>
      </c>
      <c r="J146" s="14">
        <v>5</v>
      </c>
      <c r="K146" s="13" t="s">
        <v>2160</v>
      </c>
      <c r="L146" s="15" t="s">
        <v>114</v>
      </c>
      <c r="M146" s="15">
        <v>2312</v>
      </c>
      <c r="N146" s="15">
        <v>1874</v>
      </c>
      <c r="O146" s="15">
        <v>323120</v>
      </c>
      <c r="P146" s="15">
        <v>1018740</v>
      </c>
      <c r="Q146" s="15"/>
    </row>
    <row r="147" spans="1:17" x14ac:dyDescent="0.25">
      <c r="A147" s="11" t="s">
        <v>1878</v>
      </c>
      <c r="B147" s="13" t="s">
        <v>34</v>
      </c>
      <c r="C147" s="10" t="s">
        <v>1913</v>
      </c>
      <c r="D147" s="13" t="s">
        <v>39</v>
      </c>
      <c r="E147" s="14" t="s">
        <v>33</v>
      </c>
      <c r="F147" s="14" t="s">
        <v>35</v>
      </c>
      <c r="G147" s="13">
        <v>1</v>
      </c>
      <c r="H147" s="14">
        <f t="shared" si="3"/>
        <v>5</v>
      </c>
      <c r="I147" s="14">
        <v>4</v>
      </c>
      <c r="J147" s="14">
        <v>5</v>
      </c>
      <c r="K147" s="13" t="s">
        <v>2138</v>
      </c>
      <c r="L147" s="15" t="s">
        <v>114</v>
      </c>
      <c r="M147" s="15">
        <v>366</v>
      </c>
      <c r="N147" s="15">
        <v>126</v>
      </c>
      <c r="O147" s="15">
        <v>336600</v>
      </c>
      <c r="P147" s="15">
        <v>1012600</v>
      </c>
      <c r="Q147" s="15"/>
    </row>
    <row r="148" spans="1:17" x14ac:dyDescent="0.25">
      <c r="A148" s="11" t="s">
        <v>1878</v>
      </c>
      <c r="B148" s="13" t="s">
        <v>34</v>
      </c>
      <c r="C148" s="10" t="s">
        <v>36</v>
      </c>
      <c r="D148" s="13" t="s">
        <v>8</v>
      </c>
      <c r="E148" s="14" t="s">
        <v>33</v>
      </c>
      <c r="F148" s="14" t="s">
        <v>35</v>
      </c>
      <c r="G148" s="13"/>
      <c r="H148" s="14">
        <f t="shared" si="3"/>
        <v>8</v>
      </c>
      <c r="I148" s="14">
        <v>8</v>
      </c>
      <c r="J148" s="14">
        <v>5</v>
      </c>
      <c r="K148" s="13" t="s">
        <v>2179</v>
      </c>
      <c r="L148" s="15" t="s">
        <v>114</v>
      </c>
      <c r="M148" s="15">
        <v>3067</v>
      </c>
      <c r="N148" s="15">
        <v>1252</v>
      </c>
      <c r="O148" s="15">
        <v>330670</v>
      </c>
      <c r="P148" s="15">
        <v>1012520</v>
      </c>
      <c r="Q148" s="15"/>
    </row>
    <row r="149" spans="1:17" x14ac:dyDescent="0.25">
      <c r="A149" s="11" t="s">
        <v>1878</v>
      </c>
      <c r="B149" s="13" t="s">
        <v>34</v>
      </c>
      <c r="C149" s="10" t="s">
        <v>1050</v>
      </c>
      <c r="D149" s="13" t="s">
        <v>1048</v>
      </c>
      <c r="E149" s="14" t="s">
        <v>469</v>
      </c>
      <c r="F149" s="14" t="s">
        <v>35</v>
      </c>
      <c r="G149" s="13"/>
      <c r="H149" s="14">
        <f t="shared" si="3"/>
        <v>2</v>
      </c>
      <c r="I149" s="14">
        <v>2</v>
      </c>
      <c r="J149" s="14">
        <v>2</v>
      </c>
      <c r="K149" s="13" t="s">
        <v>2137</v>
      </c>
      <c r="L149" s="15" t="s">
        <v>114</v>
      </c>
      <c r="M149" s="15">
        <v>4257</v>
      </c>
      <c r="N149" s="15">
        <v>2761</v>
      </c>
      <c r="O149" s="15">
        <v>342570</v>
      </c>
      <c r="P149" s="15">
        <v>1027610</v>
      </c>
      <c r="Q149" s="15"/>
    </row>
    <row r="150" spans="1:17" ht="22.5" x14ac:dyDescent="0.25">
      <c r="A150" s="11" t="s">
        <v>1878</v>
      </c>
      <c r="B150" s="13" t="s">
        <v>34</v>
      </c>
      <c r="C150" s="10" t="s">
        <v>2054</v>
      </c>
      <c r="D150" s="13" t="s">
        <v>41</v>
      </c>
      <c r="E150" s="14" t="s">
        <v>33</v>
      </c>
      <c r="F150" s="14" t="s">
        <v>35</v>
      </c>
      <c r="G150" s="13"/>
      <c r="H150" s="14">
        <f t="shared" si="3"/>
        <v>2</v>
      </c>
      <c r="I150" s="14">
        <v>2</v>
      </c>
      <c r="J150" s="14">
        <v>2</v>
      </c>
      <c r="K150" s="13" t="s">
        <v>2137</v>
      </c>
      <c r="L150" s="15" t="s">
        <v>114</v>
      </c>
      <c r="M150" s="15">
        <v>2759</v>
      </c>
      <c r="N150" s="15">
        <v>1092</v>
      </c>
      <c r="O150" s="15">
        <v>327590</v>
      </c>
      <c r="P150" s="15">
        <v>1010920</v>
      </c>
      <c r="Q150" s="15"/>
    </row>
    <row r="151" spans="1:17" ht="33.75" x14ac:dyDescent="0.25">
      <c r="A151" s="11" t="s">
        <v>1878</v>
      </c>
      <c r="B151" s="13" t="s">
        <v>34</v>
      </c>
      <c r="C151" s="10" t="s">
        <v>131</v>
      </c>
      <c r="D151" s="13" t="s">
        <v>1065</v>
      </c>
      <c r="E151" s="13" t="s">
        <v>132</v>
      </c>
      <c r="F151" s="14" t="s">
        <v>35</v>
      </c>
      <c r="G151" s="13"/>
      <c r="H151" s="14">
        <f t="shared" si="3"/>
        <v>2</v>
      </c>
      <c r="I151" s="14">
        <v>2</v>
      </c>
      <c r="J151" s="14">
        <v>2</v>
      </c>
      <c r="K151" s="13" t="s">
        <v>2137</v>
      </c>
      <c r="L151" s="15" t="s">
        <v>133</v>
      </c>
      <c r="M151" s="15">
        <v>4704</v>
      </c>
      <c r="N151" s="15">
        <v>8449</v>
      </c>
      <c r="O151" s="15">
        <v>347040</v>
      </c>
      <c r="P151" s="15">
        <v>984490</v>
      </c>
      <c r="Q151" s="15"/>
    </row>
    <row r="152" spans="1:17" x14ac:dyDescent="0.25">
      <c r="A152" s="11" t="s">
        <v>1878</v>
      </c>
      <c r="B152" s="13" t="s">
        <v>34</v>
      </c>
      <c r="C152" s="10" t="s">
        <v>1415</v>
      </c>
      <c r="D152" s="13" t="s">
        <v>1278</v>
      </c>
      <c r="E152" s="13" t="s">
        <v>33</v>
      </c>
      <c r="F152" s="14" t="s">
        <v>35</v>
      </c>
      <c r="G152" s="13">
        <v>1</v>
      </c>
      <c r="H152" s="14">
        <f>G152+I152</f>
        <v>3</v>
      </c>
      <c r="I152" s="14">
        <v>2</v>
      </c>
      <c r="J152" s="14">
        <v>3</v>
      </c>
      <c r="K152" s="13" t="s">
        <v>2152</v>
      </c>
      <c r="L152" s="15" t="s">
        <v>114</v>
      </c>
      <c r="M152" s="15">
        <v>2829</v>
      </c>
      <c r="N152" s="15">
        <v>1172</v>
      </c>
      <c r="O152" s="15">
        <v>328290</v>
      </c>
      <c r="P152" s="15">
        <v>1011720</v>
      </c>
      <c r="Q152" s="15"/>
    </row>
    <row r="153" spans="1:17" ht="22.5" x14ac:dyDescent="0.25">
      <c r="A153" s="11" t="s">
        <v>1878</v>
      </c>
      <c r="B153" s="13" t="s">
        <v>34</v>
      </c>
      <c r="C153" s="10" t="s">
        <v>1049</v>
      </c>
      <c r="D153" s="13" t="s">
        <v>1047</v>
      </c>
      <c r="E153" s="13" t="s">
        <v>33</v>
      </c>
      <c r="F153" s="14" t="s">
        <v>35</v>
      </c>
      <c r="G153" s="13"/>
      <c r="H153" s="14">
        <f t="shared" si="3"/>
        <v>2</v>
      </c>
      <c r="I153" s="14">
        <v>2</v>
      </c>
      <c r="J153" s="14">
        <v>2</v>
      </c>
      <c r="K153" s="13" t="s">
        <v>2137</v>
      </c>
      <c r="L153" s="15" t="s">
        <v>114</v>
      </c>
      <c r="M153" s="15">
        <v>4090</v>
      </c>
      <c r="N153" s="15">
        <v>1211</v>
      </c>
      <c r="O153" s="15">
        <v>340900</v>
      </c>
      <c r="P153" s="15">
        <v>1012110</v>
      </c>
      <c r="Q153" s="15"/>
    </row>
    <row r="154" spans="1:17" ht="22.5" x14ac:dyDescent="0.25">
      <c r="A154" s="11" t="s">
        <v>1878</v>
      </c>
      <c r="B154" s="13" t="s">
        <v>99</v>
      </c>
      <c r="C154" s="10" t="s">
        <v>523</v>
      </c>
      <c r="D154" s="13" t="s">
        <v>524</v>
      </c>
      <c r="E154" s="13" t="s">
        <v>974</v>
      </c>
      <c r="F154" s="14" t="s">
        <v>35</v>
      </c>
      <c r="G154" s="13"/>
      <c r="H154" s="14">
        <f t="shared" si="3"/>
        <v>7</v>
      </c>
      <c r="I154" s="14">
        <v>7</v>
      </c>
      <c r="J154" s="14">
        <v>5</v>
      </c>
      <c r="K154" s="13" t="s">
        <v>2181</v>
      </c>
      <c r="L154" s="15" t="s">
        <v>526</v>
      </c>
      <c r="M154" s="15">
        <v>21300</v>
      </c>
      <c r="N154" s="15">
        <v>33017</v>
      </c>
      <c r="O154" s="15">
        <v>121300</v>
      </c>
      <c r="P154" s="15">
        <v>933017</v>
      </c>
      <c r="Q154" s="15"/>
    </row>
    <row r="155" spans="1:17" x14ac:dyDescent="0.25">
      <c r="A155" s="11" t="s">
        <v>1878</v>
      </c>
      <c r="B155" s="13" t="s">
        <v>170</v>
      </c>
      <c r="C155" s="10" t="s">
        <v>2011</v>
      </c>
      <c r="D155" s="13" t="s">
        <v>26</v>
      </c>
      <c r="E155" s="14" t="s">
        <v>1010</v>
      </c>
      <c r="F155" s="14" t="s">
        <v>35</v>
      </c>
      <c r="G155" s="13"/>
      <c r="H155" s="14">
        <f>G155+I155</f>
        <v>3</v>
      </c>
      <c r="I155" s="14">
        <v>3</v>
      </c>
      <c r="J155" s="14">
        <v>2</v>
      </c>
      <c r="K155" s="13" t="s">
        <v>2012</v>
      </c>
      <c r="L155" s="15" t="s">
        <v>169</v>
      </c>
      <c r="M155" s="15">
        <v>6498</v>
      </c>
      <c r="N155" s="15">
        <v>715</v>
      </c>
      <c r="O155" s="15">
        <v>264980</v>
      </c>
      <c r="P155" s="15">
        <v>707150</v>
      </c>
      <c r="Q155" s="15"/>
    </row>
    <row r="156" spans="1:17" x14ac:dyDescent="0.25">
      <c r="A156" s="11" t="s">
        <v>1878</v>
      </c>
      <c r="B156" s="13" t="s">
        <v>170</v>
      </c>
      <c r="C156" s="10" t="s">
        <v>1915</v>
      </c>
      <c r="D156" s="13" t="s">
        <v>17</v>
      </c>
      <c r="E156" s="14" t="s">
        <v>167</v>
      </c>
      <c r="F156" s="14" t="s">
        <v>35</v>
      </c>
      <c r="G156" s="13">
        <v>1</v>
      </c>
      <c r="H156" s="14">
        <f t="shared" si="3"/>
        <v>3</v>
      </c>
      <c r="I156" s="14">
        <v>2</v>
      </c>
      <c r="J156" s="14">
        <v>3</v>
      </c>
      <c r="K156" s="13" t="s">
        <v>2020</v>
      </c>
      <c r="L156" s="15" t="s">
        <v>130</v>
      </c>
      <c r="M156" s="15">
        <v>17759</v>
      </c>
      <c r="N156" s="15">
        <v>41740</v>
      </c>
      <c r="O156" s="15">
        <v>317759</v>
      </c>
      <c r="P156" s="15">
        <v>741740</v>
      </c>
      <c r="Q156" s="15"/>
    </row>
    <row r="157" spans="1:17" x14ac:dyDescent="0.25">
      <c r="A157" s="11" t="s">
        <v>1878</v>
      </c>
      <c r="B157" s="13" t="s">
        <v>170</v>
      </c>
      <c r="C157" s="10" t="s">
        <v>1008</v>
      </c>
      <c r="D157" s="13" t="s">
        <v>1009</v>
      </c>
      <c r="E157" s="14" t="s">
        <v>1010</v>
      </c>
      <c r="F157" s="14" t="s">
        <v>35</v>
      </c>
      <c r="G157" s="13">
        <v>2</v>
      </c>
      <c r="H157" s="14">
        <f t="shared" si="3"/>
        <v>7</v>
      </c>
      <c r="I157" s="14">
        <v>5</v>
      </c>
      <c r="J157" s="14">
        <v>4</v>
      </c>
      <c r="K157" s="13" t="s">
        <v>2013</v>
      </c>
      <c r="L157" s="15" t="s">
        <v>169</v>
      </c>
      <c r="M157" s="15">
        <v>6355</v>
      </c>
      <c r="N157" s="15">
        <v>656</v>
      </c>
      <c r="O157" s="15">
        <v>263550</v>
      </c>
      <c r="P157" s="15">
        <v>706560</v>
      </c>
      <c r="Q157" s="15"/>
    </row>
    <row r="158" spans="1:17" ht="22.5" x14ac:dyDescent="0.25">
      <c r="A158" s="11" t="s">
        <v>1878</v>
      </c>
      <c r="B158" s="13" t="s">
        <v>170</v>
      </c>
      <c r="C158" s="10" t="s">
        <v>972</v>
      </c>
      <c r="D158" s="13" t="s">
        <v>973</v>
      </c>
      <c r="E158" s="14" t="s">
        <v>167</v>
      </c>
      <c r="F158" s="14" t="s">
        <v>35</v>
      </c>
      <c r="G158" s="13">
        <v>1</v>
      </c>
      <c r="H158" s="14">
        <f t="shared" si="3"/>
        <v>7</v>
      </c>
      <c r="I158" s="14">
        <v>6</v>
      </c>
      <c r="J158" s="14">
        <v>3</v>
      </c>
      <c r="K158" s="13" t="s">
        <v>2016</v>
      </c>
      <c r="L158" s="15" t="s">
        <v>130</v>
      </c>
      <c r="M158" s="15">
        <v>1633</v>
      </c>
      <c r="N158" s="15">
        <v>4049</v>
      </c>
      <c r="O158" s="15">
        <v>316330</v>
      </c>
      <c r="P158" s="15">
        <v>740490</v>
      </c>
      <c r="Q158" s="15"/>
    </row>
    <row r="159" spans="1:17" x14ac:dyDescent="0.25">
      <c r="A159" s="11" t="s">
        <v>1878</v>
      </c>
      <c r="B159" s="13" t="s">
        <v>170</v>
      </c>
      <c r="C159" s="10" t="s">
        <v>1012</v>
      </c>
      <c r="D159" s="13" t="s">
        <v>1009</v>
      </c>
      <c r="E159" s="14" t="s">
        <v>167</v>
      </c>
      <c r="F159" s="14" t="s">
        <v>35</v>
      </c>
      <c r="G159" s="13">
        <v>2</v>
      </c>
      <c r="H159" s="14">
        <f t="shared" si="3"/>
        <v>7</v>
      </c>
      <c r="I159" s="14">
        <v>5</v>
      </c>
      <c r="J159" s="14">
        <v>4</v>
      </c>
      <c r="K159" s="13" t="s">
        <v>2016</v>
      </c>
      <c r="L159" s="15" t="s">
        <v>130</v>
      </c>
      <c r="M159" s="15">
        <v>17340</v>
      </c>
      <c r="N159" s="15">
        <v>40245</v>
      </c>
      <c r="O159" s="15">
        <v>317340</v>
      </c>
      <c r="P159" s="15">
        <v>740245</v>
      </c>
      <c r="Q159" s="15"/>
    </row>
    <row r="160" spans="1:17" ht="22.5" x14ac:dyDescent="0.25">
      <c r="A160" s="11" t="s">
        <v>1878</v>
      </c>
      <c r="B160" s="13" t="s">
        <v>170</v>
      </c>
      <c r="C160" s="10" t="s">
        <v>1006</v>
      </c>
      <c r="D160" s="13" t="s">
        <v>1007</v>
      </c>
      <c r="E160" s="14" t="s">
        <v>167</v>
      </c>
      <c r="F160" s="14" t="s">
        <v>35</v>
      </c>
      <c r="G160" s="13"/>
      <c r="H160" s="14">
        <f t="shared" si="3"/>
        <v>2</v>
      </c>
      <c r="I160" s="14">
        <v>2</v>
      </c>
      <c r="J160" s="14">
        <v>2</v>
      </c>
      <c r="K160" s="13" t="s">
        <v>2190</v>
      </c>
      <c r="L160" s="15" t="s">
        <v>169</v>
      </c>
      <c r="M160" s="15">
        <v>9285</v>
      </c>
      <c r="N160" s="15">
        <v>1625</v>
      </c>
      <c r="O160" s="15">
        <v>292850</v>
      </c>
      <c r="P160" s="15">
        <v>716250</v>
      </c>
      <c r="Q160" s="15"/>
    </row>
    <row r="161" spans="1:17" ht="22.5" x14ac:dyDescent="0.25">
      <c r="A161" s="11" t="s">
        <v>1878</v>
      </c>
      <c r="B161" s="13" t="s">
        <v>170</v>
      </c>
      <c r="C161" s="10" t="s">
        <v>275</v>
      </c>
      <c r="D161" s="13" t="s">
        <v>278</v>
      </c>
      <c r="E161" s="14" t="s">
        <v>167</v>
      </c>
      <c r="F161" s="14" t="s">
        <v>35</v>
      </c>
      <c r="G161" s="13">
        <v>1</v>
      </c>
      <c r="H161" s="14">
        <f t="shared" si="3"/>
        <v>3</v>
      </c>
      <c r="I161" s="14">
        <v>2</v>
      </c>
      <c r="J161" s="14">
        <v>2</v>
      </c>
      <c r="K161" s="13" t="s">
        <v>2042</v>
      </c>
      <c r="L161" s="15" t="s">
        <v>169</v>
      </c>
      <c r="M161" s="15">
        <v>9287</v>
      </c>
      <c r="N161" s="15">
        <v>5337</v>
      </c>
      <c r="O161" s="15">
        <v>292870</v>
      </c>
      <c r="P161" s="15">
        <v>753370</v>
      </c>
      <c r="Q161" s="15"/>
    </row>
    <row r="162" spans="1:17" x14ac:dyDescent="0.25">
      <c r="A162" s="11" t="s">
        <v>1878</v>
      </c>
      <c r="B162" s="13" t="s">
        <v>1610</v>
      </c>
      <c r="C162" s="10" t="s">
        <v>2051</v>
      </c>
      <c r="D162" s="13" t="s">
        <v>1538</v>
      </c>
      <c r="E162" s="14" t="s">
        <v>1017</v>
      </c>
      <c r="F162" s="14" t="s">
        <v>35</v>
      </c>
      <c r="G162" s="13"/>
      <c r="H162" s="14">
        <f>G162+I162</f>
        <v>2</v>
      </c>
      <c r="I162" s="14">
        <v>2</v>
      </c>
      <c r="J162" s="14">
        <v>2</v>
      </c>
      <c r="K162" s="13" t="s">
        <v>2061</v>
      </c>
      <c r="L162" s="15" t="s">
        <v>398</v>
      </c>
      <c r="M162" s="15">
        <v>5</v>
      </c>
      <c r="N162" s="15">
        <v>385</v>
      </c>
      <c r="O162" s="15">
        <v>300500</v>
      </c>
      <c r="P162" s="15">
        <v>638500</v>
      </c>
      <c r="Q162" s="15"/>
    </row>
    <row r="163" spans="1:17" ht="22.5" x14ac:dyDescent="0.25">
      <c r="A163" s="11" t="s">
        <v>1878</v>
      </c>
      <c r="B163" s="13" t="s">
        <v>1610</v>
      </c>
      <c r="C163" s="10" t="s">
        <v>2062</v>
      </c>
      <c r="D163" s="13" t="s">
        <v>2063</v>
      </c>
      <c r="E163" s="14" t="s">
        <v>1017</v>
      </c>
      <c r="F163" s="14" t="s">
        <v>35</v>
      </c>
      <c r="G163" s="13"/>
      <c r="H163" s="14">
        <f>G163+I163</f>
        <v>4</v>
      </c>
      <c r="I163" s="14">
        <v>4</v>
      </c>
      <c r="J163" s="14">
        <v>3</v>
      </c>
      <c r="K163" s="13" t="s">
        <v>2188</v>
      </c>
      <c r="L163" s="15" t="s">
        <v>429</v>
      </c>
      <c r="M163" s="15">
        <v>9526</v>
      </c>
      <c r="N163" s="15">
        <v>4048</v>
      </c>
      <c r="O163" s="15">
        <v>295260</v>
      </c>
      <c r="P163" s="15">
        <v>640480</v>
      </c>
      <c r="Q163" s="15"/>
    </row>
    <row r="164" spans="1:17" ht="22.5" x14ac:dyDescent="0.25">
      <c r="A164" s="11" t="s">
        <v>1878</v>
      </c>
      <c r="B164" s="13" t="s">
        <v>167</v>
      </c>
      <c r="C164" s="10" t="s">
        <v>399</v>
      </c>
      <c r="D164" s="13" t="s">
        <v>401</v>
      </c>
      <c r="E164" s="13" t="s">
        <v>400</v>
      </c>
      <c r="F164" s="14" t="s">
        <v>35</v>
      </c>
      <c r="G164" s="13"/>
      <c r="H164" s="14">
        <f t="shared" ref="H164:H180" si="4">G164+I164</f>
        <v>3</v>
      </c>
      <c r="I164" s="14">
        <v>3</v>
      </c>
      <c r="J164" s="14">
        <v>2</v>
      </c>
      <c r="K164" s="13" t="s">
        <v>2191</v>
      </c>
      <c r="L164" s="15" t="s">
        <v>130</v>
      </c>
      <c r="M164" s="15">
        <v>5210</v>
      </c>
      <c r="N164" s="15">
        <v>17234</v>
      </c>
      <c r="O164" s="15">
        <v>305210</v>
      </c>
      <c r="P164" s="15">
        <v>717234</v>
      </c>
      <c r="Q164" s="15"/>
    </row>
    <row r="165" spans="1:17" ht="22.5" x14ac:dyDescent="0.25">
      <c r="A165" s="11" t="s">
        <v>1878</v>
      </c>
      <c r="B165" s="13" t="s">
        <v>167</v>
      </c>
      <c r="C165" s="10" t="s">
        <v>2021</v>
      </c>
      <c r="D165" s="13" t="s">
        <v>2022</v>
      </c>
      <c r="E165" s="14" t="s">
        <v>995</v>
      </c>
      <c r="F165" s="14" t="s">
        <v>35</v>
      </c>
      <c r="G165" s="13"/>
      <c r="H165" s="14">
        <f t="shared" si="4"/>
        <v>2</v>
      </c>
      <c r="I165" s="14">
        <v>2</v>
      </c>
      <c r="J165" s="14">
        <v>1</v>
      </c>
      <c r="K165" s="13" t="s">
        <v>252</v>
      </c>
      <c r="L165" s="15" t="s">
        <v>130</v>
      </c>
      <c r="M165" s="15">
        <v>60580</v>
      </c>
      <c r="N165" s="15">
        <v>49470</v>
      </c>
      <c r="O165" s="15">
        <v>360580</v>
      </c>
      <c r="P165" s="15">
        <v>749470</v>
      </c>
      <c r="Q165" s="15"/>
    </row>
    <row r="166" spans="1:17" ht="22.5" x14ac:dyDescent="0.25">
      <c r="A166" s="11" t="s">
        <v>1878</v>
      </c>
      <c r="B166" s="13" t="s">
        <v>167</v>
      </c>
      <c r="C166" s="10" t="s">
        <v>2014</v>
      </c>
      <c r="D166" s="13" t="s">
        <v>2015</v>
      </c>
      <c r="E166" s="14" t="s">
        <v>995</v>
      </c>
      <c r="F166" s="14" t="s">
        <v>35</v>
      </c>
      <c r="G166" s="13"/>
      <c r="H166" s="14">
        <f t="shared" si="4"/>
        <v>2</v>
      </c>
      <c r="I166" s="14">
        <v>2</v>
      </c>
      <c r="J166" s="14">
        <v>1</v>
      </c>
      <c r="K166" s="13" t="s">
        <v>217</v>
      </c>
      <c r="L166" s="15" t="s">
        <v>130</v>
      </c>
      <c r="M166" s="15">
        <v>6153</v>
      </c>
      <c r="N166" s="15">
        <v>4812</v>
      </c>
      <c r="O166" s="15">
        <v>361530</v>
      </c>
      <c r="P166" s="15">
        <v>748120</v>
      </c>
      <c r="Q166" s="15"/>
    </row>
    <row r="167" spans="1:17" x14ac:dyDescent="0.25">
      <c r="A167" s="11" t="s">
        <v>1878</v>
      </c>
      <c r="B167" s="13" t="s">
        <v>1594</v>
      </c>
      <c r="C167" s="10" t="s">
        <v>1595</v>
      </c>
      <c r="D167" s="13" t="s">
        <v>18</v>
      </c>
      <c r="E167" s="14" t="s">
        <v>1596</v>
      </c>
      <c r="F167" s="14" t="s">
        <v>35</v>
      </c>
      <c r="G167" s="13"/>
      <c r="H167" s="14">
        <f t="shared" si="4"/>
        <v>2</v>
      </c>
      <c r="I167" s="14">
        <v>2</v>
      </c>
      <c r="J167" s="14">
        <v>2</v>
      </c>
      <c r="K167" s="13" t="s">
        <v>2190</v>
      </c>
      <c r="L167" s="15" t="s">
        <v>429</v>
      </c>
      <c r="M167" s="15">
        <v>9872</v>
      </c>
      <c r="N167" s="15">
        <v>7173</v>
      </c>
      <c r="O167" s="15">
        <v>298720</v>
      </c>
      <c r="P167" s="15">
        <v>671730</v>
      </c>
      <c r="Q167" s="15"/>
    </row>
    <row r="168" spans="1:17" ht="22.5" x14ac:dyDescent="0.25">
      <c r="A168" s="11" t="s">
        <v>1878</v>
      </c>
      <c r="B168" s="13" t="s">
        <v>163</v>
      </c>
      <c r="C168" s="10" t="s">
        <v>2098</v>
      </c>
      <c r="D168" s="13" t="s">
        <v>540</v>
      </c>
      <c r="E168" s="14" t="s">
        <v>190</v>
      </c>
      <c r="F168" s="14" t="s">
        <v>56</v>
      </c>
      <c r="G168" s="13"/>
      <c r="H168" s="14">
        <f>G168+I168</f>
        <v>4</v>
      </c>
      <c r="I168" s="14">
        <v>4</v>
      </c>
      <c r="J168" s="14">
        <v>3</v>
      </c>
      <c r="K168" s="13" t="s">
        <v>2320</v>
      </c>
      <c r="L168" s="15" t="s">
        <v>164</v>
      </c>
      <c r="M168" s="15">
        <v>9830</v>
      </c>
      <c r="N168" s="15">
        <v>5740</v>
      </c>
      <c r="O168" s="15">
        <v>298300</v>
      </c>
      <c r="P168" s="15">
        <v>357400</v>
      </c>
      <c r="Q168" s="15"/>
    </row>
    <row r="169" spans="1:17" x14ac:dyDescent="0.25">
      <c r="A169" s="11" t="s">
        <v>1878</v>
      </c>
      <c r="B169" s="13" t="s">
        <v>163</v>
      </c>
      <c r="C169" s="10" t="s">
        <v>2313</v>
      </c>
      <c r="D169" s="13" t="s">
        <v>2099</v>
      </c>
      <c r="E169" s="14" t="s">
        <v>2100</v>
      </c>
      <c r="F169" s="14" t="s">
        <v>56</v>
      </c>
      <c r="G169" s="13"/>
      <c r="H169" s="14">
        <f>G169+I169</f>
        <v>3</v>
      </c>
      <c r="I169" s="14">
        <v>3</v>
      </c>
      <c r="J169" s="14">
        <v>3</v>
      </c>
      <c r="K169" s="13" t="s">
        <v>2332</v>
      </c>
      <c r="L169" s="15" t="s">
        <v>164</v>
      </c>
      <c r="M169" s="15">
        <v>77076</v>
      </c>
      <c r="N169" s="15">
        <v>83100</v>
      </c>
      <c r="O169" s="15">
        <v>277076</v>
      </c>
      <c r="P169" s="15">
        <v>383100</v>
      </c>
      <c r="Q169" s="15"/>
    </row>
    <row r="170" spans="1:17" x14ac:dyDescent="0.25">
      <c r="A170" s="11" t="s">
        <v>1878</v>
      </c>
      <c r="B170" s="13" t="s">
        <v>55</v>
      </c>
      <c r="C170" s="10" t="s">
        <v>1102</v>
      </c>
      <c r="D170" s="13" t="s">
        <v>220</v>
      </c>
      <c r="E170" s="14" t="s">
        <v>57</v>
      </c>
      <c r="F170" s="14" t="s">
        <v>56</v>
      </c>
      <c r="G170" s="13"/>
      <c r="H170" s="14">
        <f t="shared" si="4"/>
        <v>2</v>
      </c>
      <c r="I170" s="14">
        <v>2</v>
      </c>
      <c r="J170" s="14">
        <v>1</v>
      </c>
      <c r="K170" s="13" t="s">
        <v>1810</v>
      </c>
      <c r="L170" s="15" t="s">
        <v>184</v>
      </c>
      <c r="M170" s="15">
        <v>94808</v>
      </c>
      <c r="N170" s="15">
        <v>39042</v>
      </c>
      <c r="O170" s="15">
        <v>194808</v>
      </c>
      <c r="P170" s="15">
        <v>239042</v>
      </c>
      <c r="Q170" s="15"/>
    </row>
    <row r="171" spans="1:17" x14ac:dyDescent="0.25">
      <c r="A171" s="11" t="s">
        <v>1878</v>
      </c>
      <c r="B171" s="13" t="s">
        <v>55</v>
      </c>
      <c r="C171" s="10" t="s">
        <v>2291</v>
      </c>
      <c r="D171" s="13" t="s">
        <v>100</v>
      </c>
      <c r="E171" s="14" t="s">
        <v>57</v>
      </c>
      <c r="F171" s="14" t="s">
        <v>56</v>
      </c>
      <c r="G171" s="13"/>
      <c r="H171" s="14">
        <f t="shared" si="4"/>
        <v>1</v>
      </c>
      <c r="I171" s="14">
        <v>1</v>
      </c>
      <c r="J171" s="14">
        <v>1</v>
      </c>
      <c r="K171" s="13" t="s">
        <v>2292</v>
      </c>
      <c r="L171" s="15" t="s">
        <v>153</v>
      </c>
      <c r="M171" s="15">
        <v>15771</v>
      </c>
      <c r="N171" s="15">
        <v>33600</v>
      </c>
      <c r="O171" s="15">
        <v>215771</v>
      </c>
      <c r="P171" s="15">
        <v>233600</v>
      </c>
      <c r="Q171" s="15"/>
    </row>
    <row r="172" spans="1:17" x14ac:dyDescent="0.25">
      <c r="A172" s="11" t="s">
        <v>1878</v>
      </c>
      <c r="B172" s="13" t="s">
        <v>55</v>
      </c>
      <c r="C172" s="10" t="s">
        <v>58</v>
      </c>
      <c r="D172" s="13" t="s">
        <v>151</v>
      </c>
      <c r="E172" s="14" t="s">
        <v>57</v>
      </c>
      <c r="F172" s="14" t="s">
        <v>56</v>
      </c>
      <c r="G172" s="13"/>
      <c r="H172" s="14">
        <f t="shared" si="4"/>
        <v>2</v>
      </c>
      <c r="I172" s="14">
        <v>2</v>
      </c>
      <c r="J172" s="14">
        <v>2</v>
      </c>
      <c r="K172" s="13" t="s">
        <v>2225</v>
      </c>
      <c r="L172" s="15" t="s">
        <v>153</v>
      </c>
      <c r="M172" s="15">
        <v>211</v>
      </c>
      <c r="N172" s="15">
        <v>326</v>
      </c>
      <c r="O172" s="15">
        <v>211100</v>
      </c>
      <c r="P172" s="15">
        <v>232600</v>
      </c>
      <c r="Q172" s="15"/>
    </row>
    <row r="173" spans="1:17" ht="22.5" x14ac:dyDescent="0.25">
      <c r="A173" s="11" t="s">
        <v>1878</v>
      </c>
      <c r="B173" s="13" t="s">
        <v>161</v>
      </c>
      <c r="C173" s="10" t="s">
        <v>422</v>
      </c>
      <c r="D173" s="13" t="s">
        <v>41</v>
      </c>
      <c r="E173" s="14" t="s">
        <v>301</v>
      </c>
      <c r="F173" s="14" t="s">
        <v>56</v>
      </c>
      <c r="G173" s="13"/>
      <c r="H173" s="14">
        <f t="shared" si="4"/>
        <v>4</v>
      </c>
      <c r="I173" s="14">
        <v>4</v>
      </c>
      <c r="J173" s="14">
        <v>4</v>
      </c>
      <c r="K173" s="13" t="s">
        <v>2169</v>
      </c>
      <c r="L173" s="15" t="s">
        <v>164</v>
      </c>
      <c r="M173" s="15">
        <v>32895</v>
      </c>
      <c r="N173" s="15">
        <v>70723</v>
      </c>
      <c r="O173" s="15">
        <v>232895</v>
      </c>
      <c r="P173" s="15">
        <v>370723</v>
      </c>
      <c r="Q173" s="15"/>
    </row>
    <row r="174" spans="1:17" x14ac:dyDescent="0.25">
      <c r="A174" s="11" t="s">
        <v>1878</v>
      </c>
      <c r="B174" s="13" t="s">
        <v>161</v>
      </c>
      <c r="C174" s="10" t="s">
        <v>1600</v>
      </c>
      <c r="D174" s="13" t="s">
        <v>90</v>
      </c>
      <c r="E174" s="14" t="s">
        <v>301</v>
      </c>
      <c r="F174" s="14" t="s">
        <v>56</v>
      </c>
      <c r="G174" s="13"/>
      <c r="H174" s="14">
        <f t="shared" si="4"/>
        <v>2</v>
      </c>
      <c r="I174" s="14">
        <v>2</v>
      </c>
      <c r="J174" s="14">
        <v>2</v>
      </c>
      <c r="K174" s="13" t="s">
        <v>2270</v>
      </c>
      <c r="L174" s="15" t="s">
        <v>164</v>
      </c>
      <c r="M174" s="15">
        <v>36111</v>
      </c>
      <c r="N174" s="15">
        <v>84978</v>
      </c>
      <c r="O174" s="15">
        <v>236111</v>
      </c>
      <c r="P174" s="15">
        <v>384978</v>
      </c>
      <c r="Q174" s="15"/>
    </row>
    <row r="175" spans="1:17" x14ac:dyDescent="0.25">
      <c r="A175" s="11" t="s">
        <v>1878</v>
      </c>
      <c r="B175" s="13" t="s">
        <v>161</v>
      </c>
      <c r="C175" s="10" t="s">
        <v>181</v>
      </c>
      <c r="D175" s="13" t="s">
        <v>39</v>
      </c>
      <c r="E175" s="14" t="s">
        <v>246</v>
      </c>
      <c r="F175" s="14" t="s">
        <v>56</v>
      </c>
      <c r="G175" s="13">
        <v>1</v>
      </c>
      <c r="H175" s="14">
        <f t="shared" si="4"/>
        <v>4</v>
      </c>
      <c r="I175" s="14">
        <v>3</v>
      </c>
      <c r="J175" s="14">
        <v>3</v>
      </c>
      <c r="K175" s="13" t="s">
        <v>2164</v>
      </c>
      <c r="L175" s="15" t="s">
        <v>164</v>
      </c>
      <c r="M175" s="15">
        <v>5938</v>
      </c>
      <c r="N175" s="15">
        <v>7104</v>
      </c>
      <c r="O175" s="15">
        <v>259380</v>
      </c>
      <c r="P175" s="15">
        <v>371040</v>
      </c>
      <c r="Q175" s="15"/>
    </row>
    <row r="176" spans="1:17" x14ac:dyDescent="0.25">
      <c r="A176" s="11" t="s">
        <v>1878</v>
      </c>
      <c r="B176" s="13" t="s">
        <v>66</v>
      </c>
      <c r="C176" s="10" t="s">
        <v>65</v>
      </c>
      <c r="D176" s="13" t="s">
        <v>26</v>
      </c>
      <c r="E176" s="14" t="s">
        <v>245</v>
      </c>
      <c r="F176" s="14" t="s">
        <v>56</v>
      </c>
      <c r="G176" s="13">
        <v>1</v>
      </c>
      <c r="H176" s="14">
        <f t="shared" si="4"/>
        <v>2</v>
      </c>
      <c r="I176" s="14">
        <v>1</v>
      </c>
      <c r="J176" s="14">
        <v>2</v>
      </c>
      <c r="K176" s="13" t="s">
        <v>1993</v>
      </c>
      <c r="L176" s="15" t="s">
        <v>113</v>
      </c>
      <c r="M176" s="15">
        <v>211</v>
      </c>
      <c r="N176" s="15">
        <v>193</v>
      </c>
      <c r="O176" s="15">
        <v>321100</v>
      </c>
      <c r="P176" s="15">
        <v>219300</v>
      </c>
      <c r="Q176" s="15"/>
    </row>
    <row r="177" spans="1:17" x14ac:dyDescent="0.25">
      <c r="A177" s="11" t="s">
        <v>1878</v>
      </c>
      <c r="B177" s="13" t="s">
        <v>66</v>
      </c>
      <c r="C177" s="10" t="s">
        <v>2094</v>
      </c>
      <c r="D177" s="13" t="s">
        <v>401</v>
      </c>
      <c r="E177" s="14" t="s">
        <v>2095</v>
      </c>
      <c r="F177" s="14" t="s">
        <v>56</v>
      </c>
      <c r="G177" s="13"/>
      <c r="H177" s="14">
        <f t="shared" si="4"/>
        <v>2</v>
      </c>
      <c r="I177" s="14">
        <v>2</v>
      </c>
      <c r="J177" s="14">
        <v>2</v>
      </c>
      <c r="K177" s="13" t="s">
        <v>2190</v>
      </c>
      <c r="L177" s="15" t="s">
        <v>113</v>
      </c>
      <c r="M177" s="15">
        <v>2606</v>
      </c>
      <c r="N177" s="15">
        <v>6048</v>
      </c>
      <c r="O177" s="15">
        <v>326060</v>
      </c>
      <c r="P177" s="15">
        <v>260480</v>
      </c>
      <c r="Q177" s="15"/>
    </row>
    <row r="178" spans="1:17" x14ac:dyDescent="0.25">
      <c r="A178" s="11" t="s">
        <v>1878</v>
      </c>
      <c r="B178" s="13" t="s">
        <v>66</v>
      </c>
      <c r="C178" s="10" t="s">
        <v>2008</v>
      </c>
      <c r="D178" s="13" t="s">
        <v>26</v>
      </c>
      <c r="E178" s="14" t="s">
        <v>2009</v>
      </c>
      <c r="F178" s="14" t="s">
        <v>56</v>
      </c>
      <c r="G178" s="13"/>
      <c r="H178" s="14">
        <f t="shared" si="4"/>
        <v>2</v>
      </c>
      <c r="I178" s="14">
        <v>2</v>
      </c>
      <c r="J178" s="14">
        <v>1</v>
      </c>
      <c r="K178" s="13" t="s">
        <v>180</v>
      </c>
      <c r="L178" s="15" t="s">
        <v>113</v>
      </c>
      <c r="M178" s="15">
        <v>1603</v>
      </c>
      <c r="N178" s="15">
        <v>3728</v>
      </c>
      <c r="O178" s="15">
        <v>316030</v>
      </c>
      <c r="P178" s="15">
        <v>237280</v>
      </c>
      <c r="Q178" s="15"/>
    </row>
    <row r="179" spans="1:17" ht="22.5" x14ac:dyDescent="0.25">
      <c r="A179" s="11" t="s">
        <v>1878</v>
      </c>
      <c r="B179" s="13" t="s">
        <v>66</v>
      </c>
      <c r="C179" s="10" t="s">
        <v>632</v>
      </c>
      <c r="D179" s="13" t="s">
        <v>616</v>
      </c>
      <c r="E179" s="14" t="s">
        <v>570</v>
      </c>
      <c r="F179" s="14" t="s">
        <v>56</v>
      </c>
      <c r="G179" s="13"/>
      <c r="H179" s="14">
        <f t="shared" si="4"/>
        <v>2</v>
      </c>
      <c r="I179" s="14">
        <v>2</v>
      </c>
      <c r="J179" s="14">
        <v>1</v>
      </c>
      <c r="K179" s="13" t="s">
        <v>868</v>
      </c>
      <c r="L179" s="15" t="s">
        <v>189</v>
      </c>
      <c r="M179" s="15">
        <v>260</v>
      </c>
      <c r="N179" s="15">
        <v>49</v>
      </c>
      <c r="O179" s="15">
        <v>326000</v>
      </c>
      <c r="P179" s="15">
        <v>304900</v>
      </c>
      <c r="Q179" s="15"/>
    </row>
    <row r="180" spans="1:17" x14ac:dyDescent="0.25">
      <c r="A180" s="11" t="s">
        <v>1878</v>
      </c>
      <c r="B180" s="13" t="s">
        <v>66</v>
      </c>
      <c r="C180" s="10" t="s">
        <v>2096</v>
      </c>
      <c r="D180" s="13" t="s">
        <v>401</v>
      </c>
      <c r="E180" s="14" t="s">
        <v>2095</v>
      </c>
      <c r="F180" s="14" t="s">
        <v>56</v>
      </c>
      <c r="G180" s="13"/>
      <c r="H180" s="14">
        <f t="shared" si="4"/>
        <v>2</v>
      </c>
      <c r="I180" s="14">
        <v>2</v>
      </c>
      <c r="J180" s="14">
        <v>2</v>
      </c>
      <c r="K180" s="13" t="s">
        <v>2190</v>
      </c>
      <c r="L180" s="15" t="s">
        <v>113</v>
      </c>
      <c r="M180" s="15">
        <v>2619</v>
      </c>
      <c r="N180" s="15">
        <v>5977</v>
      </c>
      <c r="O180" s="15">
        <v>326190</v>
      </c>
      <c r="P180" s="15">
        <v>259770</v>
      </c>
      <c r="Q180" s="15"/>
    </row>
    <row r="181" spans="1:17" ht="22.5" x14ac:dyDescent="0.25">
      <c r="A181" s="11" t="s">
        <v>1878</v>
      </c>
      <c r="B181" s="13" t="s">
        <v>778</v>
      </c>
      <c r="C181" s="10" t="s">
        <v>1287</v>
      </c>
      <c r="D181" s="13" t="s">
        <v>151</v>
      </c>
      <c r="E181" s="14" t="s">
        <v>778</v>
      </c>
      <c r="F181" s="13" t="s">
        <v>776</v>
      </c>
      <c r="G181" s="13">
        <v>1</v>
      </c>
      <c r="H181" s="14">
        <f t="shared" ref="H181:H224" si="5">G181+I181</f>
        <v>2</v>
      </c>
      <c r="I181" s="14">
        <v>1</v>
      </c>
      <c r="J181" s="14">
        <v>2</v>
      </c>
      <c r="K181" s="13" t="s">
        <v>2113</v>
      </c>
      <c r="L181" s="15" t="s">
        <v>781</v>
      </c>
      <c r="M181" s="15">
        <v>148</v>
      </c>
      <c r="N181" s="15">
        <v>510</v>
      </c>
      <c r="O181" s="15">
        <v>314800</v>
      </c>
      <c r="P181" s="15">
        <v>451000</v>
      </c>
      <c r="Q181" s="15"/>
    </row>
    <row r="182" spans="1:17" ht="22.5" x14ac:dyDescent="0.25">
      <c r="A182" s="11" t="s">
        <v>1878</v>
      </c>
      <c r="B182" s="13" t="s">
        <v>778</v>
      </c>
      <c r="C182" s="10" t="s">
        <v>943</v>
      </c>
      <c r="D182" s="13" t="s">
        <v>151</v>
      </c>
      <c r="E182" s="14" t="s">
        <v>778</v>
      </c>
      <c r="F182" s="13" t="s">
        <v>776</v>
      </c>
      <c r="G182" s="13"/>
      <c r="H182" s="14">
        <f t="shared" si="5"/>
        <v>2</v>
      </c>
      <c r="I182" s="14">
        <v>2</v>
      </c>
      <c r="J182" s="14">
        <v>2</v>
      </c>
      <c r="K182" s="13" t="s">
        <v>2201</v>
      </c>
      <c r="L182" s="15" t="s">
        <v>781</v>
      </c>
      <c r="M182" s="15">
        <v>193</v>
      </c>
      <c r="N182" s="15">
        <v>268</v>
      </c>
      <c r="O182" s="15">
        <v>319300</v>
      </c>
      <c r="P182" s="15">
        <v>426800</v>
      </c>
      <c r="Q182" s="15"/>
    </row>
    <row r="183" spans="1:17" ht="22.5" x14ac:dyDescent="0.25">
      <c r="A183" s="11" t="s">
        <v>1878</v>
      </c>
      <c r="B183" s="13" t="s">
        <v>1444</v>
      </c>
      <c r="C183" s="10" t="s">
        <v>1895</v>
      </c>
      <c r="D183" s="13" t="s">
        <v>401</v>
      </c>
      <c r="E183" s="14" t="s">
        <v>1444</v>
      </c>
      <c r="F183" s="13" t="s">
        <v>776</v>
      </c>
      <c r="G183" s="13">
        <v>1</v>
      </c>
      <c r="H183" s="14">
        <f t="shared" si="5"/>
        <v>1</v>
      </c>
      <c r="J183" s="14">
        <v>1</v>
      </c>
      <c r="K183" s="13" t="s">
        <v>948</v>
      </c>
      <c r="L183" s="15" t="s">
        <v>992</v>
      </c>
      <c r="M183" s="15">
        <v>847</v>
      </c>
      <c r="N183" s="15">
        <v>452</v>
      </c>
      <c r="O183" s="45"/>
      <c r="P183" s="45"/>
      <c r="Q183" s="15"/>
    </row>
    <row r="184" spans="1:17" ht="22.5" x14ac:dyDescent="0.25">
      <c r="A184" s="11" t="s">
        <v>1878</v>
      </c>
      <c r="B184" s="13" t="s">
        <v>1968</v>
      </c>
      <c r="C184" s="10" t="s">
        <v>1999</v>
      </c>
      <c r="D184" s="13" t="s">
        <v>780</v>
      </c>
      <c r="E184" s="14" t="s">
        <v>2000</v>
      </c>
      <c r="F184" s="13" t="s">
        <v>776</v>
      </c>
      <c r="G184" s="13"/>
      <c r="H184" s="14">
        <f t="shared" si="5"/>
        <v>1</v>
      </c>
      <c r="I184" s="14">
        <v>1</v>
      </c>
      <c r="J184" s="14">
        <v>1</v>
      </c>
      <c r="K184" s="13" t="s">
        <v>87</v>
      </c>
      <c r="L184" s="15" t="s">
        <v>992</v>
      </c>
      <c r="M184" s="15">
        <v>644</v>
      </c>
      <c r="N184" s="15">
        <v>125</v>
      </c>
      <c r="O184" s="45"/>
      <c r="P184" s="45"/>
      <c r="Q184" s="15"/>
    </row>
    <row r="185" spans="1:17" ht="22.5" x14ac:dyDescent="0.25">
      <c r="A185" s="11" t="s">
        <v>1878</v>
      </c>
      <c r="B185" s="13" t="s">
        <v>1099</v>
      </c>
      <c r="C185" s="10" t="s">
        <v>1969</v>
      </c>
      <c r="D185" s="13" t="s">
        <v>1207</v>
      </c>
      <c r="E185" s="14" t="s">
        <v>1970</v>
      </c>
      <c r="F185" s="13" t="s">
        <v>776</v>
      </c>
      <c r="G185" s="13">
        <v>1</v>
      </c>
      <c r="H185" s="14">
        <f t="shared" si="5"/>
        <v>2</v>
      </c>
      <c r="I185" s="14">
        <v>1</v>
      </c>
      <c r="J185" s="14">
        <v>2</v>
      </c>
      <c r="K185" s="13" t="s">
        <v>2037</v>
      </c>
      <c r="L185" s="15" t="s">
        <v>1348</v>
      </c>
      <c r="M185" s="15">
        <v>4594</v>
      </c>
      <c r="N185" s="15">
        <v>2130</v>
      </c>
      <c r="O185" s="45"/>
      <c r="P185" s="45"/>
      <c r="Q185" s="15"/>
    </row>
    <row r="186" spans="1:17" ht="22.5" x14ac:dyDescent="0.25">
      <c r="A186" s="11" t="s">
        <v>1878</v>
      </c>
      <c r="B186" s="13" t="s">
        <v>1099</v>
      </c>
      <c r="C186" s="10" t="s">
        <v>1997</v>
      </c>
      <c r="D186" s="13" t="s">
        <v>780</v>
      </c>
      <c r="E186" s="14" t="s">
        <v>1998</v>
      </c>
      <c r="F186" s="13" t="s">
        <v>776</v>
      </c>
      <c r="G186" s="13"/>
      <c r="H186" s="14">
        <f t="shared" si="5"/>
        <v>1</v>
      </c>
      <c r="I186" s="14">
        <v>1</v>
      </c>
      <c r="J186" s="14">
        <v>1</v>
      </c>
      <c r="K186" s="13" t="s">
        <v>87</v>
      </c>
      <c r="L186" s="15" t="s">
        <v>782</v>
      </c>
      <c r="M186" s="15">
        <v>1475</v>
      </c>
      <c r="N186" s="15">
        <v>2583</v>
      </c>
      <c r="O186" s="45"/>
      <c r="P186" s="45"/>
      <c r="Q186" s="15"/>
    </row>
    <row r="187" spans="1:17" ht="22.5" x14ac:dyDescent="0.25">
      <c r="A187" s="11" t="s">
        <v>1878</v>
      </c>
      <c r="B187" s="13" t="s">
        <v>1099</v>
      </c>
      <c r="C187" s="10" t="s">
        <v>1101</v>
      </c>
      <c r="D187" s="13" t="s">
        <v>18</v>
      </c>
      <c r="E187" s="14" t="s">
        <v>1100</v>
      </c>
      <c r="F187" s="13" t="s">
        <v>776</v>
      </c>
      <c r="G187" s="13">
        <v>1</v>
      </c>
      <c r="H187" s="14">
        <f t="shared" si="5"/>
        <v>10</v>
      </c>
      <c r="I187" s="14">
        <v>9</v>
      </c>
      <c r="J187" s="14">
        <v>7</v>
      </c>
      <c r="K187" s="13" t="s">
        <v>2176</v>
      </c>
      <c r="L187" s="15" t="s">
        <v>782</v>
      </c>
      <c r="M187" s="15">
        <v>327</v>
      </c>
      <c r="N187" s="15">
        <v>677</v>
      </c>
      <c r="O187" s="15">
        <v>332700</v>
      </c>
      <c r="P187" s="15">
        <v>367700</v>
      </c>
      <c r="Q187" s="15"/>
    </row>
    <row r="188" spans="1:17" ht="22.5" x14ac:dyDescent="0.25">
      <c r="A188" s="11" t="s">
        <v>1878</v>
      </c>
      <c r="B188" s="13" t="s">
        <v>2114</v>
      </c>
      <c r="C188" s="10" t="s">
        <v>2115</v>
      </c>
      <c r="D188" s="13" t="s">
        <v>2116</v>
      </c>
      <c r="E188" s="14" t="s">
        <v>2114</v>
      </c>
      <c r="F188" s="13" t="s">
        <v>776</v>
      </c>
      <c r="G188" s="13"/>
      <c r="H188" s="14">
        <f t="shared" si="5"/>
        <v>2</v>
      </c>
      <c r="I188" s="14">
        <v>2</v>
      </c>
      <c r="J188" s="14">
        <v>2</v>
      </c>
      <c r="K188" s="13" t="s">
        <v>2158</v>
      </c>
      <c r="L188" s="15" t="s">
        <v>992</v>
      </c>
      <c r="M188" s="15">
        <v>2170</v>
      </c>
      <c r="N188" s="15">
        <v>6267</v>
      </c>
      <c r="O188" s="45"/>
      <c r="P188" s="45"/>
      <c r="Q188" s="15"/>
    </row>
    <row r="189" spans="1:17" ht="22.5" x14ac:dyDescent="0.25">
      <c r="A189" s="11" t="s">
        <v>1878</v>
      </c>
      <c r="B189" s="13" t="s">
        <v>1264</v>
      </c>
      <c r="C189" s="10" t="s">
        <v>1265</v>
      </c>
      <c r="D189" s="13" t="s">
        <v>1266</v>
      </c>
      <c r="E189" s="14" t="s">
        <v>1264</v>
      </c>
      <c r="F189" s="13" t="s">
        <v>776</v>
      </c>
      <c r="G189" s="13"/>
      <c r="H189" s="14">
        <f t="shared" si="5"/>
        <v>5</v>
      </c>
      <c r="I189" s="14">
        <v>5</v>
      </c>
      <c r="J189" s="14">
        <v>4</v>
      </c>
      <c r="K189" s="13" t="s">
        <v>2333</v>
      </c>
      <c r="L189" s="15" t="s">
        <v>992</v>
      </c>
      <c r="M189" s="15">
        <v>685</v>
      </c>
      <c r="N189" s="15">
        <v>842</v>
      </c>
      <c r="O189" s="15">
        <v>268500</v>
      </c>
      <c r="P189" s="15">
        <v>384200</v>
      </c>
      <c r="Q189" s="15"/>
    </row>
    <row r="190" spans="1:17" ht="22.5" x14ac:dyDescent="0.25">
      <c r="A190" s="11" t="s">
        <v>1878</v>
      </c>
      <c r="B190" s="13" t="s">
        <v>1264</v>
      </c>
      <c r="C190" s="10" t="s">
        <v>2147</v>
      </c>
      <c r="D190" s="13" t="s">
        <v>8</v>
      </c>
      <c r="E190" s="14" t="s">
        <v>1646</v>
      </c>
      <c r="F190" s="13" t="s">
        <v>776</v>
      </c>
      <c r="G190" s="13"/>
      <c r="H190" s="14">
        <f t="shared" si="5"/>
        <v>1</v>
      </c>
      <c r="I190" s="14">
        <v>1</v>
      </c>
      <c r="J190" s="14">
        <v>1</v>
      </c>
      <c r="K190" s="13" t="s">
        <v>849</v>
      </c>
      <c r="L190" s="15" t="s">
        <v>992</v>
      </c>
      <c r="M190" s="15">
        <v>624</v>
      </c>
      <c r="N190" s="15">
        <v>845</v>
      </c>
      <c r="O190" s="45"/>
      <c r="P190" s="45"/>
      <c r="Q190" s="15"/>
    </row>
    <row r="191" spans="1:17" x14ac:dyDescent="0.25">
      <c r="A191" s="11" t="s">
        <v>1878</v>
      </c>
      <c r="B191" s="13" t="s">
        <v>1157</v>
      </c>
      <c r="C191" s="10" t="s">
        <v>1158</v>
      </c>
      <c r="D191" s="13" t="s">
        <v>1159</v>
      </c>
      <c r="E191" s="14" t="s">
        <v>1209</v>
      </c>
      <c r="F191" s="13" t="s">
        <v>773</v>
      </c>
      <c r="G191" s="13"/>
      <c r="H191" s="14">
        <f t="shared" si="5"/>
        <v>1</v>
      </c>
      <c r="I191" s="14">
        <v>1</v>
      </c>
      <c r="J191" s="14">
        <v>1</v>
      </c>
      <c r="K191" s="13" t="s">
        <v>74</v>
      </c>
      <c r="L191" s="15" t="s">
        <v>1160</v>
      </c>
      <c r="M191" s="15">
        <v>235</v>
      </c>
      <c r="N191" s="15">
        <v>4</v>
      </c>
      <c r="O191" s="15">
        <v>123500</v>
      </c>
      <c r="P191" s="15">
        <v>200400</v>
      </c>
      <c r="Q191" s="15"/>
    </row>
    <row r="192" spans="1:17" ht="45" x14ac:dyDescent="0.25">
      <c r="A192" s="11" t="s">
        <v>1878</v>
      </c>
      <c r="B192" s="13" t="s">
        <v>1157</v>
      </c>
      <c r="C192" s="10" t="s">
        <v>1209</v>
      </c>
      <c r="D192" s="13" t="s">
        <v>1210</v>
      </c>
      <c r="E192" s="14" t="s">
        <v>1209</v>
      </c>
      <c r="F192" s="13" t="s">
        <v>773</v>
      </c>
      <c r="G192" s="13"/>
      <c r="H192" s="14">
        <f t="shared" si="5"/>
        <v>3</v>
      </c>
      <c r="I192" s="14">
        <v>3</v>
      </c>
      <c r="J192" s="14">
        <v>3</v>
      </c>
      <c r="K192" s="13" t="s">
        <v>2303</v>
      </c>
      <c r="L192" s="15" t="s">
        <v>1160</v>
      </c>
      <c r="M192" s="15">
        <v>235</v>
      </c>
      <c r="N192" s="15">
        <v>4</v>
      </c>
      <c r="O192" s="15">
        <v>123500</v>
      </c>
      <c r="P192" s="15">
        <v>200400</v>
      </c>
      <c r="Q192" s="15"/>
    </row>
    <row r="193" spans="1:17" x14ac:dyDescent="0.25">
      <c r="A193" s="11" t="s">
        <v>1878</v>
      </c>
      <c r="B193" s="13" t="s">
        <v>1248</v>
      </c>
      <c r="C193" s="10" t="s">
        <v>1251</v>
      </c>
      <c r="D193" s="13" t="s">
        <v>1249</v>
      </c>
      <c r="E193" s="14" t="s">
        <v>1248</v>
      </c>
      <c r="F193" s="13" t="s">
        <v>773</v>
      </c>
      <c r="G193" s="13"/>
      <c r="H193" s="14">
        <f t="shared" si="5"/>
        <v>2</v>
      </c>
      <c r="I193" s="14">
        <v>2</v>
      </c>
      <c r="J193" s="14">
        <v>1</v>
      </c>
      <c r="K193" s="13" t="s">
        <v>2317</v>
      </c>
      <c r="L193" s="15" t="s">
        <v>670</v>
      </c>
      <c r="M193" s="15">
        <v>603</v>
      </c>
      <c r="N193" s="15">
        <v>907</v>
      </c>
      <c r="O193" s="15">
        <v>160300</v>
      </c>
      <c r="P193" s="15">
        <v>90700</v>
      </c>
      <c r="Q193" s="15"/>
    </row>
    <row r="194" spans="1:17" ht="22.5" x14ac:dyDescent="0.25">
      <c r="A194" s="11" t="s">
        <v>1878</v>
      </c>
      <c r="B194" s="13" t="s">
        <v>793</v>
      </c>
      <c r="C194" s="10" t="s">
        <v>1896</v>
      </c>
      <c r="D194" s="13" t="s">
        <v>1897</v>
      </c>
      <c r="E194" s="14" t="s">
        <v>793</v>
      </c>
      <c r="F194" s="13" t="s">
        <v>773</v>
      </c>
      <c r="G194" s="13">
        <v>1</v>
      </c>
      <c r="H194" s="14">
        <f t="shared" si="5"/>
        <v>2</v>
      </c>
      <c r="I194" s="14">
        <v>1</v>
      </c>
      <c r="J194" s="14">
        <v>2</v>
      </c>
      <c r="K194" s="13" t="s">
        <v>2202</v>
      </c>
      <c r="L194" s="15" t="s">
        <v>798</v>
      </c>
      <c r="M194" s="15">
        <v>316</v>
      </c>
      <c r="N194" s="15">
        <v>510</v>
      </c>
      <c r="Q194" s="15"/>
    </row>
    <row r="195" spans="1:17" x14ac:dyDescent="0.25">
      <c r="A195" s="11" t="s">
        <v>1878</v>
      </c>
      <c r="B195" s="13" t="s">
        <v>878</v>
      </c>
      <c r="C195" s="10" t="s">
        <v>2123</v>
      </c>
      <c r="E195" s="14" t="s">
        <v>2124</v>
      </c>
      <c r="F195" s="13" t="s">
        <v>773</v>
      </c>
      <c r="G195" s="13">
        <v>1</v>
      </c>
      <c r="H195" s="14">
        <f t="shared" si="5"/>
        <v>7</v>
      </c>
      <c r="I195" s="14">
        <v>6</v>
      </c>
      <c r="J195" s="14">
        <v>5</v>
      </c>
      <c r="K195" s="13" t="s">
        <v>2261</v>
      </c>
      <c r="Q195" s="15"/>
    </row>
    <row r="196" spans="1:17" x14ac:dyDescent="0.25">
      <c r="A196" s="11" t="s">
        <v>1878</v>
      </c>
      <c r="B196" s="13" t="s">
        <v>1977</v>
      </c>
      <c r="C196" s="10" t="s">
        <v>1971</v>
      </c>
      <c r="D196" s="13" t="s">
        <v>188</v>
      </c>
      <c r="E196" s="14" t="s">
        <v>1972</v>
      </c>
      <c r="F196" s="13" t="s">
        <v>773</v>
      </c>
      <c r="G196" s="13">
        <v>1</v>
      </c>
      <c r="H196" s="14">
        <f t="shared" si="5"/>
        <v>2</v>
      </c>
      <c r="I196" s="14">
        <v>1</v>
      </c>
      <c r="J196" s="14">
        <v>2</v>
      </c>
      <c r="K196" s="13" t="s">
        <v>1974</v>
      </c>
      <c r="L196" s="15" t="s">
        <v>1973</v>
      </c>
      <c r="M196" s="15">
        <v>32691</v>
      </c>
      <c r="N196" s="15">
        <v>5384</v>
      </c>
      <c r="O196" s="45"/>
      <c r="P196" s="45"/>
      <c r="Q196" s="15"/>
    </row>
    <row r="197" spans="1:17" ht="22.5" x14ac:dyDescent="0.25">
      <c r="A197" s="11" t="s">
        <v>1878</v>
      </c>
      <c r="B197" s="13" t="s">
        <v>1977</v>
      </c>
      <c r="C197" s="10" t="s">
        <v>2148</v>
      </c>
      <c r="D197" s="13" t="s">
        <v>2149</v>
      </c>
      <c r="E197" s="14" t="s">
        <v>2150</v>
      </c>
      <c r="F197" s="13" t="s">
        <v>773</v>
      </c>
      <c r="G197" s="13"/>
      <c r="H197" s="14">
        <f t="shared" si="5"/>
        <v>1</v>
      </c>
      <c r="I197" s="14">
        <v>1</v>
      </c>
      <c r="J197" s="14">
        <v>1</v>
      </c>
      <c r="K197" s="13" t="s">
        <v>849</v>
      </c>
      <c r="L197" s="15" t="s">
        <v>667</v>
      </c>
      <c r="M197" s="15">
        <v>937</v>
      </c>
      <c r="N197" s="15">
        <v>206</v>
      </c>
      <c r="O197" s="45"/>
      <c r="P197" s="45"/>
      <c r="Q197" s="15"/>
    </row>
    <row r="198" spans="1:17" ht="22.5" x14ac:dyDescent="0.25">
      <c r="A198" s="11" t="s">
        <v>1878</v>
      </c>
      <c r="B198" s="13" t="s">
        <v>2120</v>
      </c>
      <c r="C198" s="10" t="s">
        <v>2121</v>
      </c>
      <c r="D198" s="13" t="s">
        <v>41</v>
      </c>
      <c r="E198" s="14" t="s">
        <v>2122</v>
      </c>
      <c r="F198" s="13" t="s">
        <v>773</v>
      </c>
      <c r="G198" s="13"/>
      <c r="H198" s="14">
        <f t="shared" si="5"/>
        <v>4</v>
      </c>
      <c r="I198" s="14">
        <v>4</v>
      </c>
      <c r="J198" s="14">
        <v>4</v>
      </c>
      <c r="K198" s="13" t="s">
        <v>2159</v>
      </c>
      <c r="L198" s="15" t="s">
        <v>668</v>
      </c>
      <c r="M198" s="15">
        <v>408</v>
      </c>
      <c r="N198" s="15">
        <v>313</v>
      </c>
      <c r="O198" s="45"/>
      <c r="P198" s="45"/>
      <c r="Q198" s="15"/>
    </row>
    <row r="199" spans="1:17" x14ac:dyDescent="0.25">
      <c r="A199" s="11" t="s">
        <v>1878</v>
      </c>
      <c r="B199" s="13" t="s">
        <v>1691</v>
      </c>
      <c r="C199" s="10" t="s">
        <v>1978</v>
      </c>
      <c r="D199" s="13" t="s">
        <v>1207</v>
      </c>
      <c r="E199" s="14" t="s">
        <v>1221</v>
      </c>
      <c r="F199" s="13" t="s">
        <v>773</v>
      </c>
      <c r="G199" s="13">
        <v>1</v>
      </c>
      <c r="H199" s="14">
        <f t="shared" si="5"/>
        <v>2</v>
      </c>
      <c r="I199" s="14">
        <v>1</v>
      </c>
      <c r="J199" s="14">
        <v>2</v>
      </c>
      <c r="K199" s="13" t="s">
        <v>1981</v>
      </c>
      <c r="L199" s="15" t="s">
        <v>667</v>
      </c>
      <c r="M199" s="15">
        <v>851</v>
      </c>
      <c r="N199" s="15">
        <v>125</v>
      </c>
      <c r="O199" s="45"/>
      <c r="P199" s="45"/>
      <c r="Q199" s="15"/>
    </row>
    <row r="200" spans="1:17" x14ac:dyDescent="0.25">
      <c r="A200" s="11" t="s">
        <v>1878</v>
      </c>
      <c r="B200" s="13" t="s">
        <v>804</v>
      </c>
      <c r="C200" s="10" t="s">
        <v>1423</v>
      </c>
      <c r="D200" s="13" t="s">
        <v>8</v>
      </c>
      <c r="E200" s="14" t="s">
        <v>804</v>
      </c>
      <c r="F200" s="13" t="s">
        <v>773</v>
      </c>
      <c r="G200" s="13"/>
      <c r="H200" s="14">
        <f t="shared" si="5"/>
        <v>1</v>
      </c>
      <c r="I200" s="14">
        <v>1</v>
      </c>
      <c r="J200" s="14">
        <v>1</v>
      </c>
      <c r="K200" s="13" t="s">
        <v>502</v>
      </c>
      <c r="L200" s="45"/>
      <c r="M200" s="45"/>
      <c r="N200" s="45"/>
      <c r="O200" s="45"/>
      <c r="P200" s="45"/>
      <c r="Q200" s="15"/>
    </row>
    <row r="201" spans="1:17" ht="22.5" x14ac:dyDescent="0.25">
      <c r="A201" s="11" t="s">
        <v>1878</v>
      </c>
      <c r="B201" s="13" t="s">
        <v>804</v>
      </c>
      <c r="C201" s="10" t="s">
        <v>1397</v>
      </c>
      <c r="D201" s="13" t="s">
        <v>41</v>
      </c>
      <c r="E201" s="50" t="s">
        <v>2146</v>
      </c>
      <c r="F201" s="13" t="s">
        <v>773</v>
      </c>
      <c r="G201" s="13"/>
      <c r="H201" s="14">
        <f t="shared" si="5"/>
        <v>3</v>
      </c>
      <c r="I201" s="14">
        <v>3</v>
      </c>
      <c r="J201" s="14">
        <v>3</v>
      </c>
      <c r="K201" s="13" t="s">
        <v>2228</v>
      </c>
      <c r="L201" s="15" t="s">
        <v>808</v>
      </c>
      <c r="M201" s="15">
        <v>646</v>
      </c>
      <c r="N201" s="15">
        <v>403</v>
      </c>
      <c r="O201" s="45"/>
      <c r="P201" s="45"/>
      <c r="Q201" s="15"/>
    </row>
    <row r="202" spans="1:17" x14ac:dyDescent="0.25">
      <c r="A202" s="11" t="s">
        <v>1878</v>
      </c>
      <c r="B202" s="13" t="s">
        <v>984</v>
      </c>
      <c r="C202" s="10" t="s">
        <v>2118</v>
      </c>
      <c r="F202" s="13" t="s">
        <v>773</v>
      </c>
      <c r="G202" s="13"/>
      <c r="H202" s="14">
        <f t="shared" si="5"/>
        <v>3</v>
      </c>
      <c r="I202" s="14">
        <v>3</v>
      </c>
      <c r="J202" s="14">
        <v>2</v>
      </c>
      <c r="K202" s="13" t="s">
        <v>2161</v>
      </c>
      <c r="Q202" s="15"/>
    </row>
    <row r="203" spans="1:17" x14ac:dyDescent="0.25">
      <c r="A203" s="11" t="s">
        <v>1878</v>
      </c>
      <c r="B203" s="13" t="s">
        <v>785</v>
      </c>
      <c r="C203" s="10" t="s">
        <v>1204</v>
      </c>
      <c r="D203" s="13" t="s">
        <v>780</v>
      </c>
      <c r="E203" s="14" t="s">
        <v>1205</v>
      </c>
      <c r="F203" s="13" t="s">
        <v>773</v>
      </c>
      <c r="G203" s="13">
        <v>1</v>
      </c>
      <c r="H203" s="14">
        <f t="shared" si="5"/>
        <v>6</v>
      </c>
      <c r="I203" s="14">
        <v>5</v>
      </c>
      <c r="J203" s="14">
        <v>4</v>
      </c>
      <c r="K203" s="13" t="s">
        <v>2002</v>
      </c>
      <c r="L203" s="15" t="s">
        <v>802</v>
      </c>
      <c r="M203" s="15">
        <v>97</v>
      </c>
      <c r="N203" s="15">
        <v>381</v>
      </c>
      <c r="O203" s="15">
        <v>109700</v>
      </c>
      <c r="P203" s="15">
        <v>338100</v>
      </c>
      <c r="Q203" s="15"/>
    </row>
    <row r="204" spans="1:17" x14ac:dyDescent="0.25">
      <c r="A204" s="11" t="s">
        <v>1878</v>
      </c>
      <c r="B204" s="13" t="s">
        <v>785</v>
      </c>
      <c r="C204" s="10" t="s">
        <v>1984</v>
      </c>
      <c r="D204" s="13" t="s">
        <v>1985</v>
      </c>
      <c r="E204" s="14" t="s">
        <v>1986</v>
      </c>
      <c r="F204" s="13" t="s">
        <v>773</v>
      </c>
      <c r="G204" s="13"/>
      <c r="H204" s="14">
        <f t="shared" si="5"/>
        <v>3</v>
      </c>
      <c r="I204" s="14">
        <v>3</v>
      </c>
      <c r="J204" s="14">
        <v>2</v>
      </c>
      <c r="K204" s="13" t="s">
        <v>1994</v>
      </c>
      <c r="L204" s="15" t="s">
        <v>802</v>
      </c>
      <c r="M204" s="15">
        <v>52</v>
      </c>
      <c r="N204" s="15">
        <v>408</v>
      </c>
      <c r="O204" s="45"/>
      <c r="P204" s="45"/>
      <c r="Q204" s="15"/>
    </row>
    <row r="205" spans="1:17" ht="22.5" x14ac:dyDescent="0.25">
      <c r="A205" s="11" t="s">
        <v>1878</v>
      </c>
      <c r="B205" s="13" t="s">
        <v>795</v>
      </c>
      <c r="C205" s="10" t="s">
        <v>1237</v>
      </c>
      <c r="D205" s="13" t="s">
        <v>41</v>
      </c>
      <c r="E205" s="14" t="s">
        <v>797</v>
      </c>
      <c r="F205" s="13" t="s">
        <v>773</v>
      </c>
      <c r="G205" s="13"/>
      <c r="H205" s="14">
        <f t="shared" si="5"/>
        <v>2</v>
      </c>
      <c r="I205" s="14">
        <v>2</v>
      </c>
      <c r="J205" s="14">
        <v>2</v>
      </c>
      <c r="K205" s="13" t="s">
        <v>2132</v>
      </c>
      <c r="L205" s="15" t="s">
        <v>798</v>
      </c>
      <c r="M205" s="15">
        <v>24</v>
      </c>
      <c r="N205" s="15">
        <v>737</v>
      </c>
      <c r="O205" s="15">
        <v>302400</v>
      </c>
      <c r="P205" s="15">
        <v>273700</v>
      </c>
      <c r="Q205" s="15"/>
    </row>
    <row r="206" spans="1:17" ht="22.5" x14ac:dyDescent="0.25">
      <c r="A206" s="11" t="s">
        <v>1878</v>
      </c>
      <c r="B206" s="13" t="s">
        <v>795</v>
      </c>
      <c r="C206" s="10" t="s">
        <v>1156</v>
      </c>
      <c r="D206" s="13" t="s">
        <v>41</v>
      </c>
      <c r="E206" s="14" t="s">
        <v>797</v>
      </c>
      <c r="F206" s="13" t="s">
        <v>773</v>
      </c>
      <c r="G206" s="13"/>
      <c r="H206" s="14">
        <f t="shared" si="5"/>
        <v>2</v>
      </c>
      <c r="I206" s="14">
        <v>2</v>
      </c>
      <c r="J206" s="14">
        <v>2</v>
      </c>
      <c r="K206" s="13" t="s">
        <v>2132</v>
      </c>
      <c r="L206" s="15" t="s">
        <v>798</v>
      </c>
      <c r="M206" s="15">
        <v>109</v>
      </c>
      <c r="N206" s="15">
        <v>620</v>
      </c>
      <c r="O206" s="15">
        <v>310900</v>
      </c>
      <c r="P206" s="15">
        <v>262000</v>
      </c>
      <c r="Q206" s="15"/>
    </row>
    <row r="207" spans="1:17" x14ac:dyDescent="0.25">
      <c r="A207" s="11" t="s">
        <v>1878</v>
      </c>
      <c r="B207" s="13" t="s">
        <v>795</v>
      </c>
      <c r="C207" s="10" t="s">
        <v>2119</v>
      </c>
      <c r="E207" s="14" t="s">
        <v>797</v>
      </c>
      <c r="F207" s="13" t="s">
        <v>773</v>
      </c>
      <c r="G207" s="13"/>
      <c r="H207" s="14">
        <f>G207+I207</f>
        <v>3</v>
      </c>
      <c r="I207" s="14">
        <v>3</v>
      </c>
      <c r="J207" s="14">
        <v>3</v>
      </c>
      <c r="K207" s="13" t="s">
        <v>2275</v>
      </c>
      <c r="L207" s="15" t="s">
        <v>798</v>
      </c>
      <c r="M207" s="15">
        <v>421</v>
      </c>
      <c r="N207" s="15">
        <v>6636</v>
      </c>
      <c r="Q207" s="15"/>
    </row>
    <row r="208" spans="1:17" ht="22.5" x14ac:dyDescent="0.25">
      <c r="A208" s="11" t="s">
        <v>1878</v>
      </c>
      <c r="B208" s="13" t="s">
        <v>795</v>
      </c>
      <c r="C208" s="10" t="s">
        <v>983</v>
      </c>
      <c r="D208" s="13" t="s">
        <v>800</v>
      </c>
      <c r="E208" s="14" t="s">
        <v>797</v>
      </c>
      <c r="F208" s="13" t="s">
        <v>773</v>
      </c>
      <c r="G208" s="13">
        <v>1</v>
      </c>
      <c r="H208" s="14">
        <f t="shared" si="5"/>
        <v>24</v>
      </c>
      <c r="I208" s="14">
        <v>23</v>
      </c>
      <c r="J208" s="14">
        <v>15</v>
      </c>
      <c r="K208" s="13" t="s">
        <v>2230</v>
      </c>
      <c r="L208" s="15" t="s">
        <v>667</v>
      </c>
      <c r="M208" s="15">
        <v>996</v>
      </c>
      <c r="N208" s="15">
        <v>735</v>
      </c>
      <c r="O208" s="15">
        <v>299600</v>
      </c>
      <c r="P208" s="15">
        <v>273500</v>
      </c>
      <c r="Q208" s="15"/>
    </row>
    <row r="209" spans="1:17" ht="22.5" x14ac:dyDescent="0.25">
      <c r="A209" s="11" t="s">
        <v>1878</v>
      </c>
      <c r="B209" s="13" t="s">
        <v>795</v>
      </c>
      <c r="C209" s="10" t="s">
        <v>983</v>
      </c>
      <c r="D209" s="13" t="s">
        <v>1212</v>
      </c>
      <c r="E209" s="14" t="s">
        <v>797</v>
      </c>
      <c r="F209" s="13" t="s">
        <v>773</v>
      </c>
      <c r="G209" s="13"/>
      <c r="H209" s="14">
        <f t="shared" si="5"/>
        <v>4</v>
      </c>
      <c r="I209" s="14">
        <v>4</v>
      </c>
      <c r="J209" s="14">
        <v>2</v>
      </c>
      <c r="K209" s="13" t="s">
        <v>521</v>
      </c>
      <c r="L209" s="15" t="s">
        <v>667</v>
      </c>
      <c r="M209" s="15">
        <v>996</v>
      </c>
      <c r="N209" s="15">
        <v>735</v>
      </c>
      <c r="O209" s="15">
        <v>299600</v>
      </c>
      <c r="P209" s="15">
        <v>273500</v>
      </c>
      <c r="Q209" s="15"/>
    </row>
    <row r="210" spans="1:17" ht="22.5" x14ac:dyDescent="0.25">
      <c r="A210" s="11" t="s">
        <v>1878</v>
      </c>
      <c r="B210" s="13" t="s">
        <v>795</v>
      </c>
      <c r="C210" s="10" t="s">
        <v>799</v>
      </c>
      <c r="D210" s="13" t="s">
        <v>800</v>
      </c>
      <c r="E210" s="14" t="s">
        <v>797</v>
      </c>
      <c r="F210" s="13" t="s">
        <v>773</v>
      </c>
      <c r="G210" s="13"/>
      <c r="H210" s="14">
        <f t="shared" si="5"/>
        <v>10</v>
      </c>
      <c r="I210" s="14">
        <v>10</v>
      </c>
      <c r="J210" s="14">
        <v>6</v>
      </c>
      <c r="K210" s="13" t="s">
        <v>2135</v>
      </c>
      <c r="L210" s="15" t="s">
        <v>667</v>
      </c>
      <c r="M210" s="15">
        <v>585</v>
      </c>
      <c r="N210" s="15">
        <v>775</v>
      </c>
      <c r="O210" s="15">
        <v>258500</v>
      </c>
      <c r="P210" s="15">
        <v>277500</v>
      </c>
      <c r="Q210" s="15"/>
    </row>
    <row r="211" spans="1:17" x14ac:dyDescent="0.25">
      <c r="A211" s="11" t="s">
        <v>1878</v>
      </c>
      <c r="B211" s="13" t="s">
        <v>795</v>
      </c>
      <c r="C211" s="10" t="s">
        <v>1240</v>
      </c>
      <c r="D211" s="13" t="s">
        <v>18</v>
      </c>
      <c r="E211" s="14" t="s">
        <v>797</v>
      </c>
      <c r="F211" s="13" t="s">
        <v>773</v>
      </c>
      <c r="G211" s="13"/>
      <c r="H211" s="14">
        <f t="shared" si="5"/>
        <v>2</v>
      </c>
      <c r="I211" s="14">
        <v>2</v>
      </c>
      <c r="J211" s="14">
        <v>2</v>
      </c>
      <c r="K211" s="13" t="s">
        <v>2145</v>
      </c>
      <c r="L211" s="15" t="s">
        <v>798</v>
      </c>
      <c r="M211" s="15">
        <v>6</v>
      </c>
      <c r="N211" s="15">
        <v>755</v>
      </c>
      <c r="O211" s="15">
        <v>300600</v>
      </c>
      <c r="P211" s="15">
        <v>275500</v>
      </c>
      <c r="Q211" s="15"/>
    </row>
    <row r="212" spans="1:17" ht="22.5" x14ac:dyDescent="0.25">
      <c r="A212" s="11" t="s">
        <v>1878</v>
      </c>
      <c r="B212" s="13" t="s">
        <v>795</v>
      </c>
      <c r="C212" s="10" t="s">
        <v>796</v>
      </c>
      <c r="D212" s="13" t="s">
        <v>800</v>
      </c>
      <c r="E212" s="14" t="s">
        <v>797</v>
      </c>
      <c r="F212" s="13" t="s">
        <v>773</v>
      </c>
      <c r="G212" s="13">
        <v>1</v>
      </c>
      <c r="H212" s="14">
        <f t="shared" si="5"/>
        <v>28</v>
      </c>
      <c r="I212" s="14">
        <v>27</v>
      </c>
      <c r="J212" s="14">
        <v>17</v>
      </c>
      <c r="K212" s="13" t="s">
        <v>2229</v>
      </c>
      <c r="L212" s="15" t="s">
        <v>798</v>
      </c>
      <c r="M212" s="15">
        <v>6</v>
      </c>
      <c r="N212" s="15">
        <v>727</v>
      </c>
      <c r="O212" s="15">
        <v>300600</v>
      </c>
      <c r="P212" s="15">
        <v>272700</v>
      </c>
      <c r="Q212" s="15"/>
    </row>
    <row r="213" spans="1:17" ht="22.5" x14ac:dyDescent="0.25">
      <c r="A213" s="11" t="s">
        <v>1878</v>
      </c>
      <c r="B213" s="13" t="s">
        <v>795</v>
      </c>
      <c r="C213" s="10" t="s">
        <v>1451</v>
      </c>
      <c r="D213" s="13" t="s">
        <v>41</v>
      </c>
      <c r="E213" s="14" t="s">
        <v>797</v>
      </c>
      <c r="F213" s="13" t="s">
        <v>773</v>
      </c>
      <c r="G213" s="13"/>
      <c r="H213" s="14">
        <f t="shared" si="5"/>
        <v>6</v>
      </c>
      <c r="I213" s="14">
        <v>6</v>
      </c>
      <c r="J213" s="14">
        <v>5</v>
      </c>
      <c r="K213" s="13" t="s">
        <v>2287</v>
      </c>
      <c r="L213" s="15" t="s">
        <v>667</v>
      </c>
      <c r="M213" s="15">
        <v>91917</v>
      </c>
      <c r="N213" s="15">
        <v>59833</v>
      </c>
      <c r="O213" s="15">
        <v>291917</v>
      </c>
      <c r="P213" s="15">
        <v>259833</v>
      </c>
      <c r="Q213" s="15"/>
    </row>
    <row r="214" spans="1:17" x14ac:dyDescent="0.25">
      <c r="A214" s="11" t="s">
        <v>1878</v>
      </c>
      <c r="B214" s="13" t="s">
        <v>772</v>
      </c>
      <c r="C214" s="10" t="s">
        <v>801</v>
      </c>
      <c r="D214" s="13" t="s">
        <v>1278</v>
      </c>
      <c r="E214" s="14" t="s">
        <v>772</v>
      </c>
      <c r="F214" s="14" t="s">
        <v>773</v>
      </c>
      <c r="G214" s="13">
        <v>3</v>
      </c>
      <c r="H214" s="14">
        <f>G214+I214</f>
        <v>4</v>
      </c>
      <c r="I214" s="14">
        <v>1</v>
      </c>
      <c r="J214" s="14">
        <v>4</v>
      </c>
      <c r="K214" s="13" t="s">
        <v>2153</v>
      </c>
      <c r="L214" s="15" t="s">
        <v>802</v>
      </c>
      <c r="M214" s="15">
        <v>755</v>
      </c>
      <c r="N214" s="15">
        <v>115</v>
      </c>
      <c r="O214" s="15">
        <v>175500</v>
      </c>
      <c r="P214" s="15">
        <v>311500</v>
      </c>
      <c r="Q214" s="15"/>
    </row>
    <row r="215" spans="1:17" ht="22.5" x14ac:dyDescent="0.25">
      <c r="A215" s="11" t="s">
        <v>1878</v>
      </c>
      <c r="B215" s="13" t="s">
        <v>772</v>
      </c>
      <c r="C215" s="10" t="s">
        <v>801</v>
      </c>
      <c r="D215" s="13" t="s">
        <v>800</v>
      </c>
      <c r="E215" s="14" t="s">
        <v>772</v>
      </c>
      <c r="F215" s="14" t="s">
        <v>773</v>
      </c>
      <c r="G215" s="13"/>
      <c r="H215" s="14">
        <f t="shared" si="5"/>
        <v>5</v>
      </c>
      <c r="I215" s="14">
        <v>5</v>
      </c>
      <c r="J215" s="14">
        <v>4</v>
      </c>
      <c r="K215" s="13" t="s">
        <v>2133</v>
      </c>
      <c r="L215" s="15" t="s">
        <v>802</v>
      </c>
      <c r="M215" s="15">
        <v>755</v>
      </c>
      <c r="N215" s="15">
        <v>115</v>
      </c>
      <c r="O215" s="15">
        <v>175500</v>
      </c>
      <c r="P215" s="15">
        <v>311500</v>
      </c>
      <c r="Q215" s="15"/>
    </row>
    <row r="216" spans="1:17" ht="22.5" x14ac:dyDescent="0.25">
      <c r="A216" s="11" t="s">
        <v>1878</v>
      </c>
      <c r="B216" s="13" t="s">
        <v>772</v>
      </c>
      <c r="C216" s="10" t="s">
        <v>806</v>
      </c>
      <c r="D216" s="13" t="s">
        <v>800</v>
      </c>
      <c r="E216" s="14" t="s">
        <v>1220</v>
      </c>
      <c r="F216" s="14" t="s">
        <v>773</v>
      </c>
      <c r="G216" s="13">
        <v>2</v>
      </c>
      <c r="H216" s="14">
        <f t="shared" si="5"/>
        <v>9</v>
      </c>
      <c r="I216" s="14">
        <v>7</v>
      </c>
      <c r="J216" s="14">
        <v>7</v>
      </c>
      <c r="K216" s="13" t="s">
        <v>2131</v>
      </c>
      <c r="L216" s="15" t="s">
        <v>802</v>
      </c>
      <c r="M216" s="15">
        <v>663</v>
      </c>
      <c r="N216" s="15">
        <v>337</v>
      </c>
      <c r="O216" s="15">
        <v>166300</v>
      </c>
      <c r="P216" s="15">
        <v>333700</v>
      </c>
      <c r="Q216" s="15"/>
    </row>
    <row r="217" spans="1:17" x14ac:dyDescent="0.25">
      <c r="A217" s="11" t="s">
        <v>1878</v>
      </c>
      <c r="B217" s="13" t="s">
        <v>772</v>
      </c>
      <c r="C217" s="10" t="s">
        <v>2128</v>
      </c>
      <c r="D217" s="13" t="s">
        <v>2129</v>
      </c>
      <c r="E217" s="14" t="s">
        <v>806</v>
      </c>
      <c r="F217" s="14" t="s">
        <v>773</v>
      </c>
      <c r="G217" s="13"/>
      <c r="H217" s="14">
        <f>G217+I217</f>
        <v>1</v>
      </c>
      <c r="I217" s="14">
        <v>1</v>
      </c>
      <c r="J217" s="14">
        <v>1</v>
      </c>
      <c r="K217" s="13" t="s">
        <v>572</v>
      </c>
      <c r="L217" s="15" t="s">
        <v>802</v>
      </c>
      <c r="M217" s="15">
        <v>663</v>
      </c>
      <c r="N217" s="15">
        <v>337</v>
      </c>
      <c r="O217" s="15">
        <v>166300</v>
      </c>
      <c r="P217" s="15">
        <v>333700</v>
      </c>
      <c r="Q217" s="15"/>
    </row>
    <row r="218" spans="1:17" x14ac:dyDescent="0.25">
      <c r="A218" s="11" t="s">
        <v>1878</v>
      </c>
      <c r="B218" s="13" t="s">
        <v>772</v>
      </c>
      <c r="C218" s="10" t="s">
        <v>1225</v>
      </c>
      <c r="D218" s="13" t="s">
        <v>780</v>
      </c>
      <c r="E218" s="14" t="s">
        <v>1220</v>
      </c>
      <c r="F218" s="14" t="s">
        <v>773</v>
      </c>
      <c r="G218" s="13"/>
      <c r="H218" s="14">
        <f t="shared" si="5"/>
        <v>1</v>
      </c>
      <c r="I218" s="14">
        <v>1</v>
      </c>
      <c r="J218" s="14">
        <v>1</v>
      </c>
      <c r="K218" s="13" t="s">
        <v>1076</v>
      </c>
      <c r="L218" s="15" t="s">
        <v>802</v>
      </c>
      <c r="M218" s="15">
        <v>719</v>
      </c>
      <c r="N218" s="15">
        <v>545</v>
      </c>
      <c r="O218" s="15">
        <v>171900</v>
      </c>
      <c r="P218" s="15">
        <v>354500</v>
      </c>
      <c r="Q218" s="15"/>
    </row>
    <row r="219" spans="1:17" x14ac:dyDescent="0.25">
      <c r="A219" s="11" t="s">
        <v>1878</v>
      </c>
      <c r="B219" s="13" t="s">
        <v>772</v>
      </c>
      <c r="C219" s="10" t="s">
        <v>2125</v>
      </c>
      <c r="D219" s="13" t="s">
        <v>2069</v>
      </c>
      <c r="E219" s="14" t="s">
        <v>2126</v>
      </c>
      <c r="F219" s="14" t="s">
        <v>773</v>
      </c>
      <c r="G219" s="13"/>
      <c r="H219" s="14">
        <f>G219+I219</f>
        <v>2</v>
      </c>
      <c r="I219" s="14">
        <v>2</v>
      </c>
      <c r="J219" s="14">
        <v>1</v>
      </c>
      <c r="K219" s="13" t="s">
        <v>1365</v>
      </c>
      <c r="L219" s="15" t="s">
        <v>802</v>
      </c>
      <c r="M219" s="15">
        <v>626</v>
      </c>
      <c r="N219" s="15">
        <v>347</v>
      </c>
      <c r="Q219" s="15"/>
    </row>
    <row r="220" spans="1:17" ht="22.5" x14ac:dyDescent="0.25">
      <c r="A220" s="11" t="s">
        <v>1878</v>
      </c>
      <c r="B220" s="13" t="s">
        <v>772</v>
      </c>
      <c r="C220" s="10" t="s">
        <v>2125</v>
      </c>
      <c r="D220" s="13" t="s">
        <v>800</v>
      </c>
      <c r="E220" s="14" t="s">
        <v>2126</v>
      </c>
      <c r="F220" s="14" t="s">
        <v>773</v>
      </c>
      <c r="G220" s="13"/>
      <c r="H220" s="14">
        <f t="shared" si="5"/>
        <v>7</v>
      </c>
      <c r="I220" s="14">
        <v>7</v>
      </c>
      <c r="J220" s="14">
        <v>6</v>
      </c>
      <c r="K220" s="13" t="s">
        <v>2141</v>
      </c>
      <c r="L220" s="15" t="s">
        <v>802</v>
      </c>
      <c r="M220" s="15">
        <v>626</v>
      </c>
      <c r="N220" s="15">
        <v>347</v>
      </c>
      <c r="Q220" s="15"/>
    </row>
    <row r="221" spans="1:17" ht="45" x14ac:dyDescent="0.25">
      <c r="A221" s="11" t="s">
        <v>1878</v>
      </c>
      <c r="C221" s="10" t="s">
        <v>1892</v>
      </c>
      <c r="F221" s="14" t="s">
        <v>874</v>
      </c>
      <c r="G221" s="13">
        <v>87</v>
      </c>
      <c r="H221" s="14">
        <f t="shared" si="5"/>
        <v>87</v>
      </c>
      <c r="J221" s="14">
        <v>53</v>
      </c>
      <c r="K221" s="13" t="s">
        <v>2335</v>
      </c>
      <c r="Q221" s="15"/>
    </row>
    <row r="222" spans="1:17" x14ac:dyDescent="0.25">
      <c r="A222" s="11" t="s">
        <v>1878</v>
      </c>
      <c r="C222" s="10" t="s">
        <v>679</v>
      </c>
      <c r="F222" s="14" t="s">
        <v>11</v>
      </c>
      <c r="G222" s="13">
        <v>9</v>
      </c>
      <c r="H222" s="14">
        <f t="shared" si="5"/>
        <v>9</v>
      </c>
      <c r="J222" s="14">
        <v>8</v>
      </c>
      <c r="K222" s="13" t="s">
        <v>2255</v>
      </c>
      <c r="Q222" s="15"/>
    </row>
    <row r="223" spans="1:17" x14ac:dyDescent="0.25">
      <c r="A223" s="11" t="s">
        <v>1878</v>
      </c>
      <c r="C223" s="10" t="s">
        <v>265</v>
      </c>
      <c r="F223" s="14" t="s">
        <v>874</v>
      </c>
      <c r="G223" s="13">
        <v>14</v>
      </c>
      <c r="H223" s="14">
        <f t="shared" si="5"/>
        <v>14</v>
      </c>
      <c r="J223" s="14">
        <v>13</v>
      </c>
      <c r="K223" s="13" t="s">
        <v>2210</v>
      </c>
      <c r="Q223" s="15"/>
    </row>
    <row r="224" spans="1:17" x14ac:dyDescent="0.25">
      <c r="A224" s="11" t="s">
        <v>1878</v>
      </c>
      <c r="C224" s="10" t="s">
        <v>303</v>
      </c>
      <c r="F224" s="14" t="s">
        <v>11</v>
      </c>
      <c r="G224" s="13">
        <v>1</v>
      </c>
      <c r="H224" s="14">
        <f t="shared" si="5"/>
        <v>1</v>
      </c>
      <c r="J224" s="14">
        <v>1</v>
      </c>
      <c r="K224" s="13" t="s">
        <v>59</v>
      </c>
      <c r="Q224" s="15"/>
    </row>
    <row r="225" spans="1:17" x14ac:dyDescent="0.25">
      <c r="A225" s="11" t="s">
        <v>1878</v>
      </c>
      <c r="C225" s="10" t="s">
        <v>302</v>
      </c>
      <c r="F225" s="14" t="s">
        <v>35</v>
      </c>
      <c r="G225" s="13">
        <v>12</v>
      </c>
      <c r="H225" s="14">
        <f t="shared" ref="H225:H231" si="6">G225+I225</f>
        <v>12</v>
      </c>
      <c r="J225" s="14">
        <v>12</v>
      </c>
      <c r="K225" s="13" t="s">
        <v>2198</v>
      </c>
      <c r="Q225" s="15"/>
    </row>
    <row r="226" spans="1:17" x14ac:dyDescent="0.25">
      <c r="A226" s="11" t="s">
        <v>1878</v>
      </c>
      <c r="C226" s="10" t="s">
        <v>1893</v>
      </c>
      <c r="F226" s="14" t="s">
        <v>874</v>
      </c>
      <c r="G226" s="13">
        <v>3</v>
      </c>
      <c r="H226" s="14">
        <f t="shared" si="6"/>
        <v>3</v>
      </c>
      <c r="J226" s="14">
        <v>3</v>
      </c>
      <c r="K226" s="13" t="s">
        <v>2010</v>
      </c>
      <c r="Q226" s="15"/>
    </row>
    <row r="227" spans="1:17" x14ac:dyDescent="0.25">
      <c r="A227" s="11" t="s">
        <v>1878</v>
      </c>
      <c r="C227" s="10" t="s">
        <v>1894</v>
      </c>
      <c r="F227" s="14" t="s">
        <v>874</v>
      </c>
      <c r="G227" s="13">
        <v>1</v>
      </c>
      <c r="H227" s="14">
        <f t="shared" si="6"/>
        <v>1</v>
      </c>
      <c r="J227" s="14">
        <v>1</v>
      </c>
      <c r="K227" s="13" t="s">
        <v>31</v>
      </c>
      <c r="Q227" s="15"/>
    </row>
    <row r="228" spans="1:17" x14ac:dyDescent="0.25">
      <c r="A228" s="11" t="s">
        <v>1878</v>
      </c>
      <c r="B228" s="13" t="s">
        <v>54</v>
      </c>
      <c r="C228" s="10" t="s">
        <v>52</v>
      </c>
      <c r="F228" s="14" t="s">
        <v>11</v>
      </c>
      <c r="G228" s="13">
        <v>1</v>
      </c>
      <c r="H228" s="14">
        <f t="shared" si="6"/>
        <v>1</v>
      </c>
      <c r="J228" s="14">
        <v>1</v>
      </c>
      <c r="K228" s="13" t="s">
        <v>264</v>
      </c>
      <c r="Q228" s="15"/>
    </row>
    <row r="229" spans="1:17" x14ac:dyDescent="0.25">
      <c r="A229" s="11" t="s">
        <v>1878</v>
      </c>
      <c r="B229" s="13" t="s">
        <v>42</v>
      </c>
      <c r="C229" s="10" t="s">
        <v>42</v>
      </c>
      <c r="F229" s="14" t="s">
        <v>11</v>
      </c>
      <c r="G229" s="13">
        <v>3</v>
      </c>
      <c r="H229" s="14">
        <f t="shared" si="6"/>
        <v>4</v>
      </c>
      <c r="I229" s="14">
        <v>1</v>
      </c>
      <c r="J229" s="14">
        <v>4</v>
      </c>
      <c r="K229" s="13" t="s">
        <v>2256</v>
      </c>
      <c r="Q229" s="15"/>
    </row>
    <row r="230" spans="1:17" x14ac:dyDescent="0.25">
      <c r="A230" s="11" t="s">
        <v>1878</v>
      </c>
      <c r="B230" s="13" t="s">
        <v>42</v>
      </c>
      <c r="C230" s="10" t="s">
        <v>375</v>
      </c>
      <c r="F230" s="14" t="s">
        <v>11</v>
      </c>
      <c r="G230" s="13">
        <v>2</v>
      </c>
      <c r="H230" s="14">
        <f>G230+I230</f>
        <v>2</v>
      </c>
      <c r="J230" s="14">
        <v>2</v>
      </c>
      <c r="K230" s="13" t="s">
        <v>1946</v>
      </c>
      <c r="Q230" s="15"/>
    </row>
    <row r="231" spans="1:17" x14ac:dyDescent="0.25">
      <c r="A231" s="11" t="s">
        <v>1878</v>
      </c>
      <c r="B231" s="13" t="s">
        <v>10</v>
      </c>
      <c r="E231" s="14" t="s">
        <v>326</v>
      </c>
      <c r="F231" s="14" t="s">
        <v>11</v>
      </c>
      <c r="G231" s="13">
        <v>9</v>
      </c>
      <c r="H231" s="14">
        <f t="shared" si="6"/>
        <v>11</v>
      </c>
      <c r="I231" s="14">
        <v>2</v>
      </c>
      <c r="J231" s="14">
        <v>8</v>
      </c>
      <c r="K231" s="13" t="s">
        <v>2209</v>
      </c>
      <c r="Q231" s="15"/>
    </row>
    <row r="232" spans="1:17" x14ac:dyDescent="0.25">
      <c r="A232" s="11" t="s">
        <v>1878</v>
      </c>
      <c r="B232" s="13" t="s">
        <v>10</v>
      </c>
      <c r="C232" s="10" t="s">
        <v>2205</v>
      </c>
      <c r="F232" s="14" t="s">
        <v>11</v>
      </c>
      <c r="G232" s="13">
        <v>1</v>
      </c>
      <c r="H232" s="14">
        <f>G232+I232</f>
        <v>1</v>
      </c>
      <c r="J232" s="14">
        <v>1</v>
      </c>
      <c r="K232" s="13" t="s">
        <v>2206</v>
      </c>
      <c r="Q232" s="15"/>
    </row>
    <row r="233" spans="1:17" x14ac:dyDescent="0.25">
      <c r="A233" s="11" t="s">
        <v>1878</v>
      </c>
      <c r="B233" s="13" t="s">
        <v>327</v>
      </c>
      <c r="C233" s="10" t="s">
        <v>282</v>
      </c>
      <c r="E233" s="14" t="s">
        <v>677</v>
      </c>
      <c r="F233" s="14" t="s">
        <v>11</v>
      </c>
      <c r="G233" s="13">
        <v>9</v>
      </c>
      <c r="H233" s="14">
        <f>G233+I233</f>
        <v>12</v>
      </c>
      <c r="I233" s="14">
        <v>3</v>
      </c>
      <c r="J233" s="14">
        <v>10</v>
      </c>
      <c r="K233" s="13" t="s">
        <v>2294</v>
      </c>
      <c r="Q233" s="15"/>
    </row>
    <row r="234" spans="1:17" x14ac:dyDescent="0.25">
      <c r="A234" s="11" t="s">
        <v>1878</v>
      </c>
      <c r="B234" s="13" t="s">
        <v>327</v>
      </c>
      <c r="C234" s="10" t="s">
        <v>2204</v>
      </c>
      <c r="E234" s="14" t="s">
        <v>677</v>
      </c>
      <c r="F234" s="14" t="s">
        <v>11</v>
      </c>
      <c r="G234" s="13">
        <v>2</v>
      </c>
      <c r="H234" s="14">
        <f>G234+I234</f>
        <v>2</v>
      </c>
      <c r="J234" s="14">
        <v>2</v>
      </c>
      <c r="K234" s="13" t="s">
        <v>2241</v>
      </c>
      <c r="Q234" s="15"/>
    </row>
    <row r="235" spans="1:17" x14ac:dyDescent="0.25">
      <c r="A235" s="11" t="s">
        <v>1878</v>
      </c>
      <c r="B235" s="13" t="s">
        <v>2006</v>
      </c>
      <c r="F235" s="14" t="s">
        <v>11</v>
      </c>
      <c r="G235" s="13">
        <v>3</v>
      </c>
      <c r="H235" s="14">
        <f t="shared" ref="H235:H277" si="7">G235+I235</f>
        <v>4</v>
      </c>
      <c r="I235" s="14">
        <v>1</v>
      </c>
      <c r="J235" s="14">
        <v>4</v>
      </c>
      <c r="K235" s="13" t="s">
        <v>2246</v>
      </c>
      <c r="Q235" s="15"/>
    </row>
    <row r="236" spans="1:17" x14ac:dyDescent="0.25">
      <c r="A236" s="11" t="s">
        <v>1878</v>
      </c>
      <c r="B236" s="13" t="s">
        <v>283</v>
      </c>
      <c r="F236" s="14" t="s">
        <v>11</v>
      </c>
      <c r="G236" s="13">
        <v>1</v>
      </c>
      <c r="H236" s="14">
        <f t="shared" si="7"/>
        <v>1</v>
      </c>
      <c r="J236" s="14">
        <v>1</v>
      </c>
      <c r="K236" s="13" t="s">
        <v>1329</v>
      </c>
      <c r="Q236" s="15"/>
    </row>
    <row r="237" spans="1:17" x14ac:dyDescent="0.25">
      <c r="A237" s="11" t="s">
        <v>1878</v>
      </c>
      <c r="B237" s="13" t="s">
        <v>328</v>
      </c>
      <c r="C237" s="10" t="s">
        <v>1778</v>
      </c>
      <c r="F237" s="14" t="s">
        <v>11</v>
      </c>
      <c r="G237" s="13">
        <v>1</v>
      </c>
      <c r="H237" s="14">
        <f t="shared" si="7"/>
        <v>1</v>
      </c>
      <c r="J237" s="14">
        <v>1</v>
      </c>
      <c r="K237" s="13" t="s">
        <v>180</v>
      </c>
      <c r="Q237" s="15"/>
    </row>
    <row r="238" spans="1:17" x14ac:dyDescent="0.25">
      <c r="A238" s="11" t="s">
        <v>1878</v>
      </c>
      <c r="B238" s="13" t="s">
        <v>22</v>
      </c>
      <c r="C238" s="10" t="s">
        <v>149</v>
      </c>
      <c r="E238" s="14" t="s">
        <v>22</v>
      </c>
      <c r="F238" s="14" t="s">
        <v>11</v>
      </c>
      <c r="G238" s="13">
        <v>3</v>
      </c>
      <c r="H238" s="14">
        <f t="shared" si="7"/>
        <v>4</v>
      </c>
      <c r="I238" s="14">
        <v>1</v>
      </c>
      <c r="J238" s="14">
        <v>4</v>
      </c>
      <c r="K238" s="13" t="s">
        <v>2076</v>
      </c>
      <c r="Q238" s="15"/>
    </row>
    <row r="239" spans="1:17" x14ac:dyDescent="0.25">
      <c r="A239" s="11" t="s">
        <v>1878</v>
      </c>
      <c r="B239" s="13" t="s">
        <v>93</v>
      </c>
      <c r="F239" s="14" t="s">
        <v>11</v>
      </c>
      <c r="G239" s="13">
        <v>2</v>
      </c>
      <c r="H239" s="14">
        <f t="shared" si="7"/>
        <v>2</v>
      </c>
      <c r="J239" s="14">
        <v>2</v>
      </c>
      <c r="K239" s="13" t="s">
        <v>1976</v>
      </c>
      <c r="Q239" s="15"/>
    </row>
    <row r="240" spans="1:17" x14ac:dyDescent="0.25">
      <c r="A240" s="11" t="s">
        <v>1878</v>
      </c>
      <c r="B240" s="13" t="s">
        <v>24</v>
      </c>
      <c r="C240" s="10" t="s">
        <v>848</v>
      </c>
      <c r="E240" s="14" t="s">
        <v>21</v>
      </c>
      <c r="F240" s="14" t="s">
        <v>11</v>
      </c>
      <c r="G240" s="13">
        <v>2</v>
      </c>
      <c r="H240" s="14">
        <f>G240+I240</f>
        <v>3</v>
      </c>
      <c r="I240" s="14">
        <v>1</v>
      </c>
      <c r="J240" s="14">
        <v>3</v>
      </c>
      <c r="K240" s="13" t="s">
        <v>2265</v>
      </c>
      <c r="Q240" s="15"/>
    </row>
    <row r="241" spans="1:17" x14ac:dyDescent="0.25">
      <c r="A241" s="11" t="s">
        <v>1878</v>
      </c>
      <c r="C241" s="10" t="s">
        <v>601</v>
      </c>
      <c r="F241" s="14" t="s">
        <v>11</v>
      </c>
      <c r="G241" s="13">
        <v>1</v>
      </c>
      <c r="H241" s="14">
        <f>G241+I241</f>
        <v>2</v>
      </c>
      <c r="I241" s="14">
        <v>1</v>
      </c>
      <c r="J241" s="14">
        <v>2</v>
      </c>
      <c r="K241" s="13" t="s">
        <v>2305</v>
      </c>
      <c r="Q241" s="15"/>
    </row>
    <row r="242" spans="1:17" x14ac:dyDescent="0.25">
      <c r="A242" s="11" t="s">
        <v>1878</v>
      </c>
      <c r="B242" s="13" t="s">
        <v>269</v>
      </c>
      <c r="C242" s="10" t="s">
        <v>630</v>
      </c>
      <c r="F242" s="14" t="s">
        <v>11</v>
      </c>
      <c r="G242" s="13">
        <v>1</v>
      </c>
      <c r="H242" s="14">
        <f>G242+I242</f>
        <v>2</v>
      </c>
      <c r="I242" s="14">
        <v>1</v>
      </c>
      <c r="J242" s="14">
        <v>2</v>
      </c>
      <c r="K242" s="13" t="s">
        <v>2305</v>
      </c>
      <c r="Q242" s="15"/>
    </row>
    <row r="243" spans="1:17" x14ac:dyDescent="0.25">
      <c r="A243" s="11" t="s">
        <v>1878</v>
      </c>
      <c r="B243" s="13" t="s">
        <v>272</v>
      </c>
      <c r="F243" s="14" t="s">
        <v>11</v>
      </c>
      <c r="G243" s="13">
        <v>5</v>
      </c>
      <c r="H243" s="14">
        <f t="shared" si="7"/>
        <v>6</v>
      </c>
      <c r="I243" s="14">
        <v>1</v>
      </c>
      <c r="J243" s="14">
        <v>6</v>
      </c>
      <c r="K243" s="13" t="s">
        <v>2282</v>
      </c>
      <c r="Q243" s="15"/>
    </row>
    <row r="244" spans="1:17" x14ac:dyDescent="0.25">
      <c r="A244" s="11" t="s">
        <v>1878</v>
      </c>
      <c r="C244" s="10" t="s">
        <v>2242</v>
      </c>
      <c r="F244" s="14" t="s">
        <v>11</v>
      </c>
      <c r="G244" s="13">
        <v>1</v>
      </c>
      <c r="H244" s="14">
        <f t="shared" si="7"/>
        <v>1</v>
      </c>
      <c r="J244" s="14">
        <v>1</v>
      </c>
      <c r="K244" s="13" t="s">
        <v>1329</v>
      </c>
      <c r="Q244" s="15"/>
    </row>
    <row r="245" spans="1:17" x14ac:dyDescent="0.25">
      <c r="A245" s="11" t="s">
        <v>1878</v>
      </c>
      <c r="B245" s="13" t="s">
        <v>261</v>
      </c>
      <c r="C245" s="10" t="s">
        <v>1181</v>
      </c>
      <c r="E245" s="14" t="s">
        <v>21</v>
      </c>
      <c r="F245" s="14" t="s">
        <v>11</v>
      </c>
      <c r="G245" s="13">
        <v>2</v>
      </c>
      <c r="H245" s="14">
        <f>G245+I245</f>
        <v>2</v>
      </c>
      <c r="J245" s="14">
        <v>2</v>
      </c>
      <c r="K245" s="13" t="s">
        <v>2223</v>
      </c>
      <c r="Q245" s="15"/>
    </row>
    <row r="246" spans="1:17" x14ac:dyDescent="0.25">
      <c r="A246" s="11" t="s">
        <v>1878</v>
      </c>
      <c r="B246" s="13" t="s">
        <v>76</v>
      </c>
      <c r="C246" s="10" t="s">
        <v>2040</v>
      </c>
      <c r="F246" s="14" t="s">
        <v>11</v>
      </c>
      <c r="G246" s="13">
        <v>1</v>
      </c>
      <c r="H246" s="14">
        <f>G246+I246</f>
        <v>1</v>
      </c>
      <c r="J246" s="14">
        <v>1</v>
      </c>
      <c r="K246" s="13" t="s">
        <v>338</v>
      </c>
      <c r="Q246" s="15"/>
    </row>
    <row r="247" spans="1:17" x14ac:dyDescent="0.25">
      <c r="A247" s="11" t="s">
        <v>1878</v>
      </c>
      <c r="B247" s="13" t="s">
        <v>327</v>
      </c>
      <c r="C247" s="10" t="s">
        <v>2041</v>
      </c>
      <c r="F247" s="14" t="s">
        <v>11</v>
      </c>
      <c r="G247" s="13">
        <v>1</v>
      </c>
      <c r="H247" s="14">
        <f>G247+I247</f>
        <v>1</v>
      </c>
      <c r="J247" s="14">
        <v>1</v>
      </c>
      <c r="K247" s="13" t="s">
        <v>349</v>
      </c>
      <c r="Q247" s="15"/>
    </row>
    <row r="248" spans="1:17" x14ac:dyDescent="0.25">
      <c r="A248" s="11" t="s">
        <v>1878</v>
      </c>
      <c r="C248" s="10" t="s">
        <v>1624</v>
      </c>
      <c r="F248" s="14" t="s">
        <v>11</v>
      </c>
      <c r="G248" s="13">
        <v>7</v>
      </c>
      <c r="H248" s="14">
        <f t="shared" si="7"/>
        <v>8</v>
      </c>
      <c r="I248" s="14">
        <v>1</v>
      </c>
      <c r="J248" s="14">
        <v>7</v>
      </c>
      <c r="K248" s="13" t="s">
        <v>2257</v>
      </c>
      <c r="Q248" s="15"/>
    </row>
    <row r="249" spans="1:17" x14ac:dyDescent="0.25">
      <c r="A249" s="11" t="s">
        <v>1878</v>
      </c>
      <c r="C249" s="10" t="s">
        <v>1580</v>
      </c>
      <c r="F249" s="14" t="s">
        <v>11</v>
      </c>
      <c r="G249" s="13">
        <v>3</v>
      </c>
      <c r="H249" s="14">
        <f t="shared" si="7"/>
        <v>4</v>
      </c>
      <c r="I249" s="14">
        <v>1</v>
      </c>
      <c r="J249" s="14">
        <v>4</v>
      </c>
      <c r="K249" s="13" t="s">
        <v>2271</v>
      </c>
      <c r="Q249" s="15"/>
    </row>
    <row r="250" spans="1:17" x14ac:dyDescent="0.25">
      <c r="A250" s="11" t="s">
        <v>1878</v>
      </c>
      <c r="C250" s="10" t="s">
        <v>281</v>
      </c>
      <c r="F250" s="14" t="s">
        <v>11</v>
      </c>
      <c r="G250" s="13">
        <v>3</v>
      </c>
      <c r="H250" s="14">
        <f t="shared" si="7"/>
        <v>4</v>
      </c>
      <c r="I250" s="14">
        <v>1</v>
      </c>
      <c r="J250" s="14">
        <v>3</v>
      </c>
      <c r="K250" s="13" t="s">
        <v>2298</v>
      </c>
    </row>
    <row r="251" spans="1:17" x14ac:dyDescent="0.25">
      <c r="A251" s="11" t="s">
        <v>1878</v>
      </c>
      <c r="C251" s="10" t="s">
        <v>566</v>
      </c>
      <c r="F251" s="14" t="s">
        <v>11</v>
      </c>
      <c r="G251" s="13">
        <v>1</v>
      </c>
      <c r="H251" s="14">
        <f>G251+I251</f>
        <v>2</v>
      </c>
      <c r="I251" s="14">
        <v>1</v>
      </c>
      <c r="J251" s="14">
        <v>2</v>
      </c>
      <c r="K251" s="13" t="s">
        <v>2305</v>
      </c>
    </row>
    <row r="252" spans="1:17" x14ac:dyDescent="0.25">
      <c r="A252" s="11" t="s">
        <v>1878</v>
      </c>
      <c r="C252" s="10" t="s">
        <v>1939</v>
      </c>
      <c r="E252" s="14" t="s">
        <v>1422</v>
      </c>
      <c r="F252" s="14" t="s">
        <v>11</v>
      </c>
      <c r="G252" s="13">
        <v>1</v>
      </c>
      <c r="H252" s="14">
        <f t="shared" si="7"/>
        <v>1</v>
      </c>
      <c r="J252" s="14">
        <v>1</v>
      </c>
      <c r="K252" s="13" t="s">
        <v>947</v>
      </c>
    </row>
    <row r="253" spans="1:17" ht="22.5" x14ac:dyDescent="0.25">
      <c r="A253" s="11" t="s">
        <v>1878</v>
      </c>
      <c r="C253" s="10" t="s">
        <v>48</v>
      </c>
      <c r="F253" s="14" t="s">
        <v>11</v>
      </c>
      <c r="G253" s="13">
        <v>24</v>
      </c>
      <c r="H253" s="14">
        <f t="shared" si="7"/>
        <v>28</v>
      </c>
      <c r="I253" s="14">
        <v>4</v>
      </c>
      <c r="J253" s="14">
        <v>20</v>
      </c>
      <c r="K253" s="13" t="s">
        <v>2289</v>
      </c>
    </row>
    <row r="254" spans="1:17" s="39" customFormat="1" x14ac:dyDescent="0.25">
      <c r="A254" s="11" t="s">
        <v>1878</v>
      </c>
      <c r="B254" s="13"/>
      <c r="C254" s="10" t="s">
        <v>1806</v>
      </c>
      <c r="D254" s="26"/>
      <c r="E254" s="14" t="s">
        <v>282</v>
      </c>
      <c r="F254" s="14" t="s">
        <v>11</v>
      </c>
      <c r="G254" s="13">
        <v>2</v>
      </c>
      <c r="H254" s="14">
        <f t="shared" si="7"/>
        <v>2</v>
      </c>
      <c r="I254" s="14"/>
      <c r="J254" s="14">
        <v>2</v>
      </c>
      <c r="K254" s="13" t="s">
        <v>1945</v>
      </c>
      <c r="L254" s="15"/>
      <c r="M254" s="15"/>
      <c r="N254" s="15"/>
      <c r="O254" s="15"/>
      <c r="P254" s="15"/>
      <c r="Q254" s="26"/>
    </row>
    <row r="255" spans="1:17" ht="22.5" x14ac:dyDescent="0.25">
      <c r="A255" s="11" t="s">
        <v>1878</v>
      </c>
      <c r="B255" s="26"/>
      <c r="C255" s="38" t="s">
        <v>11</v>
      </c>
      <c r="E255" s="25"/>
      <c r="F255" s="25" t="s">
        <v>11</v>
      </c>
      <c r="G255" s="26">
        <v>60</v>
      </c>
      <c r="H255" s="25">
        <f t="shared" si="7"/>
        <v>60</v>
      </c>
      <c r="I255" s="25"/>
      <c r="J255" s="25">
        <v>39</v>
      </c>
      <c r="K255" s="26" t="s">
        <v>2307</v>
      </c>
      <c r="L255" s="39"/>
      <c r="M255" s="39"/>
      <c r="N255" s="39"/>
      <c r="O255" s="39"/>
      <c r="P255" s="39"/>
    </row>
    <row r="256" spans="1:17" x14ac:dyDescent="0.25">
      <c r="A256" s="11" t="s">
        <v>1878</v>
      </c>
      <c r="E256" s="14" t="s">
        <v>851</v>
      </c>
      <c r="F256" s="14" t="s">
        <v>11</v>
      </c>
      <c r="G256" s="13">
        <v>10</v>
      </c>
      <c r="H256" s="14">
        <f t="shared" si="7"/>
        <v>10</v>
      </c>
      <c r="J256" s="14">
        <v>8</v>
      </c>
      <c r="K256" s="13" t="s">
        <v>2304</v>
      </c>
    </row>
    <row r="257" spans="1:17" x14ac:dyDescent="0.25">
      <c r="A257" s="11" t="s">
        <v>1878</v>
      </c>
      <c r="E257" s="14" t="s">
        <v>852</v>
      </c>
      <c r="F257" s="14" t="s">
        <v>11</v>
      </c>
      <c r="G257" s="13">
        <v>5</v>
      </c>
      <c r="H257" s="14">
        <f t="shared" si="7"/>
        <v>5</v>
      </c>
      <c r="J257" s="14">
        <v>5</v>
      </c>
      <c r="K257" s="13" t="s">
        <v>2026</v>
      </c>
    </row>
    <row r="258" spans="1:17" x14ac:dyDescent="0.25">
      <c r="A258" s="11" t="s">
        <v>1878</v>
      </c>
      <c r="C258" s="10" t="s">
        <v>844</v>
      </c>
      <c r="F258" s="14" t="s">
        <v>11</v>
      </c>
      <c r="G258" s="13">
        <v>7</v>
      </c>
      <c r="H258" s="14">
        <f t="shared" si="7"/>
        <v>10</v>
      </c>
      <c r="I258" s="14">
        <v>3</v>
      </c>
      <c r="J258" s="14">
        <v>9</v>
      </c>
      <c r="K258" s="13" t="s">
        <v>2168</v>
      </c>
    </row>
    <row r="259" spans="1:17" ht="22.5" x14ac:dyDescent="0.25">
      <c r="A259" s="11" t="s">
        <v>1878</v>
      </c>
      <c r="C259" s="10" t="s">
        <v>255</v>
      </c>
      <c r="F259" s="14" t="s">
        <v>11</v>
      </c>
      <c r="G259" s="13">
        <v>21</v>
      </c>
      <c r="H259" s="14">
        <f t="shared" si="7"/>
        <v>24</v>
      </c>
      <c r="I259" s="14">
        <v>3</v>
      </c>
      <c r="J259" s="14">
        <v>21</v>
      </c>
      <c r="K259" s="13" t="s">
        <v>2296</v>
      </c>
    </row>
    <row r="260" spans="1:17" ht="22.5" x14ac:dyDescent="0.25">
      <c r="A260" s="11" t="s">
        <v>1878</v>
      </c>
      <c r="C260" s="10" t="s">
        <v>296</v>
      </c>
      <c r="F260" s="14" t="s">
        <v>11</v>
      </c>
      <c r="G260" s="13">
        <v>16</v>
      </c>
      <c r="H260" s="14">
        <f t="shared" si="7"/>
        <v>16</v>
      </c>
      <c r="J260" s="14">
        <v>16</v>
      </c>
      <c r="K260" s="13" t="s">
        <v>2318</v>
      </c>
    </row>
    <row r="261" spans="1:17" x14ac:dyDescent="0.25">
      <c r="A261" s="11" t="s">
        <v>1878</v>
      </c>
      <c r="C261" s="10" t="s">
        <v>765</v>
      </c>
      <c r="F261" s="14" t="s">
        <v>11</v>
      </c>
      <c r="G261" s="13">
        <v>1</v>
      </c>
      <c r="H261" s="14">
        <f t="shared" si="7"/>
        <v>1</v>
      </c>
      <c r="J261" s="14">
        <v>1</v>
      </c>
      <c r="K261" s="13" t="s">
        <v>224</v>
      </c>
    </row>
    <row r="262" spans="1:17" ht="22.5" x14ac:dyDescent="0.25">
      <c r="A262" s="11" t="s">
        <v>1878</v>
      </c>
      <c r="C262" s="10" t="s">
        <v>259</v>
      </c>
      <c r="F262" s="14" t="s">
        <v>11</v>
      </c>
      <c r="G262" s="13">
        <v>16</v>
      </c>
      <c r="H262" s="14">
        <f t="shared" si="7"/>
        <v>18</v>
      </c>
      <c r="I262" s="14">
        <v>2</v>
      </c>
      <c r="J262" s="14">
        <v>18</v>
      </c>
      <c r="K262" s="13" t="s">
        <v>2238</v>
      </c>
    </row>
    <row r="263" spans="1:17" x14ac:dyDescent="0.25">
      <c r="A263" s="11" t="s">
        <v>1878</v>
      </c>
      <c r="C263" s="10" t="s">
        <v>295</v>
      </c>
      <c r="F263" s="14" t="s">
        <v>11</v>
      </c>
      <c r="G263" s="13">
        <v>9</v>
      </c>
      <c r="H263" s="14">
        <f t="shared" si="7"/>
        <v>12</v>
      </c>
      <c r="I263" s="14">
        <v>3</v>
      </c>
      <c r="J263" s="14">
        <v>11</v>
      </c>
      <c r="K263" s="13" t="s">
        <v>2293</v>
      </c>
    </row>
    <row r="264" spans="1:17" x14ac:dyDescent="0.25">
      <c r="A264" s="11" t="s">
        <v>1878</v>
      </c>
      <c r="C264" s="10" t="s">
        <v>1938</v>
      </c>
      <c r="F264" s="14" t="s">
        <v>11</v>
      </c>
      <c r="G264" s="13">
        <v>1</v>
      </c>
      <c r="H264" s="14">
        <f t="shared" si="7"/>
        <v>2</v>
      </c>
      <c r="I264" s="14">
        <v>1</v>
      </c>
      <c r="J264" s="14">
        <v>2</v>
      </c>
      <c r="K264" s="13" t="s">
        <v>2073</v>
      </c>
    </row>
    <row r="265" spans="1:17" x14ac:dyDescent="0.25">
      <c r="A265" s="11" t="s">
        <v>1878</v>
      </c>
      <c r="B265" s="13" t="s">
        <v>68</v>
      </c>
      <c r="C265" s="10" t="s">
        <v>1795</v>
      </c>
      <c r="F265" s="14" t="s">
        <v>11</v>
      </c>
      <c r="G265" s="13">
        <v>1</v>
      </c>
      <c r="H265" s="14">
        <f t="shared" si="7"/>
        <v>2</v>
      </c>
      <c r="I265" s="14">
        <v>1</v>
      </c>
      <c r="J265" s="14">
        <v>2</v>
      </c>
      <c r="K265" s="13" t="s">
        <v>2240</v>
      </c>
    </row>
    <row r="266" spans="1:17" ht="33.75" x14ac:dyDescent="0.25">
      <c r="A266" s="11" t="s">
        <v>1878</v>
      </c>
      <c r="C266" s="10" t="s">
        <v>266</v>
      </c>
      <c r="F266" s="14" t="s">
        <v>11</v>
      </c>
      <c r="G266" s="13">
        <v>36</v>
      </c>
      <c r="H266" s="14">
        <f>G266+I266</f>
        <v>38</v>
      </c>
      <c r="I266" s="14">
        <v>2</v>
      </c>
      <c r="J266" s="14">
        <v>31</v>
      </c>
      <c r="K266" s="13" t="s">
        <v>2284</v>
      </c>
    </row>
    <row r="267" spans="1:17" x14ac:dyDescent="0.25">
      <c r="A267" s="11" t="s">
        <v>1878</v>
      </c>
      <c r="C267" s="10" t="s">
        <v>543</v>
      </c>
      <c r="F267" s="14" t="s">
        <v>11</v>
      </c>
      <c r="G267" s="13">
        <v>2</v>
      </c>
      <c r="H267" s="14">
        <f t="shared" si="7"/>
        <v>2</v>
      </c>
      <c r="J267" s="14">
        <v>2</v>
      </c>
      <c r="K267" s="13" t="s">
        <v>2272</v>
      </c>
    </row>
    <row r="268" spans="1:17" x14ac:dyDescent="0.25">
      <c r="A268" s="11" t="s">
        <v>1878</v>
      </c>
      <c r="C268" s="10" t="s">
        <v>1911</v>
      </c>
      <c r="F268" s="14" t="s">
        <v>11</v>
      </c>
      <c r="G268" s="13">
        <v>2</v>
      </c>
      <c r="H268" s="14">
        <f t="shared" si="7"/>
        <v>2</v>
      </c>
      <c r="J268" s="14">
        <v>2</v>
      </c>
      <c r="K268" s="13" t="s">
        <v>1948</v>
      </c>
      <c r="Q268" s="15"/>
    </row>
    <row r="269" spans="1:17" ht="22.5" x14ac:dyDescent="0.25">
      <c r="A269" s="11" t="s">
        <v>1878</v>
      </c>
      <c r="B269" s="13" t="s">
        <v>266</v>
      </c>
      <c r="C269" s="10" t="s">
        <v>682</v>
      </c>
      <c r="E269" s="14" t="s">
        <v>683</v>
      </c>
      <c r="F269" s="14" t="s">
        <v>11</v>
      </c>
      <c r="G269" s="13">
        <v>18</v>
      </c>
      <c r="H269" s="14">
        <f t="shared" si="7"/>
        <v>18</v>
      </c>
      <c r="J269" s="14">
        <v>16</v>
      </c>
      <c r="K269" s="13" t="s">
        <v>2258</v>
      </c>
      <c r="Q269" s="15"/>
    </row>
    <row r="270" spans="1:17" x14ac:dyDescent="0.25">
      <c r="A270" s="11" t="s">
        <v>1878</v>
      </c>
      <c r="C270" s="10" t="s">
        <v>770</v>
      </c>
      <c r="F270" s="14" t="s">
        <v>874</v>
      </c>
      <c r="G270" s="13">
        <v>15</v>
      </c>
      <c r="H270" s="14">
        <f t="shared" si="7"/>
        <v>15</v>
      </c>
      <c r="J270" s="14">
        <v>12</v>
      </c>
      <c r="K270" s="13" t="s">
        <v>2236</v>
      </c>
      <c r="Q270" s="15"/>
    </row>
    <row r="271" spans="1:17" x14ac:dyDescent="0.25">
      <c r="A271" s="11" t="s">
        <v>1878</v>
      </c>
      <c r="C271" s="10" t="s">
        <v>1798</v>
      </c>
      <c r="F271" s="14" t="s">
        <v>874</v>
      </c>
      <c r="G271" s="13">
        <v>12</v>
      </c>
      <c r="H271" s="14">
        <f t="shared" si="7"/>
        <v>12</v>
      </c>
      <c r="J271" s="14">
        <v>9</v>
      </c>
      <c r="K271" s="13" t="s">
        <v>2231</v>
      </c>
      <c r="Q271" s="15"/>
    </row>
    <row r="272" spans="1:17" x14ac:dyDescent="0.25">
      <c r="A272" s="11" t="s">
        <v>1878</v>
      </c>
      <c r="C272" s="10" t="s">
        <v>718</v>
      </c>
      <c r="D272" s="13" t="s">
        <v>833</v>
      </c>
      <c r="F272" s="14" t="s">
        <v>11</v>
      </c>
      <c r="G272" s="13">
        <v>11</v>
      </c>
      <c r="H272" s="14">
        <f t="shared" si="7"/>
        <v>13</v>
      </c>
      <c r="I272" s="14">
        <v>2</v>
      </c>
      <c r="J272" s="14">
        <v>12</v>
      </c>
      <c r="K272" s="13" t="s">
        <v>2167</v>
      </c>
      <c r="Q272" s="15"/>
    </row>
    <row r="273" spans="1:17" x14ac:dyDescent="0.25">
      <c r="A273" s="11" t="s">
        <v>1878</v>
      </c>
      <c r="C273" s="10" t="s">
        <v>1584</v>
      </c>
      <c r="F273" s="14" t="s">
        <v>11</v>
      </c>
      <c r="G273" s="13">
        <v>1</v>
      </c>
      <c r="H273" s="14">
        <f t="shared" si="7"/>
        <v>2</v>
      </c>
      <c r="I273" s="14">
        <v>1</v>
      </c>
      <c r="J273" s="14">
        <v>2</v>
      </c>
      <c r="K273" s="13" t="s">
        <v>2073</v>
      </c>
      <c r="Q273" s="15"/>
    </row>
    <row r="274" spans="1:17" x14ac:dyDescent="0.25">
      <c r="A274" s="11" t="s">
        <v>1878</v>
      </c>
      <c r="C274" s="10" t="s">
        <v>73</v>
      </c>
      <c r="E274" s="14" t="s">
        <v>73</v>
      </c>
      <c r="F274" s="14" t="s">
        <v>11</v>
      </c>
      <c r="G274" s="13">
        <v>6</v>
      </c>
      <c r="H274" s="14">
        <f t="shared" si="7"/>
        <v>7</v>
      </c>
      <c r="I274" s="14">
        <v>1</v>
      </c>
      <c r="J274" s="14">
        <v>6</v>
      </c>
      <c r="K274" s="13" t="s">
        <v>2306</v>
      </c>
      <c r="Q274" s="15"/>
    </row>
    <row r="275" spans="1:17" x14ac:dyDescent="0.25">
      <c r="A275" s="11" t="s">
        <v>1878</v>
      </c>
      <c r="C275" s="10" t="s">
        <v>72</v>
      </c>
      <c r="E275" s="14" t="s">
        <v>73</v>
      </c>
      <c r="F275" s="14" t="s">
        <v>11</v>
      </c>
      <c r="G275" s="13">
        <v>1</v>
      </c>
      <c r="H275" s="14">
        <f t="shared" si="7"/>
        <v>1</v>
      </c>
      <c r="J275" s="14">
        <v>1</v>
      </c>
      <c r="K275" s="13" t="s">
        <v>224</v>
      </c>
      <c r="Q275" s="15"/>
    </row>
    <row r="276" spans="1:17" x14ac:dyDescent="0.25">
      <c r="A276" s="11" t="s">
        <v>1878</v>
      </c>
      <c r="C276" s="10" t="s">
        <v>282</v>
      </c>
      <c r="F276" s="14" t="s">
        <v>11</v>
      </c>
      <c r="G276" s="13">
        <v>4</v>
      </c>
      <c r="H276" s="14">
        <f t="shared" si="7"/>
        <v>5</v>
      </c>
      <c r="I276" s="14">
        <v>1</v>
      </c>
      <c r="J276" s="14">
        <v>5</v>
      </c>
      <c r="K276" s="13" t="s">
        <v>2243</v>
      </c>
      <c r="Q276" s="15"/>
    </row>
    <row r="277" spans="1:17" x14ac:dyDescent="0.25">
      <c r="A277" s="11" t="s">
        <v>1878</v>
      </c>
      <c r="C277" s="10" t="s">
        <v>678</v>
      </c>
      <c r="F277" s="14" t="s">
        <v>11</v>
      </c>
      <c r="G277" s="13">
        <v>9</v>
      </c>
      <c r="H277" s="14">
        <f t="shared" si="7"/>
        <v>10</v>
      </c>
      <c r="I277" s="14">
        <v>1</v>
      </c>
      <c r="J277" s="14">
        <v>9</v>
      </c>
      <c r="K277" s="13" t="s">
        <v>2330</v>
      </c>
      <c r="Q277" s="15"/>
    </row>
    <row r="278" spans="1:17" x14ac:dyDescent="0.25">
      <c r="A278" s="11" t="s">
        <v>1878</v>
      </c>
      <c r="C278" s="10" t="s">
        <v>321</v>
      </c>
      <c r="F278" s="14" t="s">
        <v>11</v>
      </c>
      <c r="G278" s="13">
        <v>3</v>
      </c>
      <c r="H278" s="14">
        <f t="shared" ref="H278:H320" si="8">G278+I278</f>
        <v>3</v>
      </c>
      <c r="J278" s="14">
        <v>3</v>
      </c>
      <c r="K278" s="13" t="s">
        <v>2259</v>
      </c>
      <c r="Q278" s="15"/>
    </row>
    <row r="279" spans="1:17" ht="22.5" x14ac:dyDescent="0.25">
      <c r="A279" s="11" t="s">
        <v>1878</v>
      </c>
      <c r="C279" s="10" t="s">
        <v>21</v>
      </c>
      <c r="E279" s="14" t="s">
        <v>21</v>
      </c>
      <c r="F279" s="14" t="s">
        <v>11</v>
      </c>
      <c r="G279" s="13">
        <v>39</v>
      </c>
      <c r="H279" s="14">
        <f t="shared" si="8"/>
        <v>44</v>
      </c>
      <c r="I279" s="14">
        <v>5</v>
      </c>
      <c r="J279" s="14">
        <v>32</v>
      </c>
      <c r="K279" s="13" t="s">
        <v>2283</v>
      </c>
      <c r="Q279" s="15"/>
    </row>
    <row r="280" spans="1:17" x14ac:dyDescent="0.25">
      <c r="A280" s="11" t="s">
        <v>1878</v>
      </c>
      <c r="C280" s="10" t="s">
        <v>2074</v>
      </c>
      <c r="F280" s="14" t="s">
        <v>11</v>
      </c>
      <c r="G280" s="13">
        <v>1</v>
      </c>
      <c r="H280" s="14">
        <f>G280+I280</f>
        <v>2</v>
      </c>
      <c r="I280" s="14">
        <v>1</v>
      </c>
      <c r="J280" s="14">
        <v>2</v>
      </c>
      <c r="K280" s="13" t="s">
        <v>2305</v>
      </c>
      <c r="Q280" s="15"/>
    </row>
    <row r="281" spans="1:17" x14ac:dyDescent="0.25">
      <c r="A281" s="11" t="s">
        <v>1878</v>
      </c>
      <c r="C281" s="10" t="s">
        <v>656</v>
      </c>
      <c r="F281" s="14" t="s">
        <v>11</v>
      </c>
      <c r="G281" s="13">
        <v>1</v>
      </c>
      <c r="H281" s="14">
        <f t="shared" si="8"/>
        <v>1</v>
      </c>
      <c r="J281" s="14">
        <v>1</v>
      </c>
      <c r="K281" s="13" t="s">
        <v>1513</v>
      </c>
      <c r="Q281" s="15"/>
    </row>
    <row r="282" spans="1:17" ht="22.5" x14ac:dyDescent="0.25">
      <c r="A282" s="11" t="s">
        <v>1878</v>
      </c>
      <c r="C282" s="10" t="s">
        <v>1930</v>
      </c>
      <c r="F282" s="13" t="s">
        <v>1104</v>
      </c>
      <c r="G282" s="13">
        <v>1</v>
      </c>
      <c r="H282" s="14">
        <f t="shared" si="8"/>
        <v>2</v>
      </c>
      <c r="I282" s="14">
        <v>1</v>
      </c>
      <c r="J282" s="14">
        <v>2</v>
      </c>
      <c r="K282" s="13" t="s">
        <v>2073</v>
      </c>
    </row>
    <row r="283" spans="1:17" ht="22.5" x14ac:dyDescent="0.25">
      <c r="A283" s="11" t="s">
        <v>1878</v>
      </c>
      <c r="C283" s="10" t="s">
        <v>1791</v>
      </c>
      <c r="F283" s="13" t="s">
        <v>1104</v>
      </c>
      <c r="G283" s="13">
        <v>2</v>
      </c>
      <c r="H283" s="14">
        <f t="shared" si="8"/>
        <v>2</v>
      </c>
      <c r="J283" s="14">
        <v>2</v>
      </c>
      <c r="K283" s="13" t="s">
        <v>1919</v>
      </c>
    </row>
    <row r="284" spans="1:17" x14ac:dyDescent="0.25">
      <c r="A284" s="11" t="s">
        <v>1878</v>
      </c>
      <c r="C284" s="10" t="s">
        <v>69</v>
      </c>
      <c r="F284" s="13" t="s">
        <v>11</v>
      </c>
      <c r="G284" s="13">
        <v>2</v>
      </c>
      <c r="H284" s="14">
        <f t="shared" si="8"/>
        <v>3</v>
      </c>
      <c r="I284" s="14">
        <v>1</v>
      </c>
      <c r="J284" s="14">
        <v>3</v>
      </c>
      <c r="K284" s="13" t="s">
        <v>2101</v>
      </c>
    </row>
    <row r="285" spans="1:17" x14ac:dyDescent="0.25">
      <c r="A285" s="11" t="s">
        <v>1878</v>
      </c>
      <c r="C285" s="10" t="s">
        <v>1991</v>
      </c>
      <c r="E285" s="14" t="s">
        <v>69</v>
      </c>
      <c r="F285" s="13" t="s">
        <v>11</v>
      </c>
      <c r="G285" s="13"/>
      <c r="H285" s="14">
        <f t="shared" si="8"/>
        <v>1</v>
      </c>
      <c r="I285" s="14">
        <v>1</v>
      </c>
      <c r="J285" s="14">
        <v>1</v>
      </c>
      <c r="K285" s="13" t="s">
        <v>74</v>
      </c>
    </row>
    <row r="286" spans="1:17" ht="22.5" x14ac:dyDescent="0.25">
      <c r="A286" s="11" t="s">
        <v>1878</v>
      </c>
      <c r="B286" s="43"/>
      <c r="C286" s="42" t="s">
        <v>56</v>
      </c>
      <c r="D286" s="43"/>
      <c r="E286" s="41"/>
      <c r="F286" s="41" t="s">
        <v>56</v>
      </c>
      <c r="G286" s="43">
        <v>33</v>
      </c>
      <c r="H286" s="14">
        <f t="shared" si="8"/>
        <v>33</v>
      </c>
      <c r="I286" s="41"/>
      <c r="J286" s="41">
        <v>26</v>
      </c>
      <c r="K286" s="43" t="s">
        <v>2319</v>
      </c>
      <c r="L286" s="44"/>
      <c r="M286" s="44"/>
      <c r="N286" s="44"/>
      <c r="O286" s="44"/>
      <c r="P286" s="44"/>
    </row>
    <row r="287" spans="1:17" x14ac:dyDescent="0.25">
      <c r="A287" s="11" t="s">
        <v>1878</v>
      </c>
      <c r="C287" s="10" t="s">
        <v>253</v>
      </c>
      <c r="F287" s="14" t="s">
        <v>56</v>
      </c>
      <c r="G287" s="13"/>
      <c r="H287" s="14">
        <f t="shared" si="8"/>
        <v>1</v>
      </c>
      <c r="I287" s="14">
        <v>1</v>
      </c>
      <c r="J287" s="14">
        <v>1</v>
      </c>
      <c r="K287" s="13" t="s">
        <v>180</v>
      </c>
    </row>
    <row r="288" spans="1:17" x14ac:dyDescent="0.25">
      <c r="A288" s="11" t="s">
        <v>1878</v>
      </c>
      <c r="C288" s="10" t="s">
        <v>254</v>
      </c>
      <c r="F288" s="14" t="s">
        <v>56</v>
      </c>
      <c r="G288" s="13">
        <v>4</v>
      </c>
      <c r="H288" s="14">
        <f t="shared" si="8"/>
        <v>4</v>
      </c>
      <c r="J288" s="14">
        <v>3</v>
      </c>
      <c r="K288" s="13" t="s">
        <v>2288</v>
      </c>
    </row>
    <row r="289" spans="1:17" x14ac:dyDescent="0.25">
      <c r="A289" s="11" t="s">
        <v>1878</v>
      </c>
      <c r="C289" s="10" t="s">
        <v>451</v>
      </c>
      <c r="F289" s="14" t="s">
        <v>56</v>
      </c>
      <c r="G289" s="13">
        <v>1</v>
      </c>
      <c r="H289" s="14">
        <f t="shared" si="8"/>
        <v>1</v>
      </c>
      <c r="J289" s="14">
        <v>1</v>
      </c>
      <c r="K289" s="13" t="s">
        <v>59</v>
      </c>
    </row>
    <row r="290" spans="1:17" x14ac:dyDescent="0.25">
      <c r="A290" s="11" t="s">
        <v>1878</v>
      </c>
      <c r="C290" s="10" t="s">
        <v>305</v>
      </c>
      <c r="E290" s="13"/>
      <c r="F290" s="14" t="s">
        <v>56</v>
      </c>
      <c r="G290" s="13">
        <v>2</v>
      </c>
      <c r="H290" s="14">
        <f t="shared" si="8"/>
        <v>3</v>
      </c>
      <c r="I290" s="14">
        <v>1</v>
      </c>
      <c r="J290" s="14">
        <v>3</v>
      </c>
      <c r="K290" s="13" t="s">
        <v>2097</v>
      </c>
    </row>
    <row r="291" spans="1:17" x14ac:dyDescent="0.25">
      <c r="A291" s="11" t="s">
        <v>1878</v>
      </c>
      <c r="C291" s="10" t="s">
        <v>950</v>
      </c>
      <c r="E291" s="13" t="s">
        <v>57</v>
      </c>
      <c r="F291" s="14" t="s">
        <v>56</v>
      </c>
      <c r="G291" s="13">
        <v>6</v>
      </c>
      <c r="H291" s="14">
        <f t="shared" si="8"/>
        <v>7</v>
      </c>
      <c r="I291" s="14">
        <v>1</v>
      </c>
      <c r="J291" s="14">
        <v>6</v>
      </c>
      <c r="K291" s="13" t="s">
        <v>2224</v>
      </c>
    </row>
    <row r="292" spans="1:17" x14ac:dyDescent="0.25">
      <c r="A292" s="11" t="s">
        <v>1878</v>
      </c>
      <c r="C292" s="10" t="s">
        <v>301</v>
      </c>
      <c r="F292" s="14" t="s">
        <v>56</v>
      </c>
      <c r="G292" s="13">
        <v>3</v>
      </c>
      <c r="H292" s="14">
        <f t="shared" si="8"/>
        <v>6</v>
      </c>
      <c r="I292" s="14">
        <v>3</v>
      </c>
      <c r="J292" s="14">
        <v>4</v>
      </c>
      <c r="K292" s="13" t="s">
        <v>2166</v>
      </c>
    </row>
    <row r="293" spans="1:17" s="36" customFormat="1" ht="33.75" x14ac:dyDescent="0.25">
      <c r="A293" s="11" t="s">
        <v>1878</v>
      </c>
      <c r="B293" s="35"/>
      <c r="C293" s="34" t="s">
        <v>35</v>
      </c>
      <c r="D293" s="35"/>
      <c r="E293" s="33"/>
      <c r="F293" s="33" t="s">
        <v>35</v>
      </c>
      <c r="G293" s="35">
        <v>58</v>
      </c>
      <c r="H293" s="14">
        <f t="shared" si="8"/>
        <v>58</v>
      </c>
      <c r="I293" s="33"/>
      <c r="J293" s="33">
        <v>43</v>
      </c>
      <c r="K293" s="35" t="s">
        <v>2295</v>
      </c>
      <c r="Q293" s="35"/>
    </row>
    <row r="294" spans="1:17" s="36" customFormat="1" ht="22.5" x14ac:dyDescent="0.25">
      <c r="A294" s="11" t="s">
        <v>1878</v>
      </c>
      <c r="B294" s="35"/>
      <c r="C294" s="10" t="s">
        <v>1904</v>
      </c>
      <c r="D294" s="35"/>
      <c r="E294" s="33"/>
      <c r="F294" s="13" t="s">
        <v>1905</v>
      </c>
      <c r="G294" s="13">
        <v>1</v>
      </c>
      <c r="H294" s="14">
        <f t="shared" si="8"/>
        <v>1</v>
      </c>
      <c r="I294" s="14"/>
      <c r="J294" s="14">
        <v>1</v>
      </c>
      <c r="K294" s="13" t="s">
        <v>31</v>
      </c>
      <c r="Q294" s="35"/>
    </row>
    <row r="295" spans="1:17" ht="22.5" x14ac:dyDescent="0.25">
      <c r="A295" s="11" t="s">
        <v>1878</v>
      </c>
      <c r="B295" s="35"/>
      <c r="C295" s="10" t="s">
        <v>394</v>
      </c>
      <c r="D295" s="35"/>
      <c r="E295" s="33"/>
      <c r="F295" s="13" t="s">
        <v>1905</v>
      </c>
      <c r="G295" s="13">
        <v>1</v>
      </c>
      <c r="H295" s="14">
        <f t="shared" si="8"/>
        <v>2</v>
      </c>
      <c r="I295" s="14">
        <v>1</v>
      </c>
      <c r="J295" s="14">
        <v>2</v>
      </c>
      <c r="K295" s="13" t="s">
        <v>2066</v>
      </c>
      <c r="L295" s="36"/>
      <c r="M295" s="36"/>
      <c r="N295" s="36"/>
      <c r="O295" s="36"/>
      <c r="P295" s="36"/>
      <c r="Q295" s="15"/>
    </row>
    <row r="296" spans="1:17" x14ac:dyDescent="0.25">
      <c r="A296" s="11" t="s">
        <v>1878</v>
      </c>
      <c r="C296" s="10" t="s">
        <v>47</v>
      </c>
      <c r="F296" s="14" t="s">
        <v>35</v>
      </c>
      <c r="G296" s="13">
        <v>3</v>
      </c>
      <c r="H296" s="14">
        <f t="shared" si="8"/>
        <v>4</v>
      </c>
      <c r="I296" s="14">
        <v>1</v>
      </c>
      <c r="J296" s="14">
        <v>4</v>
      </c>
      <c r="K296" s="13" t="s">
        <v>2310</v>
      </c>
      <c r="Q296" s="15"/>
    </row>
    <row r="297" spans="1:17" x14ac:dyDescent="0.25">
      <c r="A297" s="11" t="s">
        <v>1878</v>
      </c>
      <c r="C297" s="10" t="s">
        <v>1906</v>
      </c>
      <c r="F297" s="14" t="s">
        <v>35</v>
      </c>
      <c r="G297" s="13">
        <v>2</v>
      </c>
      <c r="H297" s="14">
        <f t="shared" si="8"/>
        <v>2</v>
      </c>
      <c r="J297" s="14">
        <v>2</v>
      </c>
      <c r="K297" s="13" t="s">
        <v>1908</v>
      </c>
      <c r="Q297" s="15"/>
    </row>
    <row r="298" spans="1:17" x14ac:dyDescent="0.25">
      <c r="A298" s="11" t="s">
        <v>1878</v>
      </c>
      <c r="B298" s="13" t="s">
        <v>231</v>
      </c>
      <c r="F298" s="14" t="s">
        <v>35</v>
      </c>
      <c r="G298" s="13"/>
      <c r="H298" s="14">
        <f t="shared" si="8"/>
        <v>1</v>
      </c>
      <c r="I298" s="14">
        <v>1</v>
      </c>
      <c r="J298" s="14">
        <v>1</v>
      </c>
      <c r="K298" s="13" t="s">
        <v>494</v>
      </c>
      <c r="Q298" s="15"/>
    </row>
    <row r="299" spans="1:17" x14ac:dyDescent="0.25">
      <c r="A299" s="11" t="s">
        <v>1878</v>
      </c>
      <c r="C299" s="10" t="s">
        <v>1903</v>
      </c>
      <c r="F299" s="14" t="s">
        <v>35</v>
      </c>
      <c r="G299" s="13">
        <v>2</v>
      </c>
      <c r="H299" s="14">
        <f t="shared" si="8"/>
        <v>2</v>
      </c>
      <c r="J299" s="14">
        <v>2</v>
      </c>
      <c r="K299" s="13" t="s">
        <v>1908</v>
      </c>
      <c r="Q299" s="15"/>
    </row>
    <row r="300" spans="1:17" x14ac:dyDescent="0.25">
      <c r="A300" s="11" t="s">
        <v>1878</v>
      </c>
      <c r="C300" s="10" t="s">
        <v>1898</v>
      </c>
      <c r="F300" s="14" t="s">
        <v>35</v>
      </c>
      <c r="G300" s="13">
        <v>7</v>
      </c>
      <c r="H300" s="14">
        <f>G300+I300</f>
        <v>7</v>
      </c>
      <c r="J300" s="14">
        <v>5</v>
      </c>
      <c r="K300" s="13" t="s">
        <v>2127</v>
      </c>
      <c r="Q300" s="15"/>
    </row>
    <row r="301" spans="1:17" x14ac:dyDescent="0.25">
      <c r="A301" s="11" t="s">
        <v>1878</v>
      </c>
      <c r="C301" s="10" t="s">
        <v>1942</v>
      </c>
      <c r="F301" s="14" t="s">
        <v>35</v>
      </c>
      <c r="G301" s="13">
        <v>4</v>
      </c>
      <c r="H301" s="14">
        <f>G301+I301</f>
        <v>4</v>
      </c>
      <c r="J301" s="14">
        <v>4</v>
      </c>
      <c r="K301" s="13" t="s">
        <v>2299</v>
      </c>
      <c r="Q301" s="15"/>
    </row>
    <row r="302" spans="1:17" ht="22.5" x14ac:dyDescent="0.25">
      <c r="A302" s="11" t="s">
        <v>1878</v>
      </c>
      <c r="C302" s="10" t="s">
        <v>256</v>
      </c>
      <c r="D302" s="13" t="s">
        <v>813</v>
      </c>
      <c r="E302" s="13" t="s">
        <v>258</v>
      </c>
      <c r="F302" s="14" t="s">
        <v>35</v>
      </c>
      <c r="G302" s="13">
        <v>21</v>
      </c>
      <c r="H302" s="14">
        <f t="shared" si="8"/>
        <v>22</v>
      </c>
      <c r="I302" s="14">
        <v>1</v>
      </c>
      <c r="J302" s="14">
        <v>20</v>
      </c>
      <c r="K302" s="13" t="s">
        <v>2331</v>
      </c>
      <c r="Q302" s="15"/>
    </row>
    <row r="303" spans="1:17" x14ac:dyDescent="0.25">
      <c r="A303" s="11" t="s">
        <v>1878</v>
      </c>
      <c r="C303" s="10" t="s">
        <v>726</v>
      </c>
      <c r="E303" s="13"/>
      <c r="F303" s="14" t="s">
        <v>35</v>
      </c>
      <c r="G303" s="13">
        <v>1</v>
      </c>
      <c r="H303" s="14">
        <f t="shared" si="8"/>
        <v>1</v>
      </c>
      <c r="J303" s="14">
        <v>1</v>
      </c>
      <c r="K303" s="13" t="s">
        <v>31</v>
      </c>
      <c r="Q303" s="15"/>
    </row>
    <row r="304" spans="1:17" x14ac:dyDescent="0.25">
      <c r="A304" s="11" t="s">
        <v>1878</v>
      </c>
      <c r="C304" s="10" t="s">
        <v>1907</v>
      </c>
      <c r="D304" s="13" t="s">
        <v>1944</v>
      </c>
      <c r="E304" s="13"/>
      <c r="F304" s="14" t="s">
        <v>35</v>
      </c>
      <c r="G304" s="13">
        <v>3</v>
      </c>
      <c r="H304" s="14">
        <f t="shared" si="8"/>
        <v>4</v>
      </c>
      <c r="I304" s="14">
        <v>1</v>
      </c>
      <c r="J304" s="14">
        <v>4</v>
      </c>
      <c r="K304" s="13" t="s">
        <v>2060</v>
      </c>
      <c r="Q304" s="15"/>
    </row>
    <row r="305" spans="1:17" x14ac:dyDescent="0.25">
      <c r="A305" s="11" t="s">
        <v>1878</v>
      </c>
      <c r="C305" s="10" t="s">
        <v>2057</v>
      </c>
      <c r="E305" s="13"/>
      <c r="F305" s="14" t="s">
        <v>35</v>
      </c>
      <c r="G305" s="13">
        <v>1</v>
      </c>
      <c r="H305" s="14">
        <f t="shared" si="8"/>
        <v>2</v>
      </c>
      <c r="I305" s="14">
        <v>1</v>
      </c>
      <c r="J305" s="14">
        <v>2</v>
      </c>
      <c r="K305" s="13" t="s">
        <v>2322</v>
      </c>
      <c r="Q305" s="15"/>
    </row>
    <row r="306" spans="1:17" x14ac:dyDescent="0.25">
      <c r="A306" s="11" t="s">
        <v>1878</v>
      </c>
      <c r="C306" s="10" t="s">
        <v>307</v>
      </c>
      <c r="E306" s="13"/>
      <c r="F306" s="14" t="s">
        <v>35</v>
      </c>
      <c r="G306" s="13">
        <v>5</v>
      </c>
      <c r="H306" s="14">
        <f t="shared" si="8"/>
        <v>5</v>
      </c>
      <c r="J306" s="14">
        <v>5</v>
      </c>
      <c r="K306" s="13" t="s">
        <v>2262</v>
      </c>
      <c r="Q306" s="15"/>
    </row>
    <row r="307" spans="1:17" x14ac:dyDescent="0.25">
      <c r="A307" s="11" t="s">
        <v>1878</v>
      </c>
      <c r="C307" s="10" t="s">
        <v>2263</v>
      </c>
      <c r="E307" s="13"/>
      <c r="F307" s="14" t="s">
        <v>35</v>
      </c>
      <c r="G307" s="13">
        <v>1</v>
      </c>
      <c r="H307" s="14">
        <f>G307+I307</f>
        <v>1</v>
      </c>
      <c r="J307" s="14">
        <v>1</v>
      </c>
      <c r="K307" s="13" t="s">
        <v>2264</v>
      </c>
      <c r="Q307" s="15"/>
    </row>
    <row r="308" spans="1:17" ht="22.5" x14ac:dyDescent="0.25">
      <c r="A308" s="11" t="s">
        <v>1878</v>
      </c>
      <c r="C308" s="10" t="s">
        <v>257</v>
      </c>
      <c r="F308" s="14" t="s">
        <v>35</v>
      </c>
      <c r="G308" s="13">
        <v>22</v>
      </c>
      <c r="H308" s="14">
        <f t="shared" si="8"/>
        <v>23</v>
      </c>
      <c r="I308" s="14">
        <v>1</v>
      </c>
      <c r="J308" s="14">
        <v>20</v>
      </c>
      <c r="K308" s="13" t="s">
        <v>2326</v>
      </c>
      <c r="Q308" s="15"/>
    </row>
    <row r="309" spans="1:17" x14ac:dyDescent="0.25">
      <c r="A309" s="11" t="s">
        <v>1878</v>
      </c>
      <c r="C309" s="10" t="s">
        <v>471</v>
      </c>
      <c r="E309" s="14" t="s">
        <v>86</v>
      </c>
      <c r="F309" s="14" t="s">
        <v>35</v>
      </c>
      <c r="G309" s="13">
        <v>6</v>
      </c>
      <c r="H309" s="14">
        <f t="shared" si="8"/>
        <v>9</v>
      </c>
      <c r="I309" s="14">
        <v>3</v>
      </c>
      <c r="J309" s="14">
        <v>7</v>
      </c>
      <c r="K309" s="13" t="s">
        <v>2327</v>
      </c>
      <c r="Q309" s="15"/>
    </row>
    <row r="310" spans="1:17" x14ac:dyDescent="0.25">
      <c r="A310" s="11" t="s">
        <v>1878</v>
      </c>
      <c r="C310" s="10" t="s">
        <v>260</v>
      </c>
      <c r="F310" s="14" t="s">
        <v>35</v>
      </c>
      <c r="G310" s="13">
        <v>8</v>
      </c>
      <c r="H310" s="14">
        <f t="shared" si="8"/>
        <v>9</v>
      </c>
      <c r="I310" s="14">
        <v>1</v>
      </c>
      <c r="J310" s="14">
        <v>9</v>
      </c>
      <c r="K310" s="13" t="s">
        <v>2324</v>
      </c>
      <c r="Q310" s="15"/>
    </row>
    <row r="311" spans="1:17" x14ac:dyDescent="0.25">
      <c r="A311" s="11" t="s">
        <v>1878</v>
      </c>
      <c r="C311" s="10" t="s">
        <v>821</v>
      </c>
      <c r="F311" s="14" t="s">
        <v>35</v>
      </c>
      <c r="G311" s="13">
        <v>3</v>
      </c>
      <c r="H311" s="14">
        <f t="shared" si="8"/>
        <v>3</v>
      </c>
      <c r="J311" s="14">
        <v>3</v>
      </c>
      <c r="K311" s="13" t="s">
        <v>2199</v>
      </c>
      <c r="Q311" s="15"/>
    </row>
    <row r="312" spans="1:17" x14ac:dyDescent="0.25">
      <c r="A312" s="11" t="s">
        <v>1878</v>
      </c>
      <c r="C312" s="10" t="s">
        <v>1914</v>
      </c>
      <c r="F312" s="14" t="s">
        <v>35</v>
      </c>
      <c r="G312" s="13">
        <v>4</v>
      </c>
      <c r="H312" s="14">
        <f t="shared" si="8"/>
        <v>5</v>
      </c>
      <c r="I312" s="14">
        <v>1</v>
      </c>
      <c r="J312" s="14">
        <v>4</v>
      </c>
      <c r="K312" s="13" t="s">
        <v>2323</v>
      </c>
      <c r="Q312" s="15"/>
    </row>
    <row r="313" spans="1:17" x14ac:dyDescent="0.25">
      <c r="A313" s="11" t="s">
        <v>1878</v>
      </c>
      <c r="B313" s="13" t="s">
        <v>2058</v>
      </c>
      <c r="C313" s="10" t="s">
        <v>2059</v>
      </c>
      <c r="F313" s="14" t="s">
        <v>35</v>
      </c>
      <c r="G313" s="13">
        <v>1</v>
      </c>
      <c r="H313" s="14">
        <f t="shared" si="8"/>
        <v>2</v>
      </c>
      <c r="I313" s="14">
        <v>1</v>
      </c>
      <c r="J313" s="14">
        <v>2</v>
      </c>
      <c r="K313" s="13" t="s">
        <v>2165</v>
      </c>
      <c r="Q313" s="15"/>
    </row>
    <row r="314" spans="1:17" x14ac:dyDescent="0.25">
      <c r="A314" s="11" t="s">
        <v>1878</v>
      </c>
      <c r="B314" s="13" t="s">
        <v>238</v>
      </c>
      <c r="E314" s="14" t="s">
        <v>236</v>
      </c>
      <c r="F314" s="14" t="s">
        <v>35</v>
      </c>
      <c r="G314" s="13">
        <v>2</v>
      </c>
      <c r="H314" s="14">
        <f t="shared" si="8"/>
        <v>2</v>
      </c>
      <c r="J314" s="14">
        <v>2</v>
      </c>
      <c r="K314" s="13" t="s">
        <v>1946</v>
      </c>
      <c r="Q314" s="15"/>
    </row>
    <row r="315" spans="1:17" x14ac:dyDescent="0.25">
      <c r="A315" s="11" t="s">
        <v>1878</v>
      </c>
      <c r="C315" s="10" t="s">
        <v>1943</v>
      </c>
      <c r="F315" s="13" t="s">
        <v>35</v>
      </c>
      <c r="G315" s="13">
        <v>1</v>
      </c>
      <c r="H315" s="14">
        <f t="shared" si="8"/>
        <v>1</v>
      </c>
      <c r="J315" s="14">
        <v>1</v>
      </c>
      <c r="K315" s="13" t="s">
        <v>1902</v>
      </c>
      <c r="Q315" s="15"/>
    </row>
    <row r="316" spans="1:17" ht="22.5" x14ac:dyDescent="0.25">
      <c r="A316" s="11" t="s">
        <v>1878</v>
      </c>
      <c r="B316" s="13" t="s">
        <v>231</v>
      </c>
      <c r="D316" s="13" t="s">
        <v>1825</v>
      </c>
      <c r="F316" s="13" t="s">
        <v>35</v>
      </c>
      <c r="G316" s="13">
        <v>1</v>
      </c>
      <c r="H316" s="14">
        <f t="shared" si="8"/>
        <v>1</v>
      </c>
      <c r="J316" s="14">
        <v>1</v>
      </c>
      <c r="K316" s="13" t="s">
        <v>1579</v>
      </c>
      <c r="Q316" s="15"/>
    </row>
    <row r="317" spans="1:17" x14ac:dyDescent="0.25">
      <c r="A317" s="11" t="s">
        <v>1878</v>
      </c>
      <c r="B317" s="13" t="s">
        <v>231</v>
      </c>
      <c r="D317" s="13" t="s">
        <v>1940</v>
      </c>
      <c r="F317" s="13" t="s">
        <v>35</v>
      </c>
      <c r="G317" s="13">
        <v>1</v>
      </c>
      <c r="H317" s="14">
        <f>G317+I317</f>
        <v>1</v>
      </c>
      <c r="J317" s="14">
        <v>1</v>
      </c>
      <c r="K317" s="13" t="s">
        <v>1552</v>
      </c>
      <c r="Q317" s="15"/>
    </row>
    <row r="318" spans="1:17" x14ac:dyDescent="0.25">
      <c r="A318" s="11" t="s">
        <v>1878</v>
      </c>
      <c r="B318" s="13" t="s">
        <v>676</v>
      </c>
      <c r="D318" s="13" t="s">
        <v>1940</v>
      </c>
      <c r="F318" s="14" t="s">
        <v>35</v>
      </c>
      <c r="G318" s="13">
        <v>1</v>
      </c>
      <c r="H318" s="14">
        <f t="shared" si="8"/>
        <v>1</v>
      </c>
      <c r="J318" s="14">
        <v>1</v>
      </c>
      <c r="K318" s="13" t="s">
        <v>979</v>
      </c>
      <c r="Q318" s="15"/>
    </row>
    <row r="319" spans="1:17" x14ac:dyDescent="0.25">
      <c r="A319" s="11" t="s">
        <v>1878</v>
      </c>
      <c r="B319" s="13" t="s">
        <v>676</v>
      </c>
      <c r="E319" s="14" t="s">
        <v>428</v>
      </c>
      <c r="F319" s="14" t="s">
        <v>35</v>
      </c>
      <c r="G319" s="13">
        <v>6</v>
      </c>
      <c r="H319" s="14">
        <f t="shared" si="8"/>
        <v>9</v>
      </c>
      <c r="I319" s="14">
        <v>3</v>
      </c>
      <c r="J319" s="14">
        <v>9</v>
      </c>
      <c r="K319" s="13" t="s">
        <v>2311</v>
      </c>
      <c r="Q319" s="15"/>
    </row>
    <row r="320" spans="1:17" x14ac:dyDescent="0.25">
      <c r="A320" s="11" t="s">
        <v>1878</v>
      </c>
      <c r="B320" s="13" t="s">
        <v>676</v>
      </c>
      <c r="E320" s="14" t="s">
        <v>1916</v>
      </c>
      <c r="F320" s="14" t="s">
        <v>35</v>
      </c>
      <c r="G320" s="13">
        <v>2</v>
      </c>
      <c r="H320" s="14">
        <f t="shared" si="8"/>
        <v>2</v>
      </c>
      <c r="J320" s="14">
        <v>2</v>
      </c>
      <c r="K320" s="13" t="s">
        <v>1976</v>
      </c>
      <c r="Q320" s="15"/>
    </row>
    <row r="321" spans="1:17" x14ac:dyDescent="0.25">
      <c r="A321" s="11" t="s">
        <v>1878</v>
      </c>
      <c r="B321" s="13" t="s">
        <v>676</v>
      </c>
      <c r="E321" s="14" t="s">
        <v>2300</v>
      </c>
      <c r="F321" s="14" t="s">
        <v>35</v>
      </c>
      <c r="G321" s="13">
        <v>1</v>
      </c>
      <c r="H321" s="14">
        <f>G321+I321</f>
        <v>1</v>
      </c>
      <c r="J321" s="14">
        <v>1</v>
      </c>
      <c r="K321" s="13" t="s">
        <v>2301</v>
      </c>
      <c r="Q321" s="15"/>
    </row>
    <row r="322" spans="1:17" x14ac:dyDescent="0.25">
      <c r="A322" s="11" t="s">
        <v>1878</v>
      </c>
      <c r="B322" s="13" t="s">
        <v>249</v>
      </c>
      <c r="D322" s="13" t="s">
        <v>465</v>
      </c>
      <c r="E322" s="14" t="s">
        <v>464</v>
      </c>
      <c r="F322" s="14" t="s">
        <v>35</v>
      </c>
      <c r="G322" s="13">
        <v>2</v>
      </c>
      <c r="H322" s="14">
        <f t="shared" ref="H322:H352" si="9">G322+I322</f>
        <v>5</v>
      </c>
      <c r="I322" s="14">
        <v>3</v>
      </c>
      <c r="J322" s="14">
        <v>3</v>
      </c>
      <c r="K322" s="13" t="s">
        <v>2328</v>
      </c>
      <c r="Q322" s="15"/>
    </row>
    <row r="323" spans="1:17" x14ac:dyDescent="0.25">
      <c r="A323" s="11" t="s">
        <v>1878</v>
      </c>
      <c r="B323" s="13" t="s">
        <v>1596</v>
      </c>
      <c r="C323" s="10" t="s">
        <v>1711</v>
      </c>
      <c r="F323" s="14" t="s">
        <v>35</v>
      </c>
      <c r="G323" s="13">
        <v>1</v>
      </c>
      <c r="H323" s="14">
        <f t="shared" si="9"/>
        <v>1</v>
      </c>
      <c r="J323" s="14">
        <v>1</v>
      </c>
      <c r="K323" s="13" t="s">
        <v>32</v>
      </c>
      <c r="Q323" s="15"/>
    </row>
    <row r="324" spans="1:17" ht="22.5" x14ac:dyDescent="0.25">
      <c r="A324" s="11" t="s">
        <v>1878</v>
      </c>
      <c r="B324" s="13" t="s">
        <v>34</v>
      </c>
      <c r="D324" s="13" t="s">
        <v>1940</v>
      </c>
      <c r="F324" s="14" t="s">
        <v>35</v>
      </c>
      <c r="G324" s="13">
        <v>20</v>
      </c>
      <c r="H324" s="14">
        <f t="shared" si="9"/>
        <v>26</v>
      </c>
      <c r="I324" s="14">
        <v>6</v>
      </c>
      <c r="J324" s="14">
        <v>21</v>
      </c>
      <c r="K324" s="13" t="s">
        <v>2285</v>
      </c>
    </row>
    <row r="325" spans="1:17" x14ac:dyDescent="0.25">
      <c r="A325" s="11" t="s">
        <v>1878</v>
      </c>
      <c r="B325" s="13" t="s">
        <v>975</v>
      </c>
      <c r="F325" s="14" t="s">
        <v>35</v>
      </c>
      <c r="G325" s="13">
        <v>4</v>
      </c>
      <c r="H325" s="14">
        <f t="shared" si="9"/>
        <v>4</v>
      </c>
      <c r="J325" s="14">
        <v>4</v>
      </c>
      <c r="K325" s="13" t="s">
        <v>1975</v>
      </c>
    </row>
    <row r="326" spans="1:17" x14ac:dyDescent="0.25">
      <c r="A326" s="11" t="s">
        <v>1878</v>
      </c>
      <c r="B326" s="13" t="s">
        <v>99</v>
      </c>
      <c r="F326" s="14" t="s">
        <v>35</v>
      </c>
      <c r="G326" s="13">
        <v>8</v>
      </c>
      <c r="H326" s="14">
        <f t="shared" si="9"/>
        <v>9</v>
      </c>
      <c r="I326" s="14">
        <v>1</v>
      </c>
      <c r="J326" s="14">
        <v>9</v>
      </c>
      <c r="K326" s="13" t="s">
        <v>2157</v>
      </c>
    </row>
    <row r="327" spans="1:17" x14ac:dyDescent="0.25">
      <c r="A327" s="11" t="s">
        <v>1878</v>
      </c>
      <c r="B327" s="13" t="s">
        <v>99</v>
      </c>
      <c r="C327" s="10" t="s">
        <v>2162</v>
      </c>
      <c r="F327" s="14" t="s">
        <v>35</v>
      </c>
      <c r="G327" s="13">
        <v>1</v>
      </c>
      <c r="H327" s="14">
        <f>G327+I327</f>
        <v>1</v>
      </c>
      <c r="J327" s="14">
        <v>1</v>
      </c>
      <c r="K327" s="13" t="s">
        <v>866</v>
      </c>
    </row>
    <row r="328" spans="1:17" x14ac:dyDescent="0.25">
      <c r="A328" s="11" t="s">
        <v>1878</v>
      </c>
      <c r="B328" s="13" t="s">
        <v>319</v>
      </c>
      <c r="C328" s="10" t="s">
        <v>315</v>
      </c>
      <c r="F328" s="14" t="s">
        <v>35</v>
      </c>
      <c r="G328" s="13">
        <v>8</v>
      </c>
      <c r="H328" s="14">
        <f t="shared" si="9"/>
        <v>12</v>
      </c>
      <c r="I328" s="14">
        <v>4</v>
      </c>
      <c r="J328" s="14">
        <v>10</v>
      </c>
      <c r="K328" s="13" t="s">
        <v>2309</v>
      </c>
    </row>
    <row r="329" spans="1:17" s="39" customFormat="1" ht="45" x14ac:dyDescent="0.25">
      <c r="A329" s="37" t="s">
        <v>1878</v>
      </c>
      <c r="B329" s="26"/>
      <c r="C329" s="38" t="s">
        <v>771</v>
      </c>
      <c r="D329" s="26"/>
      <c r="E329" s="25"/>
      <c r="F329" s="25" t="s">
        <v>771</v>
      </c>
      <c r="G329" s="26">
        <v>165</v>
      </c>
      <c r="H329" s="25">
        <f t="shared" si="9"/>
        <v>165</v>
      </c>
      <c r="I329" s="25"/>
      <c r="J329" s="25">
        <v>84</v>
      </c>
      <c r="K329" s="26" t="s">
        <v>2321</v>
      </c>
      <c r="L329" s="31"/>
      <c r="M329" s="31"/>
      <c r="N329" s="31"/>
      <c r="O329" s="31"/>
      <c r="P329" s="31"/>
      <c r="Q329" s="26"/>
    </row>
    <row r="330" spans="1:17" ht="22.5" x14ac:dyDescent="0.25">
      <c r="A330" s="11" t="s">
        <v>1878</v>
      </c>
      <c r="B330" s="13" t="s">
        <v>775</v>
      </c>
      <c r="F330" s="13" t="s">
        <v>776</v>
      </c>
      <c r="G330" s="13">
        <v>2</v>
      </c>
      <c r="H330" s="14">
        <f t="shared" si="9"/>
        <v>2</v>
      </c>
      <c r="J330" s="14">
        <v>2</v>
      </c>
      <c r="K330" s="13" t="s">
        <v>1912</v>
      </c>
    </row>
    <row r="331" spans="1:17" ht="22.5" x14ac:dyDescent="0.25">
      <c r="A331" s="11" t="s">
        <v>1878</v>
      </c>
      <c r="C331" s="10" t="s">
        <v>2151</v>
      </c>
      <c r="F331" s="13" t="s">
        <v>776</v>
      </c>
      <c r="G331" s="13">
        <v>1</v>
      </c>
      <c r="H331" s="14">
        <f t="shared" si="9"/>
        <v>1</v>
      </c>
      <c r="J331" s="14">
        <v>1</v>
      </c>
      <c r="K331" s="13" t="s">
        <v>1396</v>
      </c>
    </row>
    <row r="332" spans="1:17" x14ac:dyDescent="0.25">
      <c r="A332" s="11" t="s">
        <v>1878</v>
      </c>
      <c r="B332" s="13" t="s">
        <v>1157</v>
      </c>
      <c r="E332" s="14" t="s">
        <v>1233</v>
      </c>
      <c r="F332" s="13" t="s">
        <v>773</v>
      </c>
      <c r="G332" s="13"/>
      <c r="H332" s="14">
        <f t="shared" si="9"/>
        <v>2</v>
      </c>
      <c r="I332" s="14">
        <v>2</v>
      </c>
      <c r="J332" s="14">
        <v>2</v>
      </c>
      <c r="K332" s="13" t="s">
        <v>2305</v>
      </c>
      <c r="Q332" s="15"/>
    </row>
    <row r="333" spans="1:17" x14ac:dyDescent="0.25">
      <c r="A333" s="11" t="s">
        <v>1878</v>
      </c>
      <c r="D333" s="13" t="s">
        <v>1094</v>
      </c>
      <c r="E333" s="14" t="s">
        <v>982</v>
      </c>
      <c r="F333" s="14" t="s">
        <v>771</v>
      </c>
      <c r="G333" s="13">
        <v>1</v>
      </c>
      <c r="H333" s="14">
        <f t="shared" si="9"/>
        <v>1</v>
      </c>
      <c r="J333" s="14">
        <v>1</v>
      </c>
      <c r="K333" s="13" t="s">
        <v>1579</v>
      </c>
      <c r="Q333" s="15"/>
    </row>
    <row r="334" spans="1:17" x14ac:dyDescent="0.25">
      <c r="A334" s="11" t="s">
        <v>1878</v>
      </c>
      <c r="C334" s="10" t="s">
        <v>1216</v>
      </c>
      <c r="D334" s="13" t="s">
        <v>1217</v>
      </c>
      <c r="E334" s="14" t="s">
        <v>2336</v>
      </c>
      <c r="F334" s="14" t="s">
        <v>771</v>
      </c>
      <c r="G334" s="13"/>
      <c r="H334" s="14">
        <f t="shared" si="9"/>
        <v>1</v>
      </c>
      <c r="I334" s="14">
        <v>1</v>
      </c>
      <c r="J334" s="14">
        <v>1</v>
      </c>
      <c r="K334" s="13" t="s">
        <v>389</v>
      </c>
      <c r="Q334" s="15"/>
    </row>
    <row r="335" spans="1:17" x14ac:dyDescent="0.25">
      <c r="A335" s="11" t="s">
        <v>1878</v>
      </c>
      <c r="B335" s="13" t="s">
        <v>984</v>
      </c>
      <c r="C335" s="10" t="s">
        <v>2130</v>
      </c>
      <c r="F335" s="13" t="s">
        <v>773</v>
      </c>
      <c r="G335" s="13"/>
      <c r="H335" s="14">
        <f t="shared" si="9"/>
        <v>1</v>
      </c>
      <c r="I335" s="14">
        <v>1</v>
      </c>
      <c r="J335" s="14">
        <v>1</v>
      </c>
      <c r="K335" s="13" t="s">
        <v>572</v>
      </c>
      <c r="Q335" s="15"/>
    </row>
    <row r="336" spans="1:17" ht="22.5" x14ac:dyDescent="0.25">
      <c r="A336" s="11" t="s">
        <v>1878</v>
      </c>
      <c r="B336" s="13" t="s">
        <v>785</v>
      </c>
      <c r="D336" s="13" t="s">
        <v>977</v>
      </c>
      <c r="E336" s="14" t="s">
        <v>786</v>
      </c>
      <c r="F336" s="13" t="s">
        <v>773</v>
      </c>
      <c r="G336" s="13">
        <v>1</v>
      </c>
      <c r="H336" s="14">
        <f t="shared" si="9"/>
        <v>2</v>
      </c>
      <c r="I336" s="14">
        <v>1</v>
      </c>
      <c r="J336" s="14">
        <v>2</v>
      </c>
      <c r="K336" s="13" t="s">
        <v>1982</v>
      </c>
      <c r="Q336" s="15"/>
    </row>
    <row r="337" spans="1:17" x14ac:dyDescent="0.25">
      <c r="A337" s="11" t="s">
        <v>1878</v>
      </c>
      <c r="B337" s="13" t="s">
        <v>795</v>
      </c>
      <c r="C337" s="10" t="s">
        <v>944</v>
      </c>
      <c r="D337" s="13" t="s">
        <v>1223</v>
      </c>
      <c r="E337" s="14" t="s">
        <v>797</v>
      </c>
      <c r="F337" s="13" t="s">
        <v>773</v>
      </c>
      <c r="G337" s="13">
        <v>10</v>
      </c>
      <c r="H337" s="14">
        <f t="shared" si="9"/>
        <v>24</v>
      </c>
      <c r="I337" s="14">
        <v>14</v>
      </c>
      <c r="J337" s="14">
        <v>15</v>
      </c>
      <c r="K337" s="13" t="s">
        <v>2200</v>
      </c>
      <c r="Q337" s="15"/>
    </row>
    <row r="338" spans="1:17" x14ac:dyDescent="0.25">
      <c r="A338" s="11" t="s">
        <v>1878</v>
      </c>
      <c r="B338" s="13" t="s">
        <v>1671</v>
      </c>
      <c r="F338" s="13" t="s">
        <v>773</v>
      </c>
      <c r="G338" s="13"/>
      <c r="H338" s="14">
        <f t="shared" si="9"/>
        <v>1</v>
      </c>
      <c r="I338" s="14">
        <v>1</v>
      </c>
      <c r="J338" s="14">
        <v>1</v>
      </c>
      <c r="K338" s="13" t="s">
        <v>572</v>
      </c>
      <c r="Q338" s="15"/>
    </row>
    <row r="339" spans="1:17" x14ac:dyDescent="0.25">
      <c r="A339" s="11" t="s">
        <v>1878</v>
      </c>
      <c r="E339" s="14" t="s">
        <v>1967</v>
      </c>
      <c r="F339" s="14" t="s">
        <v>773</v>
      </c>
      <c r="G339" s="13">
        <v>2</v>
      </c>
      <c r="H339" s="14">
        <f t="shared" si="9"/>
        <v>3</v>
      </c>
      <c r="I339" s="14">
        <v>1</v>
      </c>
      <c r="J339" s="14">
        <v>3</v>
      </c>
      <c r="K339" s="13" t="s">
        <v>2117</v>
      </c>
      <c r="Q339" s="15"/>
    </row>
    <row r="340" spans="1:17" ht="22.5" x14ac:dyDescent="0.25">
      <c r="A340" s="11" t="s">
        <v>1878</v>
      </c>
      <c r="E340" s="13" t="s">
        <v>982</v>
      </c>
      <c r="F340" s="14" t="s">
        <v>771</v>
      </c>
      <c r="G340" s="13">
        <v>19</v>
      </c>
      <c r="H340" s="14">
        <f t="shared" si="9"/>
        <v>20</v>
      </c>
      <c r="I340" s="14">
        <v>1</v>
      </c>
      <c r="J340" s="14">
        <v>17</v>
      </c>
      <c r="K340" s="13" t="s">
        <v>2308</v>
      </c>
      <c r="Q340" s="15"/>
    </row>
    <row r="341" spans="1:17" x14ac:dyDescent="0.25">
      <c r="A341" s="11" t="s">
        <v>1878</v>
      </c>
      <c r="E341" s="13" t="s">
        <v>1221</v>
      </c>
      <c r="F341" s="14" t="s">
        <v>771</v>
      </c>
      <c r="G341" s="13">
        <v>10</v>
      </c>
      <c r="H341" s="14">
        <f t="shared" si="9"/>
        <v>11</v>
      </c>
      <c r="I341" s="14">
        <v>1</v>
      </c>
      <c r="J341" s="14">
        <v>11</v>
      </c>
      <c r="K341" s="13" t="s">
        <v>2276</v>
      </c>
      <c r="Q341" s="15"/>
    </row>
    <row r="342" spans="1:17" x14ac:dyDescent="0.25">
      <c r="A342" s="11" t="s">
        <v>1878</v>
      </c>
      <c r="D342" s="13" t="s">
        <v>1909</v>
      </c>
      <c r="E342" s="13" t="s">
        <v>1224</v>
      </c>
      <c r="F342" s="14" t="s">
        <v>771</v>
      </c>
      <c r="G342" s="13">
        <v>1</v>
      </c>
      <c r="H342" s="14">
        <f t="shared" si="9"/>
        <v>1</v>
      </c>
      <c r="J342" s="14">
        <v>1</v>
      </c>
      <c r="K342" s="13" t="s">
        <v>31</v>
      </c>
      <c r="Q342" s="15"/>
    </row>
    <row r="343" spans="1:17" x14ac:dyDescent="0.25">
      <c r="A343" s="11" t="s">
        <v>1878</v>
      </c>
      <c r="E343" s="14" t="s">
        <v>1947</v>
      </c>
      <c r="F343" s="14" t="s">
        <v>771</v>
      </c>
      <c r="G343" s="13">
        <v>8</v>
      </c>
      <c r="H343" s="14">
        <f t="shared" si="9"/>
        <v>8</v>
      </c>
      <c r="J343" s="14">
        <v>7</v>
      </c>
      <c r="K343" s="13" t="s">
        <v>2329</v>
      </c>
      <c r="Q343" s="15"/>
    </row>
    <row r="344" spans="1:17" x14ac:dyDescent="0.25">
      <c r="A344" s="11" t="s">
        <v>1878</v>
      </c>
      <c r="E344" s="14" t="s">
        <v>1910</v>
      </c>
      <c r="F344" s="14" t="s">
        <v>771</v>
      </c>
      <c r="G344" s="13">
        <v>1</v>
      </c>
      <c r="H344" s="14">
        <f t="shared" si="9"/>
        <v>1</v>
      </c>
      <c r="J344" s="14">
        <v>1</v>
      </c>
      <c r="K344" s="13" t="s">
        <v>1035</v>
      </c>
      <c r="Q344" s="15"/>
    </row>
    <row r="345" spans="1:17" x14ac:dyDescent="0.25">
      <c r="A345" s="11" t="s">
        <v>1878</v>
      </c>
      <c r="E345" s="14" t="s">
        <v>1345</v>
      </c>
      <c r="F345" s="14" t="s">
        <v>771</v>
      </c>
      <c r="G345" s="13">
        <v>1</v>
      </c>
      <c r="H345" s="14">
        <f t="shared" si="9"/>
        <v>2</v>
      </c>
      <c r="I345" s="14">
        <v>1</v>
      </c>
      <c r="J345" s="14">
        <v>2</v>
      </c>
      <c r="K345" s="13" t="s">
        <v>2073</v>
      </c>
      <c r="Q345" s="15"/>
    </row>
    <row r="346" spans="1:17" x14ac:dyDescent="0.25">
      <c r="A346" s="11" t="s">
        <v>1878</v>
      </c>
      <c r="E346" s="14" t="s">
        <v>879</v>
      </c>
      <c r="F346" s="14" t="s">
        <v>771</v>
      </c>
      <c r="G346" s="13">
        <v>9</v>
      </c>
      <c r="H346" s="14">
        <f t="shared" si="9"/>
        <v>10</v>
      </c>
      <c r="I346" s="14">
        <v>1</v>
      </c>
      <c r="J346" s="14">
        <v>9</v>
      </c>
      <c r="K346" s="13" t="s">
        <v>2260</v>
      </c>
      <c r="Q346" s="15"/>
    </row>
    <row r="347" spans="1:17" ht="22.5" x14ac:dyDescent="0.25">
      <c r="A347" s="11" t="s">
        <v>1878</v>
      </c>
      <c r="C347" s="10" t="s">
        <v>1287</v>
      </c>
      <c r="E347" s="14" t="s">
        <v>776</v>
      </c>
      <c r="F347" s="13" t="s">
        <v>776</v>
      </c>
      <c r="G347" s="13">
        <v>2</v>
      </c>
      <c r="H347" s="14">
        <f t="shared" si="9"/>
        <v>4</v>
      </c>
      <c r="I347" s="14">
        <v>2</v>
      </c>
      <c r="J347" s="14">
        <v>4</v>
      </c>
      <c r="K347" s="13" t="s">
        <v>2203</v>
      </c>
      <c r="Q347" s="15"/>
    </row>
    <row r="348" spans="1:17" x14ac:dyDescent="0.25">
      <c r="A348" s="11" t="s">
        <v>1878</v>
      </c>
      <c r="C348" s="10" t="s">
        <v>1896</v>
      </c>
      <c r="E348" s="14" t="s">
        <v>793</v>
      </c>
      <c r="F348" s="14" t="s">
        <v>773</v>
      </c>
      <c r="G348" s="13">
        <v>1</v>
      </c>
      <c r="H348" s="14">
        <f t="shared" si="9"/>
        <v>2</v>
      </c>
      <c r="I348" s="14">
        <v>1</v>
      </c>
      <c r="J348" s="14">
        <v>2</v>
      </c>
      <c r="K348" s="13" t="s">
        <v>2072</v>
      </c>
      <c r="Q348" s="15"/>
    </row>
    <row r="349" spans="1:17" x14ac:dyDescent="0.25">
      <c r="A349" s="11" t="s">
        <v>1878</v>
      </c>
      <c r="C349" s="10" t="s">
        <v>1901</v>
      </c>
      <c r="E349" s="14" t="s">
        <v>773</v>
      </c>
      <c r="F349" s="14" t="s">
        <v>771</v>
      </c>
      <c r="G349" s="13">
        <v>1</v>
      </c>
      <c r="H349" s="14">
        <f t="shared" si="9"/>
        <v>1</v>
      </c>
      <c r="J349" s="14">
        <v>1</v>
      </c>
      <c r="K349" s="13" t="s">
        <v>1899</v>
      </c>
      <c r="Q349" s="15"/>
    </row>
    <row r="350" spans="1:17" x14ac:dyDescent="0.25">
      <c r="A350" s="11" t="s">
        <v>1878</v>
      </c>
      <c r="C350" s="10" t="s">
        <v>774</v>
      </c>
      <c r="F350" s="14" t="s">
        <v>874</v>
      </c>
      <c r="G350" s="13">
        <v>15</v>
      </c>
      <c r="H350" s="14">
        <f t="shared" si="9"/>
        <v>15</v>
      </c>
      <c r="J350" s="14">
        <v>10</v>
      </c>
      <c r="K350" s="13" t="s">
        <v>2235</v>
      </c>
      <c r="Q350" s="15"/>
    </row>
    <row r="351" spans="1:17" x14ac:dyDescent="0.25">
      <c r="A351" s="11" t="s">
        <v>1878</v>
      </c>
      <c r="C351" s="10" t="s">
        <v>1941</v>
      </c>
      <c r="D351" s="13" t="s">
        <v>683</v>
      </c>
      <c r="F351" s="14" t="s">
        <v>874</v>
      </c>
      <c r="G351" s="13">
        <v>2</v>
      </c>
      <c r="H351" s="14">
        <f t="shared" si="9"/>
        <v>2</v>
      </c>
      <c r="J351" s="14">
        <v>2</v>
      </c>
      <c r="K351" s="13" t="s">
        <v>1949</v>
      </c>
      <c r="Q351" s="15"/>
    </row>
    <row r="352" spans="1:17" x14ac:dyDescent="0.25">
      <c r="A352" s="11" t="s">
        <v>1878</v>
      </c>
      <c r="B352" s="13" t="s">
        <v>875</v>
      </c>
      <c r="C352" s="10" t="s">
        <v>875</v>
      </c>
      <c r="D352" s="13" t="s">
        <v>1289</v>
      </c>
      <c r="E352" s="14" t="s">
        <v>1290</v>
      </c>
      <c r="F352" s="14" t="s">
        <v>773</v>
      </c>
      <c r="H352" s="14">
        <f t="shared" si="9"/>
        <v>2</v>
      </c>
      <c r="I352" s="14">
        <v>2</v>
      </c>
      <c r="J352" s="14">
        <v>2</v>
      </c>
      <c r="K352" s="13" t="s">
        <v>2134</v>
      </c>
      <c r="Q352" s="15"/>
    </row>
    <row r="354" spans="1:17" x14ac:dyDescent="0.25">
      <c r="Q354" s="15"/>
    </row>
    <row r="355" spans="1:17" ht="22.5" x14ac:dyDescent="0.25">
      <c r="B355" s="13" t="s">
        <v>532</v>
      </c>
      <c r="C355" s="10">
        <f>H2</f>
        <v>6</v>
      </c>
      <c r="Q355" s="15"/>
    </row>
    <row r="356" spans="1:17" x14ac:dyDescent="0.25">
      <c r="B356" s="13" t="s">
        <v>411</v>
      </c>
      <c r="C356" s="10">
        <v>0</v>
      </c>
      <c r="Q356" s="15"/>
    </row>
    <row r="357" spans="1:17" x14ac:dyDescent="0.25">
      <c r="B357" s="13" t="s">
        <v>297</v>
      </c>
      <c r="C357" s="10">
        <v>0</v>
      </c>
      <c r="Q357" s="15"/>
    </row>
    <row r="358" spans="1:17" x14ac:dyDescent="0.25">
      <c r="B358" s="13" t="s">
        <v>2249</v>
      </c>
      <c r="C358" s="10">
        <v>0</v>
      </c>
      <c r="Q358" s="15"/>
    </row>
    <row r="359" spans="1:17" x14ac:dyDescent="0.25">
      <c r="B359" s="13" t="s">
        <v>76</v>
      </c>
      <c r="C359" s="10">
        <f>SUM(H3:H12)+H228+H246</f>
        <v>47</v>
      </c>
      <c r="D359" s="15"/>
      <c r="E359" s="15"/>
      <c r="F359" s="15"/>
      <c r="G359" s="15"/>
      <c r="I359" s="15"/>
      <c r="J359" s="15"/>
      <c r="K359" s="16"/>
      <c r="Q359" s="15"/>
    </row>
    <row r="360" spans="1:17" x14ac:dyDescent="0.25">
      <c r="B360" s="13" t="s">
        <v>1424</v>
      </c>
      <c r="C360" s="10">
        <v>0</v>
      </c>
      <c r="D360" s="15"/>
      <c r="E360" s="15"/>
      <c r="F360" s="15"/>
      <c r="G360" s="15"/>
      <c r="I360" s="15"/>
      <c r="J360" s="15"/>
      <c r="K360" s="16"/>
      <c r="Q360" s="15"/>
    </row>
    <row r="361" spans="1:17" x14ac:dyDescent="0.25">
      <c r="B361" s="13" t="s">
        <v>213</v>
      </c>
      <c r="C361" s="10">
        <f>H13</f>
        <v>2</v>
      </c>
      <c r="D361" s="15"/>
      <c r="E361" s="15"/>
      <c r="F361" s="15"/>
      <c r="G361" s="15"/>
      <c r="I361" s="15"/>
      <c r="J361" s="15"/>
      <c r="K361" s="16"/>
      <c r="Q361" s="15"/>
    </row>
    <row r="362" spans="1:17" x14ac:dyDescent="0.25">
      <c r="B362" s="13" t="s">
        <v>42</v>
      </c>
      <c r="C362" s="10">
        <f>SUM(H14:H15)+SUM(H229:H230)</f>
        <v>14</v>
      </c>
      <c r="D362" s="15"/>
      <c r="E362" s="15"/>
      <c r="F362" s="15"/>
      <c r="G362" s="15"/>
      <c r="I362" s="15"/>
      <c r="J362" s="15"/>
      <c r="K362" s="16"/>
      <c r="Q362" s="15"/>
    </row>
    <row r="363" spans="1:17" x14ac:dyDescent="0.25">
      <c r="B363" s="13" t="s">
        <v>10</v>
      </c>
      <c r="C363" s="10">
        <f>SUM(H16:H21)+SUM(H231:H232)</f>
        <v>35</v>
      </c>
      <c r="Q363" s="15"/>
    </row>
    <row r="364" spans="1:17" x14ac:dyDescent="0.25">
      <c r="B364" s="13" t="s">
        <v>126</v>
      </c>
      <c r="C364" s="10">
        <f>SUM(H22:H23)</f>
        <v>7</v>
      </c>
      <c r="Q364" s="15"/>
    </row>
    <row r="365" spans="1:17" x14ac:dyDescent="0.25">
      <c r="B365" s="13" t="s">
        <v>191</v>
      </c>
      <c r="C365" s="10">
        <f>SUM(H24:H25)</f>
        <v>6</v>
      </c>
      <c r="Q365" s="15"/>
    </row>
    <row r="366" spans="1:17" x14ac:dyDescent="0.25">
      <c r="B366" s="13" t="s">
        <v>68</v>
      </c>
      <c r="C366" s="10">
        <f>SUM(H26:H36)</f>
        <v>47</v>
      </c>
      <c r="Q366" s="15"/>
    </row>
    <row r="367" spans="1:17" x14ac:dyDescent="0.25">
      <c r="B367" s="13" t="s">
        <v>674</v>
      </c>
      <c r="C367" s="10">
        <v>0</v>
      </c>
      <c r="Q367" s="15"/>
    </row>
    <row r="368" spans="1:17" customFormat="1" ht="15" x14ac:dyDescent="0.25">
      <c r="A368" s="48"/>
      <c r="B368" s="13" t="s">
        <v>327</v>
      </c>
      <c r="C368" s="10">
        <f>SUM(H233:H234)+H247</f>
        <v>15</v>
      </c>
      <c r="D368" s="13"/>
      <c r="E368" s="14"/>
      <c r="F368" s="14"/>
      <c r="G368" s="14"/>
      <c r="H368" s="14"/>
      <c r="I368" s="14"/>
      <c r="J368" s="14"/>
      <c r="K368" s="13"/>
      <c r="L368" s="15"/>
      <c r="M368" s="15"/>
      <c r="N368" s="15"/>
      <c r="O368" s="15"/>
      <c r="P368" s="15"/>
    </row>
    <row r="369" spans="1:17" ht="15" x14ac:dyDescent="0.25">
      <c r="B369" s="13" t="s">
        <v>209</v>
      </c>
      <c r="C369" s="21">
        <f>SUM(H37:H38)</f>
        <v>4</v>
      </c>
      <c r="D369"/>
      <c r="E369"/>
      <c r="F369"/>
      <c r="G369"/>
      <c r="I369"/>
      <c r="J369"/>
      <c r="K369"/>
      <c r="L369"/>
      <c r="M369"/>
      <c r="N369"/>
      <c r="O369"/>
      <c r="P369"/>
      <c r="Q369" s="15"/>
    </row>
    <row r="370" spans="1:17" ht="15" x14ac:dyDescent="0.25">
      <c r="B370" s="13" t="s">
        <v>2006</v>
      </c>
      <c r="C370" s="21">
        <f>H235</f>
        <v>4</v>
      </c>
      <c r="D370"/>
      <c r="E370"/>
      <c r="F370"/>
      <c r="G370"/>
      <c r="I370"/>
      <c r="J370"/>
      <c r="K370"/>
      <c r="L370"/>
      <c r="M370"/>
      <c r="N370"/>
      <c r="O370"/>
      <c r="P370"/>
      <c r="Q370" s="15"/>
    </row>
    <row r="371" spans="1:17" x14ac:dyDescent="0.25">
      <c r="B371" s="13" t="s">
        <v>64</v>
      </c>
      <c r="C371" s="10">
        <f>SUM(H39:H40)</f>
        <v>4</v>
      </c>
      <c r="D371" s="15"/>
      <c r="E371" s="15"/>
      <c r="F371" s="15"/>
      <c r="G371" s="15"/>
      <c r="I371" s="15"/>
      <c r="J371" s="15"/>
      <c r="K371" s="15"/>
      <c r="Q371" s="15"/>
    </row>
    <row r="372" spans="1:17" x14ac:dyDescent="0.25">
      <c r="B372" s="13" t="s">
        <v>261</v>
      </c>
      <c r="C372" s="10">
        <f>H41+H245</f>
        <v>4</v>
      </c>
      <c r="D372" s="15"/>
      <c r="E372" s="15"/>
      <c r="F372" s="15"/>
      <c r="G372" s="15"/>
      <c r="I372" s="15"/>
      <c r="J372" s="15"/>
      <c r="K372" s="15"/>
      <c r="Q372" s="15"/>
    </row>
    <row r="373" spans="1:17" x14ac:dyDescent="0.25">
      <c r="B373" s="13" t="s">
        <v>1346</v>
      </c>
      <c r="C373" s="10">
        <v>0</v>
      </c>
      <c r="D373" s="15"/>
      <c r="E373" s="15"/>
      <c r="F373" s="15"/>
      <c r="G373" s="15"/>
      <c r="I373" s="15"/>
      <c r="J373" s="15"/>
      <c r="K373" s="15"/>
      <c r="Q373" s="15"/>
    </row>
    <row r="374" spans="1:17" x14ac:dyDescent="0.25">
      <c r="B374" s="13" t="s">
        <v>705</v>
      </c>
      <c r="C374" s="10">
        <f>H42</f>
        <v>2</v>
      </c>
      <c r="D374" s="15"/>
      <c r="E374" s="15"/>
      <c r="F374" s="15"/>
      <c r="G374" s="15"/>
      <c r="I374" s="15"/>
      <c r="J374" s="15"/>
      <c r="K374" s="15"/>
      <c r="Q374" s="15"/>
    </row>
    <row r="375" spans="1:17" x14ac:dyDescent="0.25">
      <c r="A375" s="15"/>
      <c r="B375" s="13" t="s">
        <v>283</v>
      </c>
      <c r="C375" s="10">
        <f>SUM(H43:H46)+H236+H244</f>
        <v>11</v>
      </c>
      <c r="D375" s="15"/>
      <c r="E375" s="15"/>
      <c r="F375" s="15"/>
      <c r="G375" s="15"/>
      <c r="I375" s="15"/>
      <c r="J375" s="15"/>
      <c r="K375" s="15"/>
      <c r="Q375" s="15"/>
    </row>
    <row r="376" spans="1:17" x14ac:dyDescent="0.25">
      <c r="A376" s="15"/>
      <c r="B376" s="13" t="s">
        <v>430</v>
      </c>
      <c r="C376" s="10">
        <v>0</v>
      </c>
      <c r="D376" s="15"/>
      <c r="E376" s="15"/>
      <c r="F376" s="15"/>
      <c r="G376" s="15"/>
      <c r="I376" s="15"/>
      <c r="J376" s="15"/>
      <c r="K376" s="15"/>
      <c r="Q376" s="15"/>
    </row>
    <row r="377" spans="1:17" x14ac:dyDescent="0.25">
      <c r="A377" s="15"/>
      <c r="B377" s="13" t="s">
        <v>1933</v>
      </c>
      <c r="C377" s="10">
        <f>SUM(H47:H48)</f>
        <v>4</v>
      </c>
      <c r="D377" s="15"/>
      <c r="E377" s="15"/>
      <c r="F377" s="15"/>
      <c r="G377" s="15"/>
      <c r="I377" s="15"/>
      <c r="J377" s="15"/>
      <c r="K377" s="15"/>
      <c r="Q377" s="15"/>
    </row>
    <row r="378" spans="1:17" x14ac:dyDescent="0.25">
      <c r="A378" s="15"/>
      <c r="B378" s="13" t="s">
        <v>328</v>
      </c>
      <c r="C378" s="10">
        <f>H49+H237</f>
        <v>3</v>
      </c>
      <c r="D378" s="15"/>
      <c r="E378" s="15"/>
      <c r="F378" s="15"/>
      <c r="G378" s="15"/>
      <c r="I378" s="15"/>
      <c r="J378" s="15"/>
      <c r="K378" s="15"/>
      <c r="Q378" s="15"/>
    </row>
    <row r="379" spans="1:17" x14ac:dyDescent="0.25">
      <c r="A379" s="15"/>
      <c r="B379" s="13" t="s">
        <v>483</v>
      </c>
      <c r="C379" s="10">
        <v>0</v>
      </c>
      <c r="D379" s="15"/>
      <c r="E379" s="15"/>
      <c r="F379" s="15"/>
      <c r="G379" s="15"/>
      <c r="I379" s="15"/>
      <c r="J379" s="15"/>
      <c r="K379" s="15"/>
      <c r="Q379" s="15"/>
    </row>
    <row r="380" spans="1:17" x14ac:dyDescent="0.25">
      <c r="A380" s="15"/>
      <c r="B380" s="13" t="s">
        <v>2091</v>
      </c>
      <c r="C380" s="10">
        <f>H50</f>
        <v>3</v>
      </c>
      <c r="D380" s="15"/>
      <c r="E380" s="15"/>
      <c r="F380" s="15"/>
      <c r="G380" s="15"/>
      <c r="I380" s="15"/>
      <c r="J380" s="15"/>
      <c r="K380" s="15"/>
      <c r="Q380" s="15"/>
    </row>
    <row r="381" spans="1:17" x14ac:dyDescent="0.25">
      <c r="A381" s="15"/>
      <c r="B381" s="13" t="s">
        <v>78</v>
      </c>
      <c r="C381" s="10">
        <f>SUM(H51:H56)</f>
        <v>11</v>
      </c>
      <c r="D381" s="15"/>
      <c r="E381" s="15"/>
      <c r="F381" s="15"/>
      <c r="G381" s="15"/>
      <c r="I381" s="15"/>
      <c r="J381" s="15"/>
      <c r="K381" s="15"/>
      <c r="Q381" s="15"/>
    </row>
    <row r="382" spans="1:17" x14ac:dyDescent="0.25">
      <c r="A382" s="15"/>
      <c r="B382" s="13" t="s">
        <v>206</v>
      </c>
      <c r="C382" s="10">
        <f>SUM(H57:H61)</f>
        <v>13</v>
      </c>
      <c r="D382" s="15"/>
      <c r="E382" s="15"/>
      <c r="F382" s="15"/>
      <c r="G382" s="15"/>
      <c r="I382" s="15"/>
      <c r="J382" s="15"/>
      <c r="K382" s="15"/>
      <c r="Q382" s="15"/>
    </row>
    <row r="383" spans="1:17" x14ac:dyDescent="0.25">
      <c r="A383" s="15"/>
      <c r="B383" s="13" t="s">
        <v>46</v>
      </c>
      <c r="C383" s="10">
        <f>SUM(H62:H63)</f>
        <v>2</v>
      </c>
      <c r="D383" s="15"/>
      <c r="E383" s="15"/>
      <c r="F383" s="15"/>
      <c r="G383" s="15"/>
      <c r="I383" s="15"/>
      <c r="J383" s="15"/>
      <c r="K383" s="15"/>
      <c r="Q383" s="15"/>
    </row>
    <row r="384" spans="1:17" x14ac:dyDescent="0.25">
      <c r="A384" s="15"/>
      <c r="B384" s="13" t="s">
        <v>62</v>
      </c>
      <c r="C384" s="10">
        <f>SUM(H64:H70)</f>
        <v>22</v>
      </c>
      <c r="D384" s="15"/>
      <c r="E384" s="15"/>
      <c r="F384" s="15"/>
      <c r="G384" s="15"/>
      <c r="I384" s="15"/>
      <c r="J384" s="15"/>
      <c r="K384" s="15"/>
      <c r="Q384" s="15"/>
    </row>
    <row r="385" spans="1:17" x14ac:dyDescent="0.25">
      <c r="A385" s="15"/>
      <c r="B385" s="13" t="s">
        <v>82</v>
      </c>
      <c r="C385" s="10">
        <f>H71</f>
        <v>2</v>
      </c>
      <c r="D385" s="15"/>
      <c r="E385" s="15"/>
      <c r="F385" s="15"/>
      <c r="G385" s="15"/>
      <c r="I385" s="15"/>
      <c r="J385" s="15"/>
      <c r="K385" s="15"/>
      <c r="Q385" s="15"/>
    </row>
    <row r="386" spans="1:17" x14ac:dyDescent="0.25">
      <c r="A386" s="15"/>
      <c r="B386" s="13" t="s">
        <v>22</v>
      </c>
      <c r="C386" s="10">
        <f>SUM(H72:H73)+H238</f>
        <v>7</v>
      </c>
      <c r="D386" s="15"/>
      <c r="E386" s="15"/>
      <c r="F386" s="15"/>
      <c r="G386" s="15"/>
      <c r="I386" s="15"/>
      <c r="J386" s="15"/>
      <c r="K386" s="15"/>
      <c r="Q386" s="15"/>
    </row>
    <row r="387" spans="1:17" x14ac:dyDescent="0.25">
      <c r="A387" s="15"/>
      <c r="B387" s="13" t="s">
        <v>446</v>
      </c>
      <c r="C387" s="10">
        <f>H74</f>
        <v>4</v>
      </c>
      <c r="D387" s="15"/>
      <c r="E387" s="15"/>
      <c r="F387" s="15"/>
      <c r="G387" s="15"/>
      <c r="I387" s="15"/>
      <c r="J387" s="15"/>
      <c r="K387" s="15"/>
      <c r="Q387" s="15"/>
    </row>
    <row r="388" spans="1:17" x14ac:dyDescent="0.25">
      <c r="A388" s="15"/>
      <c r="B388" s="13" t="s">
        <v>609</v>
      </c>
      <c r="C388" s="10">
        <f>SUM(H75:H79)</f>
        <v>15</v>
      </c>
      <c r="D388" s="15"/>
      <c r="E388" s="15"/>
      <c r="F388" s="15"/>
      <c r="G388" s="15"/>
      <c r="I388" s="15"/>
      <c r="J388" s="15"/>
      <c r="K388" s="15"/>
      <c r="Q388" s="15"/>
    </row>
    <row r="389" spans="1:17" x14ac:dyDescent="0.25">
      <c r="A389" s="15"/>
      <c r="B389" s="13" t="s">
        <v>699</v>
      </c>
      <c r="C389" s="10">
        <v>0</v>
      </c>
      <c r="D389" s="15"/>
      <c r="E389" s="15"/>
      <c r="F389" s="15"/>
      <c r="G389" s="15"/>
      <c r="I389" s="15"/>
      <c r="J389" s="15"/>
      <c r="K389" s="15"/>
      <c r="Q389" s="15"/>
    </row>
    <row r="390" spans="1:17" x14ac:dyDescent="0.25">
      <c r="A390" s="15"/>
      <c r="B390" s="13" t="s">
        <v>93</v>
      </c>
      <c r="C390" s="10">
        <f>SUM(H80:H82)+H239</f>
        <v>10</v>
      </c>
      <c r="D390" s="15"/>
      <c r="E390" s="15"/>
      <c r="F390" s="15"/>
      <c r="G390" s="15"/>
      <c r="I390" s="15"/>
      <c r="J390" s="15"/>
      <c r="K390" s="15"/>
      <c r="Q390" s="15"/>
    </row>
    <row r="391" spans="1:17" x14ac:dyDescent="0.25">
      <c r="A391" s="15"/>
      <c r="B391" s="13" t="s">
        <v>1731</v>
      </c>
      <c r="C391" s="10">
        <v>0</v>
      </c>
      <c r="D391" s="15"/>
      <c r="E391" s="15"/>
      <c r="F391" s="15"/>
      <c r="G391" s="15"/>
      <c r="I391" s="15"/>
      <c r="J391" s="15"/>
      <c r="K391" s="15"/>
      <c r="Q391" s="15"/>
    </row>
    <row r="392" spans="1:17" x14ac:dyDescent="0.25">
      <c r="A392" s="15"/>
      <c r="B392" s="13" t="s">
        <v>50</v>
      </c>
      <c r="C392" s="10">
        <f>H83</f>
        <v>1</v>
      </c>
      <c r="D392" s="15"/>
      <c r="E392" s="15"/>
      <c r="F392" s="15"/>
      <c r="G392" s="15"/>
      <c r="I392" s="15"/>
      <c r="J392" s="15"/>
      <c r="K392" s="15"/>
      <c r="Q392" s="15"/>
    </row>
    <row r="393" spans="1:17" x14ac:dyDescent="0.25">
      <c r="A393" s="15"/>
      <c r="B393" s="13" t="s">
        <v>24</v>
      </c>
      <c r="C393" s="10">
        <f>SUM(H84:H108)+H240</f>
        <v>132</v>
      </c>
      <c r="D393" s="15"/>
      <c r="E393" s="15"/>
      <c r="F393" s="15"/>
      <c r="G393" s="15"/>
      <c r="I393" s="15"/>
      <c r="J393" s="15"/>
      <c r="K393" s="15"/>
      <c r="Q393" s="15"/>
    </row>
    <row r="394" spans="1:17" x14ac:dyDescent="0.25">
      <c r="A394" s="15"/>
      <c r="B394" s="13" t="s">
        <v>139</v>
      </c>
      <c r="C394" s="10">
        <f>H109+H243</f>
        <v>12</v>
      </c>
      <c r="D394" s="15"/>
      <c r="E394" s="15"/>
      <c r="F394" s="15"/>
      <c r="G394" s="15"/>
      <c r="I394" s="15"/>
      <c r="J394" s="15"/>
      <c r="K394" s="15"/>
      <c r="Q394" s="15"/>
    </row>
    <row r="395" spans="1:17" x14ac:dyDescent="0.25">
      <c r="A395" s="15"/>
      <c r="B395" s="13" t="s">
        <v>269</v>
      </c>
      <c r="C395" s="10">
        <f>SUM(H110:H117)+H242</f>
        <v>32</v>
      </c>
      <c r="D395" s="15"/>
      <c r="E395" s="15"/>
      <c r="F395" s="15"/>
      <c r="G395" s="15"/>
      <c r="I395" s="15"/>
      <c r="J395" s="15"/>
      <c r="K395" s="15"/>
      <c r="Q395" s="15"/>
    </row>
    <row r="396" spans="1:17" x14ac:dyDescent="0.25">
      <c r="A396" s="15"/>
      <c r="B396" s="13" t="s">
        <v>2079</v>
      </c>
      <c r="C396" s="10">
        <f>H118</f>
        <v>2</v>
      </c>
      <c r="D396" s="15"/>
      <c r="E396" s="15"/>
      <c r="F396" s="15"/>
      <c r="G396" s="15"/>
      <c r="I396" s="15"/>
      <c r="J396" s="15"/>
      <c r="K396" s="15"/>
      <c r="Q396" s="15"/>
    </row>
    <row r="397" spans="1:17" x14ac:dyDescent="0.25">
      <c r="A397" s="15"/>
      <c r="B397" s="13" t="s">
        <v>1347</v>
      </c>
      <c r="C397" s="10">
        <v>0</v>
      </c>
      <c r="D397" s="15"/>
      <c r="E397" s="15"/>
      <c r="F397" s="15"/>
      <c r="G397" s="15"/>
      <c r="I397" s="15"/>
      <c r="J397" s="15"/>
      <c r="K397" s="15"/>
      <c r="Q397" s="15"/>
    </row>
    <row r="398" spans="1:17" x14ac:dyDescent="0.25">
      <c r="A398" s="15"/>
      <c r="B398" s="13" t="s">
        <v>718</v>
      </c>
      <c r="C398" s="10">
        <f>H119+H272</f>
        <v>15</v>
      </c>
      <c r="D398" s="15"/>
      <c r="E398" s="15"/>
      <c r="F398" s="15"/>
      <c r="G398" s="15"/>
      <c r="H398" s="15"/>
      <c r="I398" s="15"/>
      <c r="J398" s="15"/>
      <c r="K398" s="15"/>
      <c r="Q398" s="15"/>
    </row>
    <row r="399" spans="1:17" x14ac:dyDescent="0.25">
      <c r="A399" s="15"/>
      <c r="B399" s="13" t="s">
        <v>1682</v>
      </c>
      <c r="C399" s="10">
        <v>0</v>
      </c>
      <c r="D399" s="15"/>
      <c r="E399" s="15"/>
      <c r="F399" s="15"/>
      <c r="G399" s="15"/>
      <c r="H399" s="15"/>
      <c r="I399" s="15"/>
      <c r="J399" s="15"/>
      <c r="K399" s="15"/>
      <c r="Q399" s="15"/>
    </row>
    <row r="400" spans="1:17" x14ac:dyDescent="0.25">
      <c r="A400" s="15"/>
      <c r="C400" s="10">
        <f>SUM(C355:C399)</f>
        <v>498</v>
      </c>
      <c r="D400" s="15"/>
      <c r="E400" s="15"/>
      <c r="F400" s="15"/>
      <c r="G400" s="15"/>
      <c r="H400" s="15"/>
      <c r="I400" s="15"/>
      <c r="J400" s="15"/>
      <c r="K400" s="15"/>
      <c r="Q400" s="15"/>
    </row>
    <row r="401" spans="1:17" x14ac:dyDescent="0.25">
      <c r="A401" s="15"/>
      <c r="B401" s="12" t="s">
        <v>11</v>
      </c>
      <c r="C401" s="10">
        <f>SUM(C402:C406)+H222+H224+SUM(H255:H257)+SUM(H282:H283)/2+SUM(H294:H295)/2</f>
        <v>846.5</v>
      </c>
      <c r="D401" s="15"/>
      <c r="E401" s="15"/>
      <c r="F401" s="15"/>
      <c r="G401" s="15"/>
      <c r="H401" s="15"/>
      <c r="I401" s="15"/>
      <c r="J401" s="15"/>
      <c r="K401" s="15"/>
      <c r="Q401" s="15"/>
    </row>
    <row r="402" spans="1:17" x14ac:dyDescent="0.25">
      <c r="A402" s="15"/>
      <c r="B402" s="13" t="s">
        <v>663</v>
      </c>
      <c r="C402" s="10">
        <f>SUM(H248:H249)+H259+SUM(H260:H262)/2+C361+C378+C383+SUM(C394:C396)</f>
        <v>106.5</v>
      </c>
      <c r="D402" s="15"/>
      <c r="E402" s="15"/>
      <c r="F402" s="15"/>
      <c r="G402" s="15"/>
      <c r="H402" s="15"/>
      <c r="I402" s="15"/>
      <c r="J402" s="15"/>
      <c r="K402" s="15"/>
      <c r="Q402" s="15"/>
    </row>
    <row r="403" spans="1:17" x14ac:dyDescent="0.25">
      <c r="A403" s="15"/>
      <c r="B403" s="13" t="s">
        <v>664</v>
      </c>
      <c r="C403" s="10">
        <f>H258+SUM(H260/2)+SUM(H278/2)+C363</f>
        <v>54.5</v>
      </c>
      <c r="D403" s="15"/>
      <c r="E403" s="15"/>
      <c r="F403" s="15"/>
      <c r="G403" s="15"/>
      <c r="H403" s="15"/>
      <c r="I403" s="15"/>
      <c r="J403" s="15"/>
      <c r="K403" s="15"/>
      <c r="Q403" s="15"/>
    </row>
    <row r="404" spans="1:17" x14ac:dyDescent="0.25">
      <c r="A404" s="15"/>
      <c r="B404" s="13" t="s">
        <v>271</v>
      </c>
      <c r="C404" s="10">
        <f>H241+SUM(H251:H254)+SUM(H261:H262)/2+SUM(H266:H267)/2+SUM(H269/2)+H268+H276+SUM(H280:H281)+SUM(C368:C369)+C372+SUM(C374:C375)+SUM(C380:C381)+C388+C390</f>
        <v>158.5</v>
      </c>
      <c r="D404" s="15"/>
      <c r="E404" s="15"/>
      <c r="F404" s="15"/>
      <c r="G404" s="15"/>
      <c r="H404" s="15"/>
      <c r="I404" s="15"/>
      <c r="J404" s="15"/>
      <c r="K404" s="15"/>
      <c r="Q404" s="15"/>
    </row>
    <row r="405" spans="1:17" x14ac:dyDescent="0.25">
      <c r="A405" s="15"/>
      <c r="B405" s="13" t="s">
        <v>144</v>
      </c>
      <c r="C405" s="10">
        <f>H265+H277+SUM(H266:H267)/2+SUM(H269/2)+SUM(H278/2)+H279+SUM(H284:H285)+C355+C362+SUM(C365:C366)+C371+C386+C393</f>
        <v>306.5</v>
      </c>
      <c r="D405" s="15"/>
      <c r="E405" s="15"/>
      <c r="F405" s="15"/>
      <c r="G405" s="15"/>
      <c r="H405" s="15"/>
      <c r="I405" s="15"/>
      <c r="J405" s="15"/>
      <c r="K405" s="15"/>
      <c r="Q405" s="15"/>
    </row>
    <row r="406" spans="1:17" x14ac:dyDescent="0.25">
      <c r="A406" s="15"/>
      <c r="B406" s="13" t="s">
        <v>666</v>
      </c>
      <c r="C406" s="10">
        <f>H250+SUM(H263:H264)+SUM(H273:H275)+C359+C364+C370+C377+C382+SUM(C384:C385)+C387+C392</f>
        <v>132</v>
      </c>
      <c r="D406" s="15"/>
      <c r="E406" s="15"/>
      <c r="F406" s="15"/>
      <c r="G406" s="15"/>
      <c r="H406" s="15"/>
      <c r="I406" s="15"/>
      <c r="J406" s="15"/>
      <c r="K406" s="15"/>
      <c r="Q406" s="15"/>
    </row>
    <row r="407" spans="1:17" x14ac:dyDescent="0.25">
      <c r="A407" s="15"/>
      <c r="D407" s="15"/>
      <c r="E407" s="15"/>
      <c r="F407" s="15"/>
      <c r="G407" s="15"/>
      <c r="H407" s="15"/>
      <c r="I407" s="15"/>
      <c r="J407" s="15"/>
      <c r="K407" s="15"/>
      <c r="Q407" s="15"/>
    </row>
    <row r="408" spans="1:17" x14ac:dyDescent="0.25">
      <c r="A408" s="15"/>
      <c r="B408" s="13" t="s">
        <v>231</v>
      </c>
      <c r="C408" s="10">
        <f>SUM(H120:H122)+H298+SUM(H316:H317)</f>
        <v>9</v>
      </c>
      <c r="D408" s="15"/>
      <c r="E408" s="15"/>
      <c r="F408" s="15"/>
      <c r="G408" s="15"/>
      <c r="H408" s="15"/>
      <c r="I408" s="15"/>
      <c r="J408" s="15"/>
      <c r="K408" s="15"/>
      <c r="Q408" s="15"/>
    </row>
    <row r="409" spans="1:17" x14ac:dyDescent="0.25">
      <c r="A409" s="15"/>
      <c r="B409" s="13" t="s">
        <v>995</v>
      </c>
      <c r="C409" s="10">
        <v>0</v>
      </c>
      <c r="D409" s="15"/>
      <c r="E409" s="15"/>
      <c r="F409" s="15"/>
      <c r="G409" s="15"/>
      <c r="H409" s="15"/>
      <c r="I409" s="15"/>
      <c r="J409" s="15"/>
      <c r="K409" s="15"/>
      <c r="Q409" s="15"/>
    </row>
    <row r="410" spans="1:17" x14ac:dyDescent="0.25">
      <c r="A410" s="15"/>
      <c r="B410" s="13" t="s">
        <v>953</v>
      </c>
      <c r="C410" s="10">
        <f>SUM(H123:H124)+H313</f>
        <v>8</v>
      </c>
      <c r="D410" s="15"/>
      <c r="E410" s="15"/>
      <c r="F410" s="15"/>
      <c r="G410" s="15"/>
      <c r="H410" s="15"/>
      <c r="I410" s="15"/>
      <c r="J410" s="15"/>
      <c r="K410" s="15"/>
      <c r="Q410" s="15"/>
    </row>
    <row r="411" spans="1:17" x14ac:dyDescent="0.25">
      <c r="B411" s="13" t="s">
        <v>394</v>
      </c>
      <c r="C411" s="10">
        <f>H125</f>
        <v>3</v>
      </c>
      <c r="D411" s="15"/>
      <c r="E411" s="15"/>
      <c r="F411" s="15"/>
      <c r="G411" s="15"/>
      <c r="H411" s="15"/>
      <c r="I411" s="15"/>
      <c r="J411" s="15"/>
      <c r="K411" s="15"/>
      <c r="Q411" s="15"/>
    </row>
    <row r="412" spans="1:17" x14ac:dyDescent="0.25">
      <c r="B412" s="13" t="s">
        <v>238</v>
      </c>
      <c r="C412" s="10">
        <f>H314</f>
        <v>2</v>
      </c>
      <c r="D412" s="15"/>
      <c r="E412" s="15"/>
      <c r="F412" s="15"/>
      <c r="G412" s="15"/>
      <c r="H412" s="15"/>
      <c r="I412" s="15"/>
      <c r="J412" s="15"/>
      <c r="K412" s="15"/>
      <c r="Q412" s="15"/>
    </row>
    <row r="413" spans="1:17" x14ac:dyDescent="0.25">
      <c r="B413" s="13" t="s">
        <v>226</v>
      </c>
      <c r="C413" s="10">
        <f>SUM(H126:H127)</f>
        <v>7</v>
      </c>
      <c r="D413" s="15"/>
      <c r="E413" s="15"/>
      <c r="F413" s="15"/>
      <c r="G413" s="15"/>
      <c r="H413" s="15"/>
      <c r="I413" s="15"/>
      <c r="J413" s="15"/>
      <c r="K413" s="15"/>
      <c r="Q413" s="15"/>
    </row>
    <row r="414" spans="1:17" x14ac:dyDescent="0.25">
      <c r="B414" s="13" t="s">
        <v>1641</v>
      </c>
      <c r="C414" s="10">
        <v>0</v>
      </c>
      <c r="D414" s="15"/>
      <c r="E414" s="15"/>
      <c r="F414" s="15"/>
      <c r="G414" s="15"/>
      <c r="H414" s="15"/>
      <c r="I414" s="15"/>
      <c r="J414" s="15"/>
      <c r="K414" s="15"/>
      <c r="Q414" s="15"/>
    </row>
    <row r="415" spans="1:17" x14ac:dyDescent="0.25">
      <c r="B415" s="13" t="s">
        <v>998</v>
      </c>
      <c r="C415" s="10">
        <v>0</v>
      </c>
      <c r="D415" s="15"/>
      <c r="E415" s="15"/>
      <c r="F415" s="15"/>
      <c r="G415" s="15"/>
      <c r="H415" s="15"/>
      <c r="I415" s="15"/>
      <c r="J415" s="15"/>
      <c r="K415" s="15"/>
      <c r="Q415" s="15"/>
    </row>
    <row r="416" spans="1:17" x14ac:dyDescent="0.25">
      <c r="B416" s="13" t="s">
        <v>407</v>
      </c>
      <c r="C416" s="10">
        <f>H128</f>
        <v>5</v>
      </c>
      <c r="D416" s="15"/>
      <c r="E416" s="15"/>
      <c r="F416" s="15"/>
      <c r="G416" s="15"/>
      <c r="H416" s="15"/>
      <c r="I416" s="15"/>
      <c r="J416" s="15"/>
      <c r="K416" s="15"/>
      <c r="Q416" s="15"/>
    </row>
    <row r="417" spans="1:17" customFormat="1" ht="15" x14ac:dyDescent="0.25">
      <c r="A417" s="48"/>
      <c r="B417" s="13" t="s">
        <v>1612</v>
      </c>
      <c r="C417" s="10">
        <v>0</v>
      </c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7" customFormat="1" ht="15" x14ac:dyDescent="0.25">
      <c r="A418" s="48"/>
      <c r="B418" s="13" t="s">
        <v>86</v>
      </c>
      <c r="C418" s="21">
        <v>0</v>
      </c>
      <c r="H418" s="15"/>
    </row>
    <row r="419" spans="1:17" customFormat="1" ht="15" x14ac:dyDescent="0.25">
      <c r="A419" s="48"/>
      <c r="B419" s="13" t="s">
        <v>676</v>
      </c>
      <c r="C419" s="21">
        <f>SUM(H129:H130)+SUM(H318:H321)</f>
        <v>20</v>
      </c>
      <c r="H419" s="15"/>
    </row>
    <row r="420" spans="1:17" ht="15" x14ac:dyDescent="0.25">
      <c r="B420" s="13" t="s">
        <v>975</v>
      </c>
      <c r="C420" s="21">
        <f>H325</f>
        <v>4</v>
      </c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5"/>
    </row>
    <row r="421" spans="1:17" ht="15" x14ac:dyDescent="0.25">
      <c r="B421" s="13" t="s">
        <v>249</v>
      </c>
      <c r="C421" s="10">
        <f>H131+H322</f>
        <v>9</v>
      </c>
      <c r="D421" s="15"/>
      <c r="E421" s="15"/>
      <c r="F421" s="15"/>
      <c r="G421" s="15"/>
      <c r="H421"/>
      <c r="I421" s="15"/>
      <c r="J421" s="15"/>
      <c r="K421" s="15"/>
      <c r="Q421" s="15"/>
    </row>
    <row r="422" spans="1:17" ht="15" x14ac:dyDescent="0.25">
      <c r="B422" s="13" t="s">
        <v>1709</v>
      </c>
      <c r="C422" s="10">
        <f>H323</f>
        <v>1</v>
      </c>
      <c r="D422" s="15"/>
      <c r="E422" s="15"/>
      <c r="F422" s="15"/>
      <c r="G422" s="15"/>
      <c r="H422"/>
      <c r="I422" s="15"/>
      <c r="J422" s="15"/>
      <c r="K422" s="15"/>
      <c r="Q422" s="15"/>
    </row>
    <row r="423" spans="1:17" x14ac:dyDescent="0.25">
      <c r="B423" s="13" t="s">
        <v>426</v>
      </c>
      <c r="C423" s="10">
        <v>0</v>
      </c>
      <c r="D423" s="15"/>
      <c r="E423" s="15"/>
      <c r="F423" s="15"/>
      <c r="G423" s="15"/>
      <c r="H423" s="15"/>
      <c r="I423" s="15"/>
      <c r="J423" s="15"/>
      <c r="K423" s="15"/>
      <c r="Q423" s="15"/>
    </row>
    <row r="424" spans="1:17" x14ac:dyDescent="0.25">
      <c r="B424" s="13" t="s">
        <v>34</v>
      </c>
      <c r="C424" s="10">
        <f>SUM(H132:H153)+H324</f>
        <v>141</v>
      </c>
      <c r="D424" s="15"/>
      <c r="E424" s="15"/>
      <c r="F424" s="15"/>
      <c r="G424" s="15"/>
      <c r="H424" s="15"/>
      <c r="I424" s="15"/>
      <c r="J424" s="15"/>
      <c r="K424" s="15"/>
      <c r="Q424" s="15"/>
    </row>
    <row r="425" spans="1:17" x14ac:dyDescent="0.25">
      <c r="B425" s="13" t="s">
        <v>99</v>
      </c>
      <c r="C425" s="10">
        <f>H154+SUM(H326:H327)</f>
        <v>17</v>
      </c>
      <c r="D425" s="15"/>
      <c r="E425" s="15"/>
      <c r="F425" s="15"/>
      <c r="G425" s="15"/>
      <c r="H425" s="15"/>
      <c r="I425" s="15"/>
      <c r="J425" s="15"/>
      <c r="K425" s="15"/>
      <c r="Q425" s="15"/>
    </row>
    <row r="426" spans="1:17" x14ac:dyDescent="0.25">
      <c r="B426" s="13" t="s">
        <v>170</v>
      </c>
      <c r="C426" s="10">
        <f>SUM(H155:H161)</f>
        <v>32</v>
      </c>
      <c r="D426" s="15"/>
      <c r="E426" s="15"/>
      <c r="F426" s="15"/>
      <c r="G426" s="15"/>
      <c r="H426" s="15"/>
      <c r="I426" s="15"/>
      <c r="J426" s="15"/>
      <c r="K426" s="15"/>
      <c r="Q426" s="15"/>
    </row>
    <row r="427" spans="1:17" x14ac:dyDescent="0.25">
      <c r="A427" s="15"/>
      <c r="B427" s="13" t="s">
        <v>1694</v>
      </c>
      <c r="C427" s="10">
        <v>0</v>
      </c>
      <c r="D427" s="15"/>
      <c r="E427" s="15"/>
      <c r="F427" s="15"/>
      <c r="G427" s="15"/>
      <c r="H427" s="15"/>
      <c r="I427" s="15"/>
      <c r="J427" s="15"/>
      <c r="K427" s="15"/>
      <c r="Q427" s="15"/>
    </row>
    <row r="428" spans="1:17" x14ac:dyDescent="0.25">
      <c r="A428" s="15"/>
      <c r="B428" s="13" t="s">
        <v>1031</v>
      </c>
      <c r="C428" s="10">
        <v>0</v>
      </c>
      <c r="D428" s="15"/>
      <c r="E428" s="15"/>
      <c r="F428" s="15"/>
      <c r="G428" s="15"/>
      <c r="H428" s="15"/>
      <c r="I428" s="15"/>
      <c r="J428" s="15"/>
      <c r="K428" s="15"/>
      <c r="Q428" s="15"/>
    </row>
    <row r="429" spans="1:17" x14ac:dyDescent="0.25">
      <c r="A429" s="15"/>
      <c r="B429" s="13" t="s">
        <v>319</v>
      </c>
      <c r="C429" s="10">
        <f>H328</f>
        <v>12</v>
      </c>
      <c r="D429" s="15"/>
      <c r="E429" s="15"/>
      <c r="F429" s="15"/>
      <c r="G429" s="15"/>
      <c r="H429" s="15"/>
      <c r="I429" s="15"/>
      <c r="J429" s="15"/>
      <c r="K429" s="15"/>
      <c r="Q429" s="15"/>
    </row>
    <row r="430" spans="1:17" x14ac:dyDescent="0.25">
      <c r="A430" s="15"/>
      <c r="B430" s="13" t="s">
        <v>1606</v>
      </c>
      <c r="C430" s="10">
        <v>0</v>
      </c>
      <c r="D430" s="15"/>
      <c r="E430" s="15"/>
      <c r="F430" s="15"/>
      <c r="G430" s="15"/>
      <c r="H430" s="15"/>
      <c r="I430" s="15"/>
      <c r="J430" s="15"/>
      <c r="K430" s="15"/>
      <c r="Q430" s="15"/>
    </row>
    <row r="431" spans="1:17" x14ac:dyDescent="0.25">
      <c r="A431" s="15"/>
      <c r="B431" s="13" t="s">
        <v>1610</v>
      </c>
      <c r="C431" s="10">
        <f>SUM(H162:H163)</f>
        <v>6</v>
      </c>
      <c r="D431" s="15"/>
      <c r="E431" s="15"/>
      <c r="F431" s="15"/>
      <c r="G431" s="15"/>
      <c r="H431" s="15"/>
      <c r="I431" s="15"/>
      <c r="J431" s="15"/>
      <c r="K431" s="15"/>
      <c r="Q431" s="15"/>
    </row>
    <row r="432" spans="1:17" x14ac:dyDescent="0.25">
      <c r="A432" s="15"/>
      <c r="B432" s="13" t="s">
        <v>709</v>
      </c>
      <c r="C432" s="10">
        <v>0</v>
      </c>
      <c r="D432" s="15"/>
      <c r="E432" s="15"/>
      <c r="F432" s="15"/>
      <c r="G432" s="15"/>
      <c r="H432" s="15"/>
      <c r="I432" s="15"/>
      <c r="J432" s="15"/>
      <c r="K432" s="15"/>
      <c r="Q432" s="15"/>
    </row>
    <row r="433" spans="1:17" x14ac:dyDescent="0.25">
      <c r="A433" s="15"/>
      <c r="B433" s="13" t="s">
        <v>743</v>
      </c>
      <c r="C433" s="10">
        <v>0</v>
      </c>
      <c r="D433" s="15"/>
      <c r="E433" s="15"/>
      <c r="F433" s="15"/>
      <c r="G433" s="15"/>
      <c r="H433" s="15"/>
      <c r="I433" s="15"/>
      <c r="J433" s="15"/>
      <c r="K433" s="15"/>
      <c r="Q433" s="15"/>
    </row>
    <row r="434" spans="1:17" x14ac:dyDescent="0.25">
      <c r="A434" s="15"/>
      <c r="B434" s="13" t="s">
        <v>167</v>
      </c>
      <c r="C434" s="10">
        <f>SUM(H164:H166)</f>
        <v>7</v>
      </c>
      <c r="D434" s="15"/>
      <c r="E434" s="15"/>
      <c r="F434" s="15"/>
      <c r="G434" s="15"/>
      <c r="H434" s="15"/>
      <c r="I434" s="15"/>
      <c r="J434" s="15"/>
      <c r="K434" s="15"/>
      <c r="Q434" s="15"/>
    </row>
    <row r="435" spans="1:17" x14ac:dyDescent="0.25">
      <c r="A435" s="15"/>
      <c r="B435" s="13" t="s">
        <v>522</v>
      </c>
      <c r="C435" s="10">
        <v>0</v>
      </c>
      <c r="D435" s="15"/>
      <c r="E435" s="15"/>
      <c r="F435" s="15"/>
      <c r="G435" s="15"/>
      <c r="H435" s="15"/>
      <c r="I435" s="15"/>
      <c r="J435" s="15"/>
      <c r="K435" s="15"/>
      <c r="Q435" s="15"/>
    </row>
    <row r="436" spans="1:17" x14ac:dyDescent="0.25">
      <c r="A436" s="15"/>
      <c r="B436" s="13" t="s">
        <v>1594</v>
      </c>
      <c r="C436" s="10">
        <f>H167</f>
        <v>2</v>
      </c>
      <c r="D436" s="15"/>
      <c r="E436" s="15"/>
      <c r="F436" s="15"/>
      <c r="G436" s="15"/>
      <c r="H436" s="15"/>
      <c r="I436" s="15"/>
      <c r="J436" s="15"/>
      <c r="K436" s="15"/>
      <c r="Q436" s="15"/>
    </row>
    <row r="437" spans="1:17" x14ac:dyDescent="0.25">
      <c r="A437" s="15"/>
      <c r="B437" s="13" t="s">
        <v>1347</v>
      </c>
      <c r="C437" s="10">
        <v>0</v>
      </c>
      <c r="D437" s="15"/>
      <c r="E437" s="15"/>
      <c r="F437" s="15"/>
      <c r="G437" s="15"/>
      <c r="H437" s="15"/>
      <c r="I437" s="15"/>
      <c r="J437" s="15"/>
      <c r="K437" s="15"/>
      <c r="Q437" s="15"/>
    </row>
    <row r="438" spans="1:17" x14ac:dyDescent="0.25">
      <c r="A438" s="15"/>
      <c r="B438" s="12" t="s">
        <v>35</v>
      </c>
      <c r="C438" s="10">
        <f>SUM(C439:C443)+H225+H293+SUM(H294:H295)/2</f>
        <v>460.5</v>
      </c>
      <c r="D438" s="15"/>
      <c r="E438" s="15"/>
      <c r="F438" s="15"/>
      <c r="G438" s="15"/>
      <c r="H438" s="15"/>
      <c r="I438" s="15"/>
      <c r="J438" s="15"/>
      <c r="K438" s="15"/>
      <c r="Q438" s="15"/>
    </row>
    <row r="439" spans="1:17" x14ac:dyDescent="0.25">
      <c r="A439" s="15"/>
      <c r="B439" s="13" t="s">
        <v>667</v>
      </c>
      <c r="C439" s="10">
        <f>H296+SUM(H299/2)+H300+H305+H308+SUM(H309/2)+C408+C412+C419+C424+C425+C429</f>
        <v>242.5</v>
      </c>
      <c r="D439" s="15"/>
      <c r="E439" s="15"/>
      <c r="F439" s="15"/>
      <c r="G439" s="15"/>
      <c r="H439" s="15"/>
      <c r="I439" s="15"/>
      <c r="J439" s="15"/>
      <c r="K439" s="15"/>
      <c r="Q439" s="15"/>
    </row>
    <row r="440" spans="1:17" x14ac:dyDescent="0.25">
      <c r="A440" s="15"/>
      <c r="B440" s="13" t="s">
        <v>668</v>
      </c>
      <c r="C440" s="10">
        <f>H297+SUM(H306:H307)/2+H311+C411+C413</f>
        <v>18</v>
      </c>
      <c r="D440" s="15"/>
      <c r="E440" s="15"/>
      <c r="F440" s="15"/>
      <c r="G440" s="15"/>
      <c r="H440" s="15"/>
      <c r="I440" s="15"/>
      <c r="J440" s="15"/>
      <c r="K440" s="15"/>
      <c r="Q440" s="15"/>
    </row>
    <row r="441" spans="1:17" x14ac:dyDescent="0.25">
      <c r="A441" s="15"/>
      <c r="B441" s="13" t="s">
        <v>669</v>
      </c>
      <c r="C441" s="10">
        <f>SUM(H299/2)+H304+SUM(H309/2)+H310+C416+SUM(C421:C422)+C434</f>
        <v>40.5</v>
      </c>
      <c r="D441" s="15"/>
      <c r="E441" s="15"/>
      <c r="F441" s="15"/>
      <c r="G441" s="15"/>
      <c r="H441" s="15"/>
      <c r="I441" s="15"/>
      <c r="J441" s="15"/>
      <c r="K441" s="15"/>
      <c r="Q441" s="15"/>
    </row>
    <row r="442" spans="1:17" x14ac:dyDescent="0.25">
      <c r="A442" s="15"/>
      <c r="B442" s="13" t="s">
        <v>670</v>
      </c>
      <c r="C442" s="10">
        <f>SUM(H301:H303)+SUM(H306:H307)/2+H315+C410+C420</f>
        <v>43</v>
      </c>
      <c r="D442" s="15"/>
      <c r="E442" s="15"/>
      <c r="F442" s="15"/>
      <c r="G442" s="15"/>
      <c r="H442" s="15"/>
      <c r="I442" s="15"/>
      <c r="J442" s="15"/>
      <c r="K442" s="15"/>
      <c r="Q442" s="15"/>
    </row>
    <row r="443" spans="1:17" x14ac:dyDescent="0.25">
      <c r="A443" s="15"/>
      <c r="B443" s="13" t="s">
        <v>666</v>
      </c>
      <c r="C443" s="10">
        <f>H312+C426+C431+C436</f>
        <v>45</v>
      </c>
      <c r="D443" s="15"/>
      <c r="E443" s="15"/>
      <c r="F443" s="15"/>
      <c r="G443" s="15"/>
      <c r="H443" s="15"/>
      <c r="I443" s="15"/>
      <c r="J443" s="15"/>
      <c r="K443" s="15"/>
      <c r="Q443" s="15"/>
    </row>
    <row r="444" spans="1:17" x14ac:dyDescent="0.25">
      <c r="A444" s="15"/>
      <c r="D444" s="15"/>
      <c r="E444" s="15"/>
      <c r="F444" s="15"/>
      <c r="G444" s="15"/>
      <c r="H444" s="15"/>
      <c r="I444" s="15"/>
      <c r="J444" s="15"/>
      <c r="K444" s="15"/>
      <c r="Q444" s="15"/>
    </row>
    <row r="445" spans="1:17" x14ac:dyDescent="0.25">
      <c r="A445" s="15"/>
      <c r="B445" s="13" t="s">
        <v>163</v>
      </c>
      <c r="C445" s="10">
        <f>SUM(H168:H169)</f>
        <v>7</v>
      </c>
      <c r="D445" s="15"/>
      <c r="E445" s="15"/>
      <c r="F445" s="15"/>
      <c r="G445" s="15"/>
      <c r="H445" s="15"/>
      <c r="I445" s="15"/>
      <c r="J445" s="15"/>
      <c r="K445" s="15"/>
      <c r="Q445" s="15"/>
    </row>
    <row r="446" spans="1:17" x14ac:dyDescent="0.25">
      <c r="A446" s="15"/>
      <c r="B446" s="13" t="s">
        <v>186</v>
      </c>
      <c r="C446" s="10">
        <v>0</v>
      </c>
      <c r="D446" s="15"/>
      <c r="E446" s="15"/>
      <c r="F446" s="15"/>
      <c r="G446" s="15"/>
      <c r="H446" s="15"/>
      <c r="I446" s="15"/>
      <c r="J446" s="15"/>
      <c r="K446" s="15"/>
      <c r="Q446" s="15"/>
    </row>
    <row r="447" spans="1:17" x14ac:dyDescent="0.25">
      <c r="A447" s="15"/>
      <c r="B447" s="13" t="s">
        <v>55</v>
      </c>
      <c r="C447" s="10">
        <f>SUM(H170:H172)</f>
        <v>5</v>
      </c>
      <c r="D447" s="15"/>
      <c r="E447" s="15"/>
      <c r="F447" s="15"/>
      <c r="G447" s="15"/>
      <c r="H447" s="15"/>
      <c r="I447" s="15"/>
      <c r="J447" s="15"/>
      <c r="K447" s="15"/>
      <c r="Q447" s="15"/>
    </row>
    <row r="448" spans="1:17" x14ac:dyDescent="0.25">
      <c r="A448" s="15"/>
      <c r="B448" s="13" t="s">
        <v>593</v>
      </c>
      <c r="C448" s="10">
        <v>0</v>
      </c>
      <c r="D448" s="15"/>
      <c r="E448" s="15"/>
      <c r="F448" s="15"/>
      <c r="G448" s="15"/>
      <c r="H448" s="15"/>
      <c r="I448" s="15"/>
      <c r="J448" s="15"/>
      <c r="K448" s="15"/>
      <c r="Q448" s="15"/>
    </row>
    <row r="449" spans="1:17" x14ac:dyDescent="0.25">
      <c r="A449" s="15"/>
      <c r="B449" s="13" t="s">
        <v>161</v>
      </c>
      <c r="C449" s="10">
        <f>SUM(H173:H175)</f>
        <v>10</v>
      </c>
      <c r="D449" s="15"/>
      <c r="E449" s="15"/>
      <c r="F449" s="15"/>
      <c r="G449" s="15"/>
      <c r="H449" s="15"/>
      <c r="I449" s="15"/>
      <c r="J449" s="15"/>
      <c r="K449" s="15"/>
      <c r="Q449" s="15"/>
    </row>
    <row r="450" spans="1:17" x14ac:dyDescent="0.25">
      <c r="A450" s="15"/>
      <c r="B450" s="13" t="s">
        <v>66</v>
      </c>
      <c r="C450" s="10">
        <f>SUM(H176:H180)</f>
        <v>10</v>
      </c>
      <c r="D450" s="15"/>
      <c r="E450" s="15"/>
      <c r="F450" s="15"/>
      <c r="G450" s="15"/>
      <c r="H450" s="15"/>
      <c r="I450" s="15"/>
      <c r="J450" s="15"/>
      <c r="K450" s="15"/>
      <c r="Q450" s="15"/>
    </row>
    <row r="451" spans="1:17" x14ac:dyDescent="0.25">
      <c r="A451" s="15"/>
      <c r="B451" s="13" t="s">
        <v>1347</v>
      </c>
      <c r="C451" s="10">
        <v>0</v>
      </c>
      <c r="D451" s="15"/>
      <c r="E451" s="15"/>
      <c r="F451" s="15"/>
      <c r="G451" s="15"/>
      <c r="H451" s="15"/>
      <c r="I451" s="15"/>
      <c r="J451" s="15"/>
      <c r="K451" s="15"/>
      <c r="Q451" s="15"/>
    </row>
    <row r="452" spans="1:17" x14ac:dyDescent="0.25">
      <c r="A452" s="15"/>
      <c r="B452" s="12" t="s">
        <v>56</v>
      </c>
      <c r="C452" s="10">
        <f>SUM(C453:C457)+SUM(H282:H283)/2+H286</f>
        <v>89</v>
      </c>
      <c r="D452" s="15"/>
      <c r="E452" s="15"/>
      <c r="F452" s="15"/>
      <c r="G452" s="15"/>
      <c r="H452" s="15"/>
      <c r="I452" s="15"/>
      <c r="J452" s="15"/>
      <c r="K452" s="15"/>
      <c r="Q452" s="15"/>
    </row>
    <row r="453" spans="1:17" x14ac:dyDescent="0.25">
      <c r="A453" s="15"/>
      <c r="B453" s="13" t="s">
        <v>663</v>
      </c>
      <c r="C453" s="10">
        <f>SUM(H288/2)+SUM(C445/2)</f>
        <v>5.5</v>
      </c>
      <c r="D453" s="15"/>
      <c r="E453" s="15"/>
      <c r="F453" s="15"/>
      <c r="G453" s="15"/>
      <c r="H453" s="15"/>
      <c r="I453" s="15"/>
      <c r="J453" s="15"/>
      <c r="K453" s="15"/>
      <c r="Q453" s="15"/>
    </row>
    <row r="454" spans="1:17" x14ac:dyDescent="0.25">
      <c r="A454" s="15"/>
      <c r="B454" s="13" t="s">
        <v>664</v>
      </c>
      <c r="C454" s="10">
        <f>SUM(H288/2)+H289+SUM(H290/2)+H292+SUM(C445/2)+C449</f>
        <v>24</v>
      </c>
      <c r="D454" s="15"/>
      <c r="E454" s="15"/>
      <c r="F454" s="15"/>
      <c r="G454" s="15"/>
      <c r="H454" s="15"/>
      <c r="I454" s="15"/>
      <c r="J454" s="15"/>
      <c r="K454" s="15"/>
      <c r="Q454" s="15"/>
    </row>
    <row r="455" spans="1:17" x14ac:dyDescent="0.25">
      <c r="A455" s="15"/>
      <c r="B455" s="13" t="s">
        <v>271</v>
      </c>
      <c r="C455" s="10">
        <f>SUM(H287/2)</f>
        <v>0.5</v>
      </c>
      <c r="D455" s="15"/>
      <c r="E455" s="15"/>
      <c r="F455" s="15"/>
      <c r="G455" s="15"/>
      <c r="H455" s="15"/>
      <c r="I455" s="15"/>
      <c r="J455" s="15"/>
      <c r="K455" s="15"/>
      <c r="Q455" s="15"/>
    </row>
    <row r="456" spans="1:17" x14ac:dyDescent="0.25">
      <c r="A456" s="15"/>
      <c r="B456" s="13" t="s">
        <v>144</v>
      </c>
      <c r="C456" s="10">
        <f>SUM(H287/2)+SUM(H290/2)+H291+C447</f>
        <v>14</v>
      </c>
      <c r="D456" s="15"/>
      <c r="E456" s="15"/>
      <c r="F456" s="15"/>
      <c r="G456" s="15"/>
      <c r="H456" s="15"/>
      <c r="I456" s="15"/>
      <c r="J456" s="15"/>
      <c r="K456" s="15"/>
      <c r="Q456" s="15"/>
    </row>
    <row r="457" spans="1:17" x14ac:dyDescent="0.25">
      <c r="A457" s="15"/>
      <c r="B457" s="13" t="s">
        <v>666</v>
      </c>
      <c r="C457" s="10">
        <f>C450</f>
        <v>10</v>
      </c>
      <c r="D457" s="15"/>
      <c r="E457" s="15"/>
      <c r="F457" s="15"/>
      <c r="G457" s="15"/>
      <c r="H457" s="15"/>
      <c r="I457" s="15"/>
      <c r="J457" s="15"/>
      <c r="K457" s="15"/>
      <c r="Q457" s="15"/>
    </row>
    <row r="458" spans="1:17" x14ac:dyDescent="0.25">
      <c r="A458" s="15"/>
      <c r="D458" s="15"/>
      <c r="E458" s="15"/>
      <c r="F458" s="15"/>
      <c r="G458" s="15"/>
      <c r="H458" s="15"/>
      <c r="I458" s="15"/>
      <c r="J458" s="15"/>
      <c r="K458" s="15"/>
      <c r="Q458" s="15"/>
    </row>
    <row r="459" spans="1:17" x14ac:dyDescent="0.25">
      <c r="A459" s="15"/>
      <c r="B459" s="13" t="s">
        <v>778</v>
      </c>
      <c r="C459" s="10">
        <f>SUM(H181:H182)</f>
        <v>4</v>
      </c>
      <c r="D459" s="15"/>
      <c r="E459" s="15"/>
      <c r="F459" s="15"/>
      <c r="G459" s="15"/>
      <c r="H459" s="15"/>
      <c r="I459" s="15"/>
      <c r="J459" s="15"/>
      <c r="K459" s="15"/>
      <c r="Q459" s="15"/>
    </row>
    <row r="460" spans="1:17" x14ac:dyDescent="0.25">
      <c r="A460" s="15"/>
      <c r="B460" s="13" t="s">
        <v>1444</v>
      </c>
      <c r="C460" s="10">
        <f>H183</f>
        <v>1</v>
      </c>
      <c r="D460" s="15"/>
      <c r="E460" s="15"/>
      <c r="F460" s="15"/>
      <c r="G460" s="15"/>
      <c r="H460" s="15"/>
      <c r="I460" s="15"/>
      <c r="J460" s="15"/>
      <c r="K460" s="15"/>
      <c r="Q460" s="15"/>
    </row>
    <row r="461" spans="1:17" x14ac:dyDescent="0.25">
      <c r="A461" s="15"/>
      <c r="B461" s="13" t="s">
        <v>1631</v>
      </c>
      <c r="C461" s="10">
        <v>0</v>
      </c>
      <c r="D461" s="15"/>
      <c r="E461" s="15"/>
      <c r="F461" s="15"/>
      <c r="G461" s="15"/>
      <c r="H461" s="15"/>
      <c r="I461" s="15"/>
      <c r="J461" s="15"/>
      <c r="K461" s="15"/>
      <c r="Q461" s="15"/>
    </row>
    <row r="462" spans="1:17" x14ac:dyDescent="0.25">
      <c r="A462" s="15"/>
      <c r="B462" s="13" t="s">
        <v>1968</v>
      </c>
      <c r="C462" s="10">
        <f>H184</f>
        <v>1</v>
      </c>
      <c r="D462" s="15"/>
      <c r="E462" s="15"/>
      <c r="F462" s="15"/>
      <c r="G462" s="15"/>
      <c r="H462" s="15"/>
      <c r="I462" s="15"/>
      <c r="J462" s="15"/>
      <c r="K462" s="15"/>
      <c r="Q462" s="15"/>
    </row>
    <row r="463" spans="1:17" x14ac:dyDescent="0.25">
      <c r="A463" s="15"/>
      <c r="B463" s="13" t="s">
        <v>1099</v>
      </c>
      <c r="C463" s="10">
        <f>SUM(H185:H187)</f>
        <v>13</v>
      </c>
      <c r="D463" s="15"/>
      <c r="E463" s="15"/>
      <c r="F463" s="15"/>
      <c r="G463" s="15"/>
      <c r="H463" s="15"/>
      <c r="I463" s="15"/>
      <c r="J463" s="15"/>
      <c r="K463" s="15"/>
      <c r="Q463" s="15"/>
    </row>
    <row r="464" spans="1:17" x14ac:dyDescent="0.25">
      <c r="A464" s="15"/>
      <c r="B464" s="13" t="s">
        <v>2114</v>
      </c>
      <c r="C464" s="10">
        <f>H188</f>
        <v>2</v>
      </c>
      <c r="D464" s="15"/>
      <c r="E464" s="15"/>
      <c r="F464" s="15"/>
      <c r="G464" s="15"/>
      <c r="H464" s="15"/>
      <c r="I464" s="15"/>
      <c r="J464" s="15"/>
      <c r="K464" s="15"/>
      <c r="Q464" s="15"/>
    </row>
    <row r="465" spans="1:11" x14ac:dyDescent="0.25">
      <c r="A465" s="15"/>
      <c r="B465" s="13" t="s">
        <v>1264</v>
      </c>
      <c r="C465" s="10">
        <f>SUM(H189:H190)</f>
        <v>6</v>
      </c>
      <c r="D465" s="15"/>
      <c r="E465" s="15"/>
      <c r="F465" s="15"/>
      <c r="G465" s="15"/>
      <c r="H465" s="15"/>
      <c r="I465" s="15"/>
      <c r="J465" s="15"/>
      <c r="K465" s="15"/>
    </row>
    <row r="466" spans="1:11" x14ac:dyDescent="0.25">
      <c r="B466" s="13" t="s">
        <v>980</v>
      </c>
      <c r="C466" s="10">
        <v>0</v>
      </c>
      <c r="H466" s="15"/>
    </row>
    <row r="467" spans="1:11" x14ac:dyDescent="0.25">
      <c r="B467" s="13" t="s">
        <v>1157</v>
      </c>
      <c r="C467" s="10">
        <f>SUM(H191:H192)+H332</f>
        <v>6</v>
      </c>
      <c r="H467" s="15"/>
    </row>
    <row r="468" spans="1:11" x14ac:dyDescent="0.25">
      <c r="B468" s="13" t="s">
        <v>1248</v>
      </c>
      <c r="C468" s="10">
        <f>H193</f>
        <v>2</v>
      </c>
    </row>
    <row r="469" spans="1:11" x14ac:dyDescent="0.25">
      <c r="B469" s="13" t="s">
        <v>1688</v>
      </c>
      <c r="C469" s="10">
        <v>0</v>
      </c>
    </row>
    <row r="470" spans="1:11" x14ac:dyDescent="0.25">
      <c r="B470" s="13" t="s">
        <v>793</v>
      </c>
      <c r="C470" s="10">
        <f>H194</f>
        <v>2</v>
      </c>
    </row>
    <row r="471" spans="1:11" x14ac:dyDescent="0.25">
      <c r="B471" s="13" t="s">
        <v>1666</v>
      </c>
      <c r="C471" s="10">
        <v>0</v>
      </c>
    </row>
    <row r="472" spans="1:11" x14ac:dyDescent="0.25">
      <c r="B472" s="13" t="s">
        <v>878</v>
      </c>
      <c r="C472" s="10">
        <f>H195</f>
        <v>7</v>
      </c>
    </row>
    <row r="473" spans="1:11" x14ac:dyDescent="0.25">
      <c r="B473" s="13" t="s">
        <v>1977</v>
      </c>
      <c r="C473" s="10">
        <f>SUM(H196:H197)</f>
        <v>3</v>
      </c>
    </row>
    <row r="474" spans="1:11" x14ac:dyDescent="0.25">
      <c r="B474" s="13" t="s">
        <v>2120</v>
      </c>
      <c r="C474" s="10">
        <f>H198</f>
        <v>4</v>
      </c>
    </row>
    <row r="475" spans="1:11" x14ac:dyDescent="0.25">
      <c r="B475" s="13" t="s">
        <v>1691</v>
      </c>
      <c r="C475" s="10">
        <f>H199</f>
        <v>2</v>
      </c>
    </row>
    <row r="476" spans="1:11" x14ac:dyDescent="0.25">
      <c r="B476" s="13" t="s">
        <v>804</v>
      </c>
      <c r="C476" s="10">
        <f>SUM(H200:H201)</f>
        <v>4</v>
      </c>
    </row>
    <row r="477" spans="1:11" x14ac:dyDescent="0.25">
      <c r="B477" s="13" t="s">
        <v>984</v>
      </c>
      <c r="C477" s="10">
        <f>H202</f>
        <v>3</v>
      </c>
    </row>
    <row r="478" spans="1:11" x14ac:dyDescent="0.25">
      <c r="B478" s="13" t="s">
        <v>785</v>
      </c>
      <c r="C478" s="10">
        <f>SUM(H203:H204)</f>
        <v>9</v>
      </c>
    </row>
    <row r="479" spans="1:11" x14ac:dyDescent="0.25">
      <c r="B479" s="13" t="s">
        <v>795</v>
      </c>
      <c r="C479" s="10">
        <f>SUM(H205:H213)</f>
        <v>81</v>
      </c>
    </row>
    <row r="480" spans="1:11" x14ac:dyDescent="0.25">
      <c r="B480" s="13" t="s">
        <v>989</v>
      </c>
      <c r="C480" s="10">
        <v>0</v>
      </c>
    </row>
    <row r="481" spans="2:3" x14ac:dyDescent="0.25">
      <c r="B481" s="13" t="s">
        <v>1677</v>
      </c>
      <c r="C481" s="10">
        <v>0</v>
      </c>
    </row>
    <row r="482" spans="2:3" x14ac:dyDescent="0.25">
      <c r="B482" s="13" t="s">
        <v>772</v>
      </c>
      <c r="C482" s="10">
        <f>SUM(H214:H220)</f>
        <v>29</v>
      </c>
    </row>
    <row r="483" spans="2:3" x14ac:dyDescent="0.25">
      <c r="B483" s="13" t="s">
        <v>1245</v>
      </c>
      <c r="C483" s="10">
        <v>0</v>
      </c>
    </row>
    <row r="484" spans="2:3" x14ac:dyDescent="0.25">
      <c r="B484" s="13" t="s">
        <v>789</v>
      </c>
      <c r="C484" s="10">
        <v>0</v>
      </c>
    </row>
    <row r="485" spans="2:3" x14ac:dyDescent="0.25">
      <c r="B485" s="13" t="s">
        <v>875</v>
      </c>
      <c r="C485" s="10">
        <f>H352</f>
        <v>2</v>
      </c>
    </row>
    <row r="486" spans="2:3" x14ac:dyDescent="0.25">
      <c r="B486" s="13" t="s">
        <v>1347</v>
      </c>
      <c r="C486" s="10">
        <v>0</v>
      </c>
    </row>
    <row r="487" spans="2:3" x14ac:dyDescent="0.25">
      <c r="B487" s="12" t="s">
        <v>771</v>
      </c>
      <c r="C487" s="10">
        <f>SUM(C488:C493)+H329+H349</f>
        <v>612.5</v>
      </c>
    </row>
    <row r="488" spans="2:3" x14ac:dyDescent="0.25">
      <c r="B488" s="13" t="s">
        <v>2251</v>
      </c>
      <c r="C488" s="10">
        <f>SUM(H330:H331)+SUM(H343/3)+H347+SUM(C459:C460)+SUM(C462:C465)</f>
        <v>36.666666666666664</v>
      </c>
    </row>
    <row r="489" spans="2:3" x14ac:dyDescent="0.25">
      <c r="B489" s="13" t="s">
        <v>1351</v>
      </c>
      <c r="C489" s="10">
        <f>H335+H337+SUM(H341/2)+SUM(H343/3)+H348+C470+SUM(C473/2)+C477+C479</f>
        <v>122.66666666666666</v>
      </c>
    </row>
    <row r="490" spans="2:3" x14ac:dyDescent="0.25">
      <c r="B490" s="13" t="s">
        <v>1352</v>
      </c>
      <c r="C490" s="10">
        <f>SUM(H333/2)+H336+SUM(H340/2)+SUM(H343/3)+C475+C478+C482</f>
        <v>55.166666666666664</v>
      </c>
    </row>
    <row r="491" spans="2:3" x14ac:dyDescent="0.25">
      <c r="B491" s="13" t="s">
        <v>1353</v>
      </c>
      <c r="C491" s="10">
        <f>H334+SUM(H341/2)+SUM(H344/2)+H345+SUM(C473/2)+C474+C485</f>
        <v>16.5</v>
      </c>
    </row>
    <row r="492" spans="2:3" x14ac:dyDescent="0.25">
      <c r="B492" s="13" t="s">
        <v>1354</v>
      </c>
      <c r="C492" s="10">
        <f>SUM(H333/2)+SUM(H340/2)+SUM(344/2)+H346+SUM(C467:C468)+C472+C476</f>
        <v>211.5</v>
      </c>
    </row>
    <row r="493" spans="2:3" x14ac:dyDescent="0.25">
      <c r="B493" s="13" t="s">
        <v>1355</v>
      </c>
      <c r="C493" s="10">
        <f>H339+H342</f>
        <v>4</v>
      </c>
    </row>
    <row r="494" spans="2:3" x14ac:dyDescent="0.25">
      <c r="B494" s="13" t="s">
        <v>2250</v>
      </c>
      <c r="C494" s="10">
        <f>SUM(C489:C493)</f>
        <v>409.83333333333331</v>
      </c>
    </row>
    <row r="496" spans="2:3" x14ac:dyDescent="0.25">
      <c r="B496" s="52" t="s">
        <v>2252</v>
      </c>
      <c r="C496" s="10">
        <f>H221+H223+SUM(H226:H227)+SUM(H270:H271)+SUM(H350:H351)</f>
        <v>149</v>
      </c>
    </row>
    <row r="497" spans="2:3" x14ac:dyDescent="0.25">
      <c r="B497" s="52"/>
    </row>
    <row r="498" spans="2:3" x14ac:dyDescent="0.25">
      <c r="B498" s="12" t="s">
        <v>2253</v>
      </c>
      <c r="C498" s="10">
        <f>C401+C438+C452+C487</f>
        <v>2008.5</v>
      </c>
    </row>
    <row r="501" spans="2:3" x14ac:dyDescent="0.25">
      <c r="B501" s="13" t="s">
        <v>5756</v>
      </c>
      <c r="C501" s="10">
        <f>C361+C363+C367+C383+C395</f>
        <v>71</v>
      </c>
    </row>
    <row r="502" spans="2:3" x14ac:dyDescent="0.25">
      <c r="B502" s="13" t="s">
        <v>1272</v>
      </c>
      <c r="C502" s="10">
        <f>C401-C501</f>
        <v>775.5</v>
      </c>
    </row>
    <row r="504" spans="2:3" x14ac:dyDescent="0.25">
      <c r="B504" s="13" t="s">
        <v>1359</v>
      </c>
      <c r="C504" s="10">
        <f>C501</f>
        <v>71</v>
      </c>
    </row>
    <row r="505" spans="2:3" x14ac:dyDescent="0.25">
      <c r="B505" s="13" t="s">
        <v>1891</v>
      </c>
      <c r="C505" s="10">
        <f>C498-C501</f>
        <v>1937.5</v>
      </c>
    </row>
    <row r="507" spans="2:3" x14ac:dyDescent="0.25">
      <c r="B507" s="13" t="s">
        <v>11</v>
      </c>
      <c r="C507" s="10">
        <f>C401</f>
        <v>846.5</v>
      </c>
    </row>
    <row r="508" spans="2:3" x14ac:dyDescent="0.25">
      <c r="B508" s="13" t="s">
        <v>35</v>
      </c>
      <c r="C508" s="10">
        <f>C438</f>
        <v>460.5</v>
      </c>
    </row>
    <row r="509" spans="2:3" x14ac:dyDescent="0.25">
      <c r="B509" s="13" t="s">
        <v>56</v>
      </c>
      <c r="C509" s="10">
        <f>C452</f>
        <v>89</v>
      </c>
    </row>
    <row r="510" spans="2:3" x14ac:dyDescent="0.25">
      <c r="B510" s="13" t="s">
        <v>771</v>
      </c>
      <c r="C510" s="10">
        <f>C487</f>
        <v>612.5</v>
      </c>
    </row>
    <row r="513" spans="2:3" ht="13.5" thickBot="1" x14ac:dyDescent="0.3"/>
    <row r="514" spans="2:3" x14ac:dyDescent="0.25">
      <c r="B514" s="85" t="s">
        <v>5449</v>
      </c>
      <c r="C514" s="88">
        <v>106.5</v>
      </c>
    </row>
    <row r="515" spans="2:3" x14ac:dyDescent="0.25">
      <c r="B515" s="86" t="s">
        <v>5450</v>
      </c>
      <c r="C515" s="89">
        <v>54.5</v>
      </c>
    </row>
    <row r="516" spans="2:3" x14ac:dyDescent="0.25">
      <c r="B516" s="86" t="s">
        <v>5451</v>
      </c>
      <c r="C516" s="89">
        <v>158.5</v>
      </c>
    </row>
    <row r="517" spans="2:3" x14ac:dyDescent="0.25">
      <c r="B517" s="86" t="s">
        <v>5452</v>
      </c>
      <c r="C517" s="89">
        <v>306.5</v>
      </c>
    </row>
    <row r="518" spans="2:3" ht="13.5" thickBot="1" x14ac:dyDescent="0.3">
      <c r="B518" s="87" t="s">
        <v>5453</v>
      </c>
      <c r="C518" s="90">
        <v>132</v>
      </c>
    </row>
    <row r="519" spans="2:3" x14ac:dyDescent="0.25">
      <c r="B519" s="85" t="s">
        <v>5454</v>
      </c>
      <c r="C519" s="88">
        <v>242.5</v>
      </c>
    </row>
    <row r="520" spans="2:3" x14ac:dyDescent="0.25">
      <c r="B520" s="86" t="s">
        <v>5455</v>
      </c>
      <c r="C520" s="89">
        <v>18</v>
      </c>
    </row>
    <row r="521" spans="2:3" x14ac:dyDescent="0.25">
      <c r="B521" s="86" t="s">
        <v>5456</v>
      </c>
      <c r="C521" s="89">
        <v>40.5</v>
      </c>
    </row>
    <row r="522" spans="2:3" x14ac:dyDescent="0.25">
      <c r="B522" s="86" t="s">
        <v>5457</v>
      </c>
      <c r="C522" s="89">
        <v>43</v>
      </c>
    </row>
    <row r="523" spans="2:3" ht="13.5" thickBot="1" x14ac:dyDescent="0.3">
      <c r="B523" s="87" t="s">
        <v>5458</v>
      </c>
      <c r="C523" s="90">
        <v>45</v>
      </c>
    </row>
    <row r="524" spans="2:3" x14ac:dyDescent="0.25">
      <c r="B524" s="85" t="s">
        <v>923</v>
      </c>
      <c r="C524" s="88">
        <v>5.5</v>
      </c>
    </row>
    <row r="525" spans="2:3" x14ac:dyDescent="0.25">
      <c r="B525" s="86" t="s">
        <v>924</v>
      </c>
      <c r="C525" s="89">
        <v>24</v>
      </c>
    </row>
    <row r="526" spans="2:3" x14ac:dyDescent="0.25">
      <c r="B526" s="86" t="s">
        <v>925</v>
      </c>
      <c r="C526" s="89">
        <v>0.5</v>
      </c>
    </row>
    <row r="527" spans="2:3" x14ac:dyDescent="0.25">
      <c r="B527" s="86" t="s">
        <v>926</v>
      </c>
      <c r="C527" s="89">
        <v>14</v>
      </c>
    </row>
    <row r="528" spans="2:3" ht="13.5" thickBot="1" x14ac:dyDescent="0.3">
      <c r="B528" s="87" t="s">
        <v>629</v>
      </c>
      <c r="C528" s="90">
        <v>10</v>
      </c>
    </row>
    <row r="529" spans="2:3" x14ac:dyDescent="0.25">
      <c r="B529" s="85" t="s">
        <v>776</v>
      </c>
      <c r="C529" s="88">
        <v>36.67</v>
      </c>
    </row>
    <row r="530" spans="2:3" x14ac:dyDescent="0.25">
      <c r="B530" s="86" t="s">
        <v>1351</v>
      </c>
      <c r="C530" s="89">
        <v>122.67</v>
      </c>
    </row>
    <row r="531" spans="2:3" x14ac:dyDescent="0.25">
      <c r="B531" s="86" t="s">
        <v>1352</v>
      </c>
      <c r="C531" s="89">
        <v>55.167000000000002</v>
      </c>
    </row>
    <row r="532" spans="2:3" x14ac:dyDescent="0.25">
      <c r="B532" s="86" t="s">
        <v>1353</v>
      </c>
      <c r="C532" s="89">
        <v>16.5</v>
      </c>
    </row>
    <row r="533" spans="2:3" x14ac:dyDescent="0.25">
      <c r="B533" s="86" t="s">
        <v>1354</v>
      </c>
      <c r="C533" s="89">
        <v>211.5</v>
      </c>
    </row>
    <row r="534" spans="2:3" ht="13.5" thickBot="1" x14ac:dyDescent="0.3">
      <c r="B534" s="87" t="s">
        <v>1880</v>
      </c>
      <c r="C534" s="90">
        <v>4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2"/>
  <sheetViews>
    <sheetView zoomScale="66" zoomScaleNormal="100" workbookViewId="0">
      <pane ySplit="1" topLeftCell="A453" activePane="bottomLeft" state="frozen"/>
      <selection pane="bottomLeft" activeCell="E456" sqref="E456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19.140625" style="10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2337</v>
      </c>
      <c r="B2" s="13" t="s">
        <v>411</v>
      </c>
      <c r="C2" s="10" t="s">
        <v>2436</v>
      </c>
      <c r="D2" s="13" t="s">
        <v>2437</v>
      </c>
      <c r="E2" s="13" t="s">
        <v>606</v>
      </c>
      <c r="F2" s="14" t="s">
        <v>11</v>
      </c>
      <c r="G2" s="13"/>
      <c r="H2" s="14">
        <f>G2+I2</f>
        <v>2</v>
      </c>
      <c r="I2" s="13">
        <v>2</v>
      </c>
      <c r="J2" s="13">
        <v>2</v>
      </c>
      <c r="K2" s="13" t="s">
        <v>2438</v>
      </c>
      <c r="L2" s="14" t="s">
        <v>177</v>
      </c>
      <c r="M2" s="14">
        <v>78</v>
      </c>
      <c r="N2" s="14">
        <v>504</v>
      </c>
      <c r="O2" s="14">
        <v>507800</v>
      </c>
      <c r="P2" s="14">
        <v>250400</v>
      </c>
      <c r="R2" s="14"/>
      <c r="S2" s="14"/>
    </row>
    <row r="3" spans="1:19" s="14" customFormat="1" ht="25.5" customHeight="1" x14ac:dyDescent="0.25">
      <c r="A3" s="11" t="s">
        <v>2337</v>
      </c>
      <c r="B3" s="13" t="s">
        <v>76</v>
      </c>
      <c r="C3" s="10" t="s">
        <v>330</v>
      </c>
      <c r="D3" s="13" t="s">
        <v>1940</v>
      </c>
      <c r="E3" s="14" t="s">
        <v>1281</v>
      </c>
      <c r="F3" s="14" t="s">
        <v>11</v>
      </c>
      <c r="G3" s="13">
        <v>15</v>
      </c>
      <c r="H3" s="14">
        <f>G3+I3</f>
        <v>15</v>
      </c>
      <c r="I3" s="13"/>
      <c r="J3" s="13">
        <v>10</v>
      </c>
      <c r="K3" s="13" t="s">
        <v>2538</v>
      </c>
      <c r="L3" s="14" t="s">
        <v>177</v>
      </c>
      <c r="M3" s="14">
        <v>193</v>
      </c>
      <c r="N3" s="14">
        <v>983</v>
      </c>
      <c r="O3" s="14">
        <v>519300</v>
      </c>
      <c r="P3" s="14">
        <v>298300</v>
      </c>
    </row>
    <row r="4" spans="1:19" s="14" customFormat="1" ht="25.5" customHeight="1" x14ac:dyDescent="0.25">
      <c r="A4" s="11" t="s">
        <v>2337</v>
      </c>
      <c r="B4" s="13" t="s">
        <v>76</v>
      </c>
      <c r="C4" s="10" t="s">
        <v>501</v>
      </c>
      <c r="D4" s="13" t="s">
        <v>90</v>
      </c>
      <c r="E4" s="13" t="s">
        <v>176</v>
      </c>
      <c r="F4" s="14" t="s">
        <v>11</v>
      </c>
      <c r="G4" s="13"/>
      <c r="H4" s="14">
        <f t="shared" ref="H4:H55" si="0">G4+I4</f>
        <v>2</v>
      </c>
      <c r="I4" s="13">
        <v>2</v>
      </c>
      <c r="J4" s="13">
        <v>2</v>
      </c>
      <c r="K4" s="13" t="s">
        <v>2473</v>
      </c>
      <c r="L4" s="14" t="s">
        <v>175</v>
      </c>
      <c r="M4" s="14">
        <v>577</v>
      </c>
      <c r="N4" s="14">
        <v>647</v>
      </c>
      <c r="O4" s="14">
        <v>557700</v>
      </c>
      <c r="P4" s="14">
        <v>364700</v>
      </c>
    </row>
    <row r="5" spans="1:19" ht="22.5" x14ac:dyDescent="0.25">
      <c r="A5" s="11" t="s">
        <v>2337</v>
      </c>
      <c r="B5" s="13" t="s">
        <v>76</v>
      </c>
      <c r="C5" s="10" t="s">
        <v>2409</v>
      </c>
      <c r="D5" s="13" t="s">
        <v>2410</v>
      </c>
      <c r="E5" s="13" t="s">
        <v>176</v>
      </c>
      <c r="F5" s="14" t="s">
        <v>11</v>
      </c>
      <c r="G5" s="13"/>
      <c r="H5" s="14">
        <f>G5+I5</f>
        <v>1</v>
      </c>
      <c r="I5" s="14">
        <v>1</v>
      </c>
      <c r="J5" s="14">
        <v>1</v>
      </c>
      <c r="K5" s="13" t="s">
        <v>87</v>
      </c>
      <c r="L5" s="15" t="s">
        <v>177</v>
      </c>
      <c r="M5" s="15">
        <v>133</v>
      </c>
      <c r="N5" s="15">
        <v>968</v>
      </c>
      <c r="O5" s="15">
        <v>513300</v>
      </c>
      <c r="P5" s="15">
        <v>296800</v>
      </c>
    </row>
    <row r="6" spans="1:19" ht="22.5" x14ac:dyDescent="0.25">
      <c r="A6" s="11" t="s">
        <v>2337</v>
      </c>
      <c r="B6" s="13" t="s">
        <v>76</v>
      </c>
      <c r="C6" s="10" t="s">
        <v>174</v>
      </c>
      <c r="D6" s="13" t="s">
        <v>92</v>
      </c>
      <c r="E6" s="13" t="s">
        <v>176</v>
      </c>
      <c r="F6" s="14" t="s">
        <v>11</v>
      </c>
      <c r="G6" s="13"/>
      <c r="H6" s="14">
        <f t="shared" si="0"/>
        <v>3</v>
      </c>
      <c r="I6" s="14">
        <v>3</v>
      </c>
      <c r="J6" s="14">
        <v>3</v>
      </c>
      <c r="K6" s="13" t="s">
        <v>2468</v>
      </c>
      <c r="L6" s="15" t="s">
        <v>175</v>
      </c>
      <c r="M6" s="15">
        <v>1385</v>
      </c>
      <c r="N6" s="15">
        <v>735</v>
      </c>
      <c r="O6" s="15">
        <v>513850</v>
      </c>
      <c r="P6" s="15">
        <v>307350</v>
      </c>
    </row>
    <row r="7" spans="1:19" ht="22.5" x14ac:dyDescent="0.25">
      <c r="A7" s="11" t="s">
        <v>2337</v>
      </c>
      <c r="B7" s="13" t="s">
        <v>76</v>
      </c>
      <c r="C7" s="10" t="s">
        <v>179</v>
      </c>
      <c r="D7" s="13" t="s">
        <v>1940</v>
      </c>
      <c r="E7" s="13" t="s">
        <v>176</v>
      </c>
      <c r="F7" s="14" t="s">
        <v>11</v>
      </c>
      <c r="G7" s="13"/>
      <c r="H7" s="14">
        <f>G7+I7</f>
        <v>1</v>
      </c>
      <c r="I7" s="14">
        <v>1</v>
      </c>
      <c r="J7" s="14">
        <v>1</v>
      </c>
      <c r="K7" s="13" t="s">
        <v>1103</v>
      </c>
      <c r="L7" s="15" t="s">
        <v>177</v>
      </c>
      <c r="M7" s="15">
        <v>208</v>
      </c>
      <c r="N7" s="15">
        <v>989</v>
      </c>
      <c r="O7" s="15">
        <v>520800</v>
      </c>
      <c r="P7" s="15">
        <v>298900</v>
      </c>
    </row>
    <row r="8" spans="1:19" ht="22.5" x14ac:dyDescent="0.25">
      <c r="A8" s="11" t="s">
        <v>2337</v>
      </c>
      <c r="B8" s="13" t="s">
        <v>76</v>
      </c>
      <c r="C8" s="10" t="s">
        <v>179</v>
      </c>
      <c r="D8" s="13" t="s">
        <v>39</v>
      </c>
      <c r="E8" s="13" t="s">
        <v>176</v>
      </c>
      <c r="F8" s="14" t="s">
        <v>11</v>
      </c>
      <c r="G8" s="13"/>
      <c r="H8" s="14">
        <f t="shared" si="0"/>
        <v>8</v>
      </c>
      <c r="I8" s="14">
        <v>8</v>
      </c>
      <c r="J8" s="14">
        <v>6</v>
      </c>
      <c r="K8" s="13" t="s">
        <v>2550</v>
      </c>
      <c r="L8" s="15" t="s">
        <v>177</v>
      </c>
      <c r="M8" s="15">
        <v>208</v>
      </c>
      <c r="N8" s="15">
        <v>989</v>
      </c>
      <c r="O8" s="15">
        <v>520800</v>
      </c>
      <c r="P8" s="15">
        <v>298900</v>
      </c>
    </row>
    <row r="9" spans="1:19" ht="45" x14ac:dyDescent="0.25">
      <c r="A9" s="11" t="s">
        <v>2337</v>
      </c>
      <c r="B9" s="13" t="s">
        <v>76</v>
      </c>
      <c r="C9" s="10" t="s">
        <v>2487</v>
      </c>
      <c r="D9" s="13" t="s">
        <v>2546</v>
      </c>
      <c r="E9" s="13" t="s">
        <v>176</v>
      </c>
      <c r="F9" s="14" t="s">
        <v>11</v>
      </c>
      <c r="G9" s="13"/>
      <c r="H9" s="14">
        <f>G9+I9</f>
        <v>9</v>
      </c>
      <c r="I9" s="14">
        <v>9</v>
      </c>
      <c r="J9" s="14">
        <v>5</v>
      </c>
      <c r="K9" s="13" t="s">
        <v>2551</v>
      </c>
      <c r="L9" s="15" t="s">
        <v>177</v>
      </c>
      <c r="M9" s="15">
        <v>22714</v>
      </c>
      <c r="N9" s="15">
        <v>98911</v>
      </c>
      <c r="O9" s="15">
        <v>522714</v>
      </c>
      <c r="P9" s="15">
        <v>298911</v>
      </c>
    </row>
    <row r="10" spans="1:19" s="14" customFormat="1" x14ac:dyDescent="0.25">
      <c r="A10" s="11" t="s">
        <v>2337</v>
      </c>
      <c r="B10" s="13" t="s">
        <v>76</v>
      </c>
      <c r="C10" s="10" t="s">
        <v>2024</v>
      </c>
      <c r="D10" s="13" t="s">
        <v>20</v>
      </c>
      <c r="E10" s="13" t="s">
        <v>1926</v>
      </c>
      <c r="F10" s="14" t="s">
        <v>11</v>
      </c>
      <c r="G10" s="13"/>
      <c r="H10" s="14">
        <f>G10+I10</f>
        <v>2</v>
      </c>
      <c r="I10" s="13">
        <v>2</v>
      </c>
      <c r="J10" s="13">
        <v>1</v>
      </c>
      <c r="K10" s="13" t="s">
        <v>240</v>
      </c>
      <c r="L10" s="14" t="s">
        <v>177</v>
      </c>
      <c r="M10" s="14">
        <v>2555</v>
      </c>
      <c r="N10" s="14">
        <v>7092</v>
      </c>
      <c r="O10" s="14">
        <v>525550</v>
      </c>
      <c r="P10" s="14">
        <v>270920</v>
      </c>
    </row>
    <row r="11" spans="1:19" x14ac:dyDescent="0.25">
      <c r="A11" s="11" t="s">
        <v>2337</v>
      </c>
      <c r="B11" s="13" t="s">
        <v>76</v>
      </c>
      <c r="C11" s="10" t="s">
        <v>2547</v>
      </c>
      <c r="D11" s="13" t="s">
        <v>1940</v>
      </c>
      <c r="E11" s="13" t="s">
        <v>281</v>
      </c>
      <c r="F11" s="14" t="s">
        <v>11</v>
      </c>
      <c r="G11" s="13"/>
      <c r="H11" s="14">
        <f t="shared" si="0"/>
        <v>1</v>
      </c>
      <c r="I11" s="14">
        <v>1</v>
      </c>
      <c r="J11" s="14">
        <v>1</v>
      </c>
      <c r="K11" s="13" t="s">
        <v>849</v>
      </c>
      <c r="L11" s="15" t="s">
        <v>177</v>
      </c>
      <c r="M11" s="15">
        <v>212</v>
      </c>
      <c r="N11" s="15">
        <v>881</v>
      </c>
      <c r="O11" s="15">
        <v>521200</v>
      </c>
      <c r="P11" s="15">
        <v>288100</v>
      </c>
    </row>
    <row r="12" spans="1:19" ht="22.5" x14ac:dyDescent="0.25">
      <c r="A12" s="11" t="s">
        <v>2337</v>
      </c>
      <c r="B12" s="13" t="s">
        <v>76</v>
      </c>
      <c r="C12" s="10" t="s">
        <v>946</v>
      </c>
      <c r="D12" s="13" t="s">
        <v>26</v>
      </c>
      <c r="E12" s="13" t="s">
        <v>178</v>
      </c>
      <c r="F12" s="14" t="s">
        <v>11</v>
      </c>
      <c r="G12" s="13"/>
      <c r="H12" s="14">
        <f t="shared" si="0"/>
        <v>2</v>
      </c>
      <c r="I12" s="14">
        <v>2</v>
      </c>
      <c r="J12" s="14">
        <v>2</v>
      </c>
      <c r="K12" s="13" t="s">
        <v>1053</v>
      </c>
      <c r="L12" s="15" t="s">
        <v>177</v>
      </c>
      <c r="M12" s="15">
        <v>420</v>
      </c>
      <c r="N12" s="15">
        <v>767</v>
      </c>
      <c r="O12" s="15">
        <v>542000</v>
      </c>
      <c r="P12" s="15">
        <v>276700</v>
      </c>
    </row>
    <row r="13" spans="1:19" x14ac:dyDescent="0.25">
      <c r="A13" s="11" t="s">
        <v>2337</v>
      </c>
      <c r="B13" s="13" t="s">
        <v>76</v>
      </c>
      <c r="C13" s="17" t="s">
        <v>2088</v>
      </c>
      <c r="D13" s="13" t="s">
        <v>39</v>
      </c>
      <c r="E13" s="13" t="s">
        <v>2089</v>
      </c>
      <c r="F13" s="14" t="s">
        <v>11</v>
      </c>
      <c r="G13" s="13">
        <v>2</v>
      </c>
      <c r="H13" s="14">
        <f t="shared" si="0"/>
        <v>2</v>
      </c>
      <c r="J13" s="14">
        <v>2</v>
      </c>
      <c r="K13" s="13" t="s">
        <v>2548</v>
      </c>
      <c r="L13" s="15" t="s">
        <v>177</v>
      </c>
      <c r="M13" s="15">
        <v>271</v>
      </c>
      <c r="N13" s="15">
        <v>967</v>
      </c>
      <c r="O13" s="15">
        <v>527100</v>
      </c>
      <c r="P13" s="15">
        <v>296700</v>
      </c>
    </row>
    <row r="14" spans="1:19" ht="22.5" x14ac:dyDescent="0.25">
      <c r="A14" s="11" t="s">
        <v>2337</v>
      </c>
      <c r="B14" s="13" t="s">
        <v>213</v>
      </c>
      <c r="C14" s="10" t="s">
        <v>214</v>
      </c>
      <c r="D14" s="13" t="s">
        <v>215</v>
      </c>
      <c r="E14" s="13" t="s">
        <v>216</v>
      </c>
      <c r="F14" s="14" t="s">
        <v>11</v>
      </c>
      <c r="G14" s="13"/>
      <c r="H14" s="14">
        <f t="shared" si="0"/>
        <v>2</v>
      </c>
      <c r="I14" s="14">
        <v>2</v>
      </c>
      <c r="J14" s="14">
        <v>2</v>
      </c>
      <c r="K14" s="13" t="s">
        <v>2578</v>
      </c>
      <c r="L14" s="15" t="s">
        <v>218</v>
      </c>
      <c r="M14" s="15">
        <v>7365</v>
      </c>
      <c r="N14" s="15">
        <v>1960</v>
      </c>
      <c r="O14" s="15">
        <v>473650</v>
      </c>
      <c r="P14" s="15">
        <v>519600</v>
      </c>
    </row>
    <row r="15" spans="1:19" x14ac:dyDescent="0.25">
      <c r="A15" s="11" t="s">
        <v>2337</v>
      </c>
      <c r="B15" s="13" t="s">
        <v>42</v>
      </c>
      <c r="C15" s="10" t="s">
        <v>142</v>
      </c>
      <c r="D15" s="13" t="s">
        <v>39</v>
      </c>
      <c r="E15" s="14" t="s">
        <v>143</v>
      </c>
      <c r="F15" s="14" t="s">
        <v>11</v>
      </c>
      <c r="G15" s="13"/>
      <c r="H15" s="14">
        <f t="shared" si="0"/>
        <v>1</v>
      </c>
      <c r="I15" s="14">
        <v>1</v>
      </c>
      <c r="J15" s="14">
        <v>1</v>
      </c>
      <c r="K15" s="13" t="s">
        <v>1788</v>
      </c>
      <c r="L15" s="15" t="s">
        <v>144</v>
      </c>
      <c r="M15" s="15">
        <v>685</v>
      </c>
      <c r="N15" s="15">
        <v>407</v>
      </c>
      <c r="O15" s="15">
        <v>168500</v>
      </c>
      <c r="P15" s="15">
        <v>40700</v>
      </c>
    </row>
    <row r="16" spans="1:19" x14ac:dyDescent="0.25">
      <c r="A16" s="11" t="s">
        <v>2337</v>
      </c>
      <c r="B16" s="13" t="s">
        <v>42</v>
      </c>
      <c r="C16" s="10" t="s">
        <v>573</v>
      </c>
      <c r="D16" s="13" t="s">
        <v>90</v>
      </c>
      <c r="E16" s="14" t="s">
        <v>43</v>
      </c>
      <c r="F16" s="14" t="s">
        <v>11</v>
      </c>
      <c r="G16" s="13"/>
      <c r="H16" s="14">
        <f t="shared" si="0"/>
        <v>1</v>
      </c>
      <c r="I16" s="14">
        <v>1</v>
      </c>
      <c r="J16" s="14">
        <v>1</v>
      </c>
      <c r="K16" s="13" t="s">
        <v>578</v>
      </c>
      <c r="L16" s="15" t="s">
        <v>144</v>
      </c>
      <c r="M16" s="15">
        <v>601</v>
      </c>
      <c r="N16" s="15">
        <v>395</v>
      </c>
      <c r="O16" s="15">
        <v>160100</v>
      </c>
      <c r="P16" s="15">
        <v>39500</v>
      </c>
    </row>
    <row r="17" spans="1:16" ht="22.5" x14ac:dyDescent="0.25">
      <c r="A17" s="11" t="s">
        <v>2337</v>
      </c>
      <c r="B17" s="13" t="s">
        <v>42</v>
      </c>
      <c r="C17" s="10" t="s">
        <v>2488</v>
      </c>
      <c r="D17" s="13" t="s">
        <v>2489</v>
      </c>
      <c r="E17" s="14" t="s">
        <v>2490</v>
      </c>
      <c r="F17" s="14" t="s">
        <v>11</v>
      </c>
      <c r="G17" s="13">
        <v>1</v>
      </c>
      <c r="H17" s="14">
        <f>G17+I17</f>
        <v>1</v>
      </c>
      <c r="J17" s="14">
        <v>1</v>
      </c>
      <c r="K17" s="13" t="s">
        <v>513</v>
      </c>
      <c r="L17" s="15" t="s">
        <v>144</v>
      </c>
      <c r="M17" s="15">
        <v>87</v>
      </c>
      <c r="N17" s="15">
        <v>75</v>
      </c>
      <c r="O17" s="15">
        <v>187000</v>
      </c>
      <c r="P17" s="15">
        <v>75000</v>
      </c>
    </row>
    <row r="18" spans="1:16" ht="22.5" x14ac:dyDescent="0.25">
      <c r="A18" s="11" t="s">
        <v>2337</v>
      </c>
      <c r="B18" s="13" t="s">
        <v>42</v>
      </c>
      <c r="C18" s="10" t="s">
        <v>375</v>
      </c>
      <c r="D18" s="13" t="s">
        <v>2450</v>
      </c>
      <c r="E18" s="14" t="s">
        <v>375</v>
      </c>
      <c r="F18" s="14" t="s">
        <v>11</v>
      </c>
      <c r="G18" s="13"/>
      <c r="H18" s="14">
        <f>G18+I18</f>
        <v>1</v>
      </c>
      <c r="I18" s="14">
        <v>1</v>
      </c>
      <c r="J18" s="14">
        <v>1</v>
      </c>
      <c r="K18" s="13" t="s">
        <v>338</v>
      </c>
      <c r="L18" s="15" t="s">
        <v>144</v>
      </c>
      <c r="M18" s="15">
        <v>34702</v>
      </c>
      <c r="N18" s="15">
        <v>24261</v>
      </c>
      <c r="O18" s="15">
        <v>134702</v>
      </c>
      <c r="P18" s="15">
        <v>24261</v>
      </c>
    </row>
    <row r="19" spans="1:16" ht="22.5" x14ac:dyDescent="0.25">
      <c r="A19" s="11" t="s">
        <v>2337</v>
      </c>
      <c r="B19" s="13" t="s">
        <v>42</v>
      </c>
      <c r="C19" s="10" t="s">
        <v>551</v>
      </c>
      <c r="D19" s="13" t="s">
        <v>540</v>
      </c>
      <c r="E19" s="14" t="s">
        <v>552</v>
      </c>
      <c r="F19" s="14" t="s">
        <v>11</v>
      </c>
      <c r="G19" s="13"/>
      <c r="H19" s="14">
        <f t="shared" si="0"/>
        <v>1</v>
      </c>
      <c r="I19" s="14">
        <v>1</v>
      </c>
      <c r="J19" s="14">
        <v>1</v>
      </c>
      <c r="K19" s="13" t="s">
        <v>513</v>
      </c>
      <c r="L19" s="15" t="s">
        <v>520</v>
      </c>
      <c r="M19" s="15">
        <v>2601</v>
      </c>
      <c r="N19" s="15">
        <v>7191</v>
      </c>
      <c r="O19" s="15">
        <v>226010</v>
      </c>
      <c r="P19" s="15">
        <v>71910</v>
      </c>
    </row>
    <row r="20" spans="1:16" ht="22.5" x14ac:dyDescent="0.25">
      <c r="A20" s="11" t="s">
        <v>2337</v>
      </c>
      <c r="B20" s="13" t="s">
        <v>42</v>
      </c>
      <c r="C20" s="10" t="s">
        <v>2522</v>
      </c>
      <c r="D20" s="13" t="s">
        <v>41</v>
      </c>
      <c r="E20" s="14" t="s">
        <v>2523</v>
      </c>
      <c r="F20" s="14" t="s">
        <v>11</v>
      </c>
      <c r="G20" s="13"/>
      <c r="H20" s="14">
        <f t="shared" si="0"/>
        <v>1</v>
      </c>
      <c r="I20" s="14">
        <v>1</v>
      </c>
      <c r="J20" s="14">
        <v>1</v>
      </c>
      <c r="K20" s="13" t="s">
        <v>578</v>
      </c>
      <c r="L20" s="15" t="s">
        <v>144</v>
      </c>
      <c r="M20" s="15">
        <v>43044</v>
      </c>
      <c r="N20" s="15">
        <v>24429</v>
      </c>
      <c r="O20" s="15">
        <v>143044</v>
      </c>
      <c r="P20" s="15">
        <v>24429</v>
      </c>
    </row>
    <row r="21" spans="1:16" x14ac:dyDescent="0.25">
      <c r="A21" s="11" t="s">
        <v>2337</v>
      </c>
      <c r="B21" s="13" t="s">
        <v>42</v>
      </c>
      <c r="C21" s="10" t="s">
        <v>2464</v>
      </c>
      <c r="D21" s="13" t="s">
        <v>39</v>
      </c>
      <c r="E21" s="14" t="s">
        <v>2463</v>
      </c>
      <c r="F21" s="14" t="s">
        <v>11</v>
      </c>
      <c r="G21" s="13"/>
      <c r="H21" s="14">
        <f>G21+I21</f>
        <v>5</v>
      </c>
      <c r="I21" s="14">
        <v>5</v>
      </c>
      <c r="J21" s="14">
        <v>5</v>
      </c>
      <c r="K21" s="13" t="s">
        <v>2543</v>
      </c>
      <c r="L21" s="15" t="s">
        <v>144</v>
      </c>
      <c r="M21" s="15">
        <v>80126</v>
      </c>
      <c r="N21" s="15">
        <v>61238</v>
      </c>
      <c r="O21" s="15">
        <v>180126</v>
      </c>
      <c r="P21" s="15">
        <v>61238</v>
      </c>
    </row>
    <row r="22" spans="1:16" ht="22.5" x14ac:dyDescent="0.25">
      <c r="A22" s="11" t="s">
        <v>2337</v>
      </c>
      <c r="B22" s="13" t="s">
        <v>42</v>
      </c>
      <c r="C22" s="10" t="s">
        <v>2510</v>
      </c>
      <c r="D22" s="13" t="s">
        <v>41</v>
      </c>
      <c r="E22" s="14" t="s">
        <v>2511</v>
      </c>
      <c r="F22" s="14" t="s">
        <v>11</v>
      </c>
      <c r="G22" s="13"/>
      <c r="H22" s="14">
        <f>G22+I22</f>
        <v>1</v>
      </c>
      <c r="I22" s="14">
        <v>1</v>
      </c>
      <c r="J22" s="14">
        <v>1</v>
      </c>
      <c r="K22" s="13" t="s">
        <v>546</v>
      </c>
      <c r="L22" s="15" t="s">
        <v>144</v>
      </c>
      <c r="M22" s="15">
        <v>4688</v>
      </c>
      <c r="N22" s="15">
        <v>3802</v>
      </c>
      <c r="O22" s="15">
        <v>146880</v>
      </c>
      <c r="P22" s="15">
        <v>38020</v>
      </c>
    </row>
    <row r="23" spans="1:16" x14ac:dyDescent="0.25">
      <c r="A23" s="11" t="s">
        <v>2337</v>
      </c>
      <c r="B23" s="13" t="s">
        <v>10</v>
      </c>
      <c r="C23" s="10" t="s">
        <v>7</v>
      </c>
      <c r="D23" s="13" t="s">
        <v>8</v>
      </c>
      <c r="E23" s="14" t="s">
        <v>9</v>
      </c>
      <c r="F23" s="14" t="s">
        <v>11</v>
      </c>
      <c r="G23" s="13"/>
      <c r="H23" s="14">
        <f t="shared" si="0"/>
        <v>1</v>
      </c>
      <c r="I23" s="14">
        <v>1</v>
      </c>
      <c r="J23" s="14">
        <v>1</v>
      </c>
      <c r="K23" s="13" t="s">
        <v>2493</v>
      </c>
      <c r="L23" s="15" t="s">
        <v>166</v>
      </c>
      <c r="M23" s="15">
        <v>2913</v>
      </c>
      <c r="N23" s="15">
        <v>2363</v>
      </c>
      <c r="O23" s="15">
        <v>329130</v>
      </c>
      <c r="P23" s="15">
        <v>523630</v>
      </c>
    </row>
    <row r="24" spans="1:16" x14ac:dyDescent="0.25">
      <c r="A24" s="11" t="s">
        <v>2337</v>
      </c>
      <c r="B24" s="13" t="s">
        <v>10</v>
      </c>
      <c r="C24" s="10" t="s">
        <v>2394</v>
      </c>
      <c r="D24" s="13" t="s">
        <v>434</v>
      </c>
      <c r="E24" s="13" t="s">
        <v>2395</v>
      </c>
      <c r="F24" s="14" t="s">
        <v>11</v>
      </c>
      <c r="G24" s="13"/>
      <c r="H24" s="14">
        <f>G24+I24</f>
        <v>1</v>
      </c>
      <c r="I24" s="14">
        <v>1</v>
      </c>
      <c r="J24" s="14">
        <v>1</v>
      </c>
      <c r="K24" s="13" t="s">
        <v>291</v>
      </c>
      <c r="L24" s="15" t="s">
        <v>431</v>
      </c>
      <c r="M24" s="15">
        <v>35</v>
      </c>
      <c r="N24" s="15">
        <v>80</v>
      </c>
      <c r="O24" s="15">
        <v>335000</v>
      </c>
      <c r="P24" s="15">
        <v>480000</v>
      </c>
    </row>
    <row r="25" spans="1:16" ht="22.5" x14ac:dyDescent="0.25">
      <c r="A25" s="11" t="s">
        <v>2337</v>
      </c>
      <c r="B25" s="13" t="s">
        <v>10</v>
      </c>
      <c r="C25" s="10" t="s">
        <v>165</v>
      </c>
      <c r="D25" s="13" t="s">
        <v>825</v>
      </c>
      <c r="E25" s="14" t="s">
        <v>12</v>
      </c>
      <c r="F25" s="14" t="s">
        <v>11</v>
      </c>
      <c r="G25" s="13"/>
      <c r="H25" s="14">
        <f t="shared" si="0"/>
        <v>4</v>
      </c>
      <c r="I25" s="14">
        <v>4</v>
      </c>
      <c r="J25" s="14">
        <v>3</v>
      </c>
      <c r="K25" s="13" t="s">
        <v>2449</v>
      </c>
      <c r="L25" s="15" t="s">
        <v>166</v>
      </c>
      <c r="M25" s="15">
        <v>274</v>
      </c>
      <c r="N25" s="15">
        <v>72</v>
      </c>
      <c r="O25" s="15">
        <v>327400</v>
      </c>
      <c r="P25" s="15">
        <v>507200</v>
      </c>
    </row>
    <row r="26" spans="1:16" ht="25.5" x14ac:dyDescent="0.25">
      <c r="A26" s="11" t="s">
        <v>2337</v>
      </c>
      <c r="B26" s="13" t="s">
        <v>10</v>
      </c>
      <c r="C26" s="17" t="s">
        <v>2432</v>
      </c>
      <c r="D26" s="13" t="s">
        <v>2433</v>
      </c>
      <c r="E26" s="14" t="s">
        <v>9</v>
      </c>
      <c r="F26" s="14" t="s">
        <v>11</v>
      </c>
      <c r="G26" s="13"/>
      <c r="H26" s="14">
        <f>G26+I26</f>
        <v>1</v>
      </c>
      <c r="I26" s="14">
        <v>1</v>
      </c>
      <c r="J26" s="14">
        <v>1</v>
      </c>
      <c r="K26" s="13" t="s">
        <v>309</v>
      </c>
      <c r="L26" s="15" t="s">
        <v>166</v>
      </c>
      <c r="M26" s="15">
        <v>523</v>
      </c>
      <c r="N26" s="15">
        <v>283</v>
      </c>
      <c r="O26" s="15">
        <v>352300</v>
      </c>
      <c r="P26" s="15">
        <v>528300</v>
      </c>
    </row>
    <row r="27" spans="1:16" ht="22.5" x14ac:dyDescent="0.25">
      <c r="A27" s="11" t="s">
        <v>2337</v>
      </c>
      <c r="B27" s="13" t="s">
        <v>10</v>
      </c>
      <c r="C27" s="10" t="s">
        <v>2067</v>
      </c>
      <c r="D27" s="13" t="s">
        <v>2068</v>
      </c>
      <c r="E27" s="14" t="s">
        <v>9</v>
      </c>
      <c r="F27" s="14" t="s">
        <v>11</v>
      </c>
      <c r="G27" s="13"/>
      <c r="H27" s="14">
        <f t="shared" si="0"/>
        <v>1</v>
      </c>
      <c r="I27" s="14">
        <v>1</v>
      </c>
      <c r="J27" s="14">
        <v>1</v>
      </c>
      <c r="K27" s="13" t="s">
        <v>309</v>
      </c>
      <c r="L27" s="15" t="s">
        <v>166</v>
      </c>
      <c r="M27" s="15">
        <v>519</v>
      </c>
      <c r="N27" s="15">
        <v>284</v>
      </c>
      <c r="O27" s="15">
        <v>351900</v>
      </c>
      <c r="P27" s="15">
        <v>528400</v>
      </c>
    </row>
    <row r="28" spans="1:16" x14ac:dyDescent="0.25">
      <c r="A28" s="11" t="s">
        <v>2337</v>
      </c>
      <c r="B28" s="13" t="s">
        <v>10</v>
      </c>
      <c r="C28" s="10" t="s">
        <v>2070</v>
      </c>
      <c r="D28" s="13" t="s">
        <v>2069</v>
      </c>
      <c r="E28" s="14" t="s">
        <v>12</v>
      </c>
      <c r="F28" s="14" t="s">
        <v>11</v>
      </c>
      <c r="G28" s="13"/>
      <c r="H28" s="14">
        <f t="shared" si="0"/>
        <v>3</v>
      </c>
      <c r="I28" s="14">
        <v>3</v>
      </c>
      <c r="J28" s="14">
        <v>2</v>
      </c>
      <c r="K28" s="13" t="s">
        <v>2362</v>
      </c>
      <c r="L28" s="15" t="s">
        <v>166</v>
      </c>
      <c r="M28" s="15">
        <v>27399</v>
      </c>
      <c r="N28" s="15">
        <v>7356</v>
      </c>
      <c r="O28" s="15">
        <v>327399</v>
      </c>
      <c r="P28" s="15">
        <v>507356</v>
      </c>
    </row>
    <row r="29" spans="1:16" ht="22.5" x14ac:dyDescent="0.25">
      <c r="A29" s="11" t="s">
        <v>2337</v>
      </c>
      <c r="B29" s="13" t="s">
        <v>126</v>
      </c>
      <c r="C29" s="10" t="s">
        <v>527</v>
      </c>
      <c r="D29" s="13" t="s">
        <v>528</v>
      </c>
      <c r="E29" s="14" t="s">
        <v>444</v>
      </c>
      <c r="F29" s="14" t="s">
        <v>11</v>
      </c>
      <c r="G29" s="13"/>
      <c r="H29" s="14">
        <f t="shared" si="0"/>
        <v>3</v>
      </c>
      <c r="I29" s="14">
        <v>3</v>
      </c>
      <c r="J29" s="14">
        <v>3</v>
      </c>
      <c r="K29" s="13" t="s">
        <v>2475</v>
      </c>
      <c r="L29" s="15" t="s">
        <v>445</v>
      </c>
      <c r="M29" s="15">
        <v>1603</v>
      </c>
      <c r="N29" s="15">
        <v>6355</v>
      </c>
      <c r="O29" s="15">
        <v>416030</v>
      </c>
      <c r="P29" s="15">
        <v>363550</v>
      </c>
    </row>
    <row r="30" spans="1:16" x14ac:dyDescent="0.25">
      <c r="A30" s="11" t="s">
        <v>2337</v>
      </c>
      <c r="B30" s="13" t="s">
        <v>126</v>
      </c>
      <c r="C30" s="10" t="s">
        <v>2466</v>
      </c>
      <c r="D30" s="13" t="s">
        <v>90</v>
      </c>
      <c r="E30" s="14" t="s">
        <v>444</v>
      </c>
      <c r="F30" s="14" t="s">
        <v>11</v>
      </c>
      <c r="G30" s="13"/>
      <c r="H30" s="14">
        <f t="shared" ref="H30:H35" si="1">G30+I30</f>
        <v>2</v>
      </c>
      <c r="I30" s="14">
        <v>2</v>
      </c>
      <c r="J30" s="14">
        <v>2</v>
      </c>
      <c r="K30" s="13" t="s">
        <v>2467</v>
      </c>
      <c r="L30" s="1" t="s">
        <v>445</v>
      </c>
      <c r="M30" s="1">
        <v>2315</v>
      </c>
      <c r="N30" s="1">
        <v>5804</v>
      </c>
      <c r="O30" s="1">
        <v>423150</v>
      </c>
      <c r="P30" s="1">
        <v>358040</v>
      </c>
    </row>
    <row r="31" spans="1:16" ht="22.5" x14ac:dyDescent="0.25">
      <c r="A31" s="11" t="s">
        <v>2337</v>
      </c>
      <c r="B31" s="13" t="s">
        <v>126</v>
      </c>
      <c r="C31" s="10" t="s">
        <v>443</v>
      </c>
      <c r="D31" s="13" t="s">
        <v>440</v>
      </c>
      <c r="E31" s="14" t="s">
        <v>444</v>
      </c>
      <c r="F31" s="14" t="s">
        <v>11</v>
      </c>
      <c r="G31" s="13"/>
      <c r="H31" s="14">
        <f t="shared" si="1"/>
        <v>1</v>
      </c>
      <c r="I31" s="14">
        <v>1</v>
      </c>
      <c r="J31" s="14">
        <v>1</v>
      </c>
      <c r="K31" s="13" t="s">
        <v>338</v>
      </c>
      <c r="L31" s="15" t="s">
        <v>445</v>
      </c>
      <c r="M31" s="15">
        <v>1531</v>
      </c>
      <c r="N31" s="15">
        <v>5766</v>
      </c>
      <c r="O31" s="15">
        <v>415310</v>
      </c>
      <c r="P31" s="15">
        <v>357660</v>
      </c>
    </row>
    <row r="32" spans="1:16" x14ac:dyDescent="0.25">
      <c r="A32" s="11" t="s">
        <v>2337</v>
      </c>
      <c r="B32" s="13" t="s">
        <v>126</v>
      </c>
      <c r="C32" s="10" t="s">
        <v>1980</v>
      </c>
      <c r="D32" s="13" t="s">
        <v>1207</v>
      </c>
      <c r="E32" s="14" t="s">
        <v>1378</v>
      </c>
      <c r="F32" s="14" t="s">
        <v>11</v>
      </c>
      <c r="G32" s="13"/>
      <c r="H32" s="14">
        <f t="shared" si="1"/>
        <v>2</v>
      </c>
      <c r="I32" s="14">
        <v>2</v>
      </c>
      <c r="J32" s="14">
        <v>2</v>
      </c>
      <c r="K32" s="13" t="s">
        <v>2405</v>
      </c>
      <c r="L32" s="15" t="s">
        <v>445</v>
      </c>
      <c r="M32" s="15">
        <v>499</v>
      </c>
      <c r="N32" s="15">
        <v>7320</v>
      </c>
      <c r="O32" s="15">
        <v>404990</v>
      </c>
      <c r="P32" s="15">
        <v>373200</v>
      </c>
    </row>
    <row r="33" spans="1:17" x14ac:dyDescent="0.25">
      <c r="A33" s="11" t="s">
        <v>2337</v>
      </c>
      <c r="B33" s="13" t="s">
        <v>191</v>
      </c>
      <c r="C33" s="10" t="s">
        <v>43</v>
      </c>
      <c r="D33" s="13" t="s">
        <v>1278</v>
      </c>
      <c r="E33" s="14" t="s">
        <v>43</v>
      </c>
      <c r="F33" s="14" t="s">
        <v>11</v>
      </c>
      <c r="G33" s="13"/>
      <c r="H33" s="14">
        <f t="shared" si="1"/>
        <v>12</v>
      </c>
      <c r="I33" s="14">
        <v>12</v>
      </c>
      <c r="J33" s="14">
        <v>7</v>
      </c>
      <c r="K33" s="13" t="s">
        <v>2593</v>
      </c>
      <c r="L33" s="15" t="s">
        <v>520</v>
      </c>
      <c r="M33" s="15">
        <v>64087</v>
      </c>
      <c r="N33" s="15">
        <v>76444</v>
      </c>
      <c r="O33" s="15">
        <v>264087</v>
      </c>
      <c r="P33" s="15">
        <v>76444</v>
      </c>
    </row>
    <row r="34" spans="1:17" x14ac:dyDescent="0.25">
      <c r="A34" s="11" t="s">
        <v>2337</v>
      </c>
      <c r="B34" s="13" t="s">
        <v>191</v>
      </c>
      <c r="C34" s="10" t="s">
        <v>1846</v>
      </c>
      <c r="D34" s="13" t="s">
        <v>39</v>
      </c>
      <c r="E34" s="14" t="s">
        <v>43</v>
      </c>
      <c r="F34" s="14" t="s">
        <v>11</v>
      </c>
      <c r="G34" s="13"/>
      <c r="H34" s="14">
        <f t="shared" si="1"/>
        <v>1</v>
      </c>
      <c r="I34" s="14">
        <v>1</v>
      </c>
      <c r="J34" s="14">
        <v>1</v>
      </c>
      <c r="K34" s="13" t="s">
        <v>2503</v>
      </c>
      <c r="L34" s="15" t="s">
        <v>520</v>
      </c>
      <c r="M34" s="15">
        <v>65637</v>
      </c>
      <c r="N34" s="15">
        <v>76156</v>
      </c>
      <c r="O34" s="15">
        <v>265637</v>
      </c>
      <c r="P34" s="15">
        <v>76156</v>
      </c>
    </row>
    <row r="35" spans="1:17" x14ac:dyDescent="0.25">
      <c r="A35" s="11" t="s">
        <v>2337</v>
      </c>
      <c r="B35" s="13" t="s">
        <v>191</v>
      </c>
      <c r="C35" s="10" t="s">
        <v>192</v>
      </c>
      <c r="D35" s="13" t="s">
        <v>1940</v>
      </c>
      <c r="E35" s="14" t="s">
        <v>194</v>
      </c>
      <c r="F35" s="14" t="s">
        <v>11</v>
      </c>
      <c r="G35" s="13">
        <v>2</v>
      </c>
      <c r="H35" s="14">
        <f t="shared" si="1"/>
        <v>2</v>
      </c>
      <c r="J35" s="14">
        <v>1</v>
      </c>
      <c r="K35" s="13" t="s">
        <v>673</v>
      </c>
      <c r="L35" s="15" t="s">
        <v>119</v>
      </c>
      <c r="M35" s="15">
        <v>112</v>
      </c>
      <c r="N35" s="15">
        <v>30</v>
      </c>
      <c r="O35" s="15">
        <v>311200</v>
      </c>
      <c r="P35" s="15">
        <v>103000</v>
      </c>
    </row>
    <row r="36" spans="1:17" x14ac:dyDescent="0.25">
      <c r="A36" s="11" t="s">
        <v>2337</v>
      </c>
      <c r="B36" s="13" t="s">
        <v>191</v>
      </c>
      <c r="C36" s="10" t="s">
        <v>519</v>
      </c>
      <c r="D36" s="13" t="s">
        <v>121</v>
      </c>
      <c r="E36" s="14" t="s">
        <v>43</v>
      </c>
      <c r="F36" s="14" t="s">
        <v>11</v>
      </c>
      <c r="G36" s="13"/>
      <c r="H36" s="14">
        <f t="shared" si="0"/>
        <v>1</v>
      </c>
      <c r="I36" s="14">
        <v>1</v>
      </c>
      <c r="J36" s="14">
        <v>1</v>
      </c>
      <c r="K36" s="13" t="s">
        <v>2503</v>
      </c>
      <c r="L36" s="15" t="s">
        <v>520</v>
      </c>
      <c r="M36" s="15">
        <v>5545</v>
      </c>
      <c r="N36" s="15">
        <v>7479</v>
      </c>
      <c r="O36" s="15">
        <v>255450</v>
      </c>
      <c r="P36" s="15">
        <v>74790</v>
      </c>
    </row>
    <row r="37" spans="1:17" x14ac:dyDescent="0.25">
      <c r="A37" s="11" t="s">
        <v>2337</v>
      </c>
      <c r="B37" s="13" t="s">
        <v>191</v>
      </c>
      <c r="C37" s="10" t="s">
        <v>2535</v>
      </c>
      <c r="F37" s="14" t="s">
        <v>11</v>
      </c>
      <c r="G37" s="13">
        <v>2</v>
      </c>
      <c r="H37" s="14">
        <f>G37+I37</f>
        <v>2</v>
      </c>
      <c r="J37" s="14">
        <v>1</v>
      </c>
      <c r="K37" s="13" t="s">
        <v>590</v>
      </c>
      <c r="L37" s="54" t="s">
        <v>520</v>
      </c>
      <c r="M37" s="54">
        <v>527</v>
      </c>
      <c r="N37" s="54">
        <v>585</v>
      </c>
      <c r="O37" s="54">
        <v>252700</v>
      </c>
      <c r="P37" s="54">
        <v>58500</v>
      </c>
      <c r="Q37" s="15"/>
    </row>
    <row r="38" spans="1:17" x14ac:dyDescent="0.25">
      <c r="A38" s="11" t="s">
        <v>2337</v>
      </c>
      <c r="B38" s="13" t="s">
        <v>191</v>
      </c>
      <c r="C38" s="10" t="s">
        <v>2527</v>
      </c>
      <c r="D38" s="13" t="s">
        <v>39</v>
      </c>
      <c r="E38" s="14" t="s">
        <v>43</v>
      </c>
      <c r="F38" s="14" t="s">
        <v>11</v>
      </c>
      <c r="G38" s="13">
        <v>1</v>
      </c>
      <c r="H38" s="14">
        <f>G38+I38</f>
        <v>4</v>
      </c>
      <c r="I38" s="14">
        <v>3</v>
      </c>
      <c r="J38" s="14">
        <v>4</v>
      </c>
      <c r="K38" s="13" t="s">
        <v>2592</v>
      </c>
      <c r="L38" s="15" t="s">
        <v>520</v>
      </c>
      <c r="M38" s="15">
        <v>558</v>
      </c>
      <c r="N38" s="15">
        <v>632</v>
      </c>
      <c r="O38" s="15">
        <v>255800</v>
      </c>
      <c r="P38" s="15">
        <v>63200</v>
      </c>
    </row>
    <row r="39" spans="1:17" x14ac:dyDescent="0.25">
      <c r="A39" s="11" t="s">
        <v>2337</v>
      </c>
      <c r="B39" s="13" t="s">
        <v>191</v>
      </c>
      <c r="C39" s="10" t="s">
        <v>2504</v>
      </c>
      <c r="D39" s="13" t="s">
        <v>2505</v>
      </c>
      <c r="E39" s="14" t="s">
        <v>43</v>
      </c>
      <c r="F39" s="14" t="s">
        <v>11</v>
      </c>
      <c r="G39" s="13"/>
      <c r="H39" s="14">
        <f t="shared" si="0"/>
        <v>1</v>
      </c>
      <c r="I39" s="14">
        <v>1</v>
      </c>
      <c r="J39" s="14">
        <v>1</v>
      </c>
      <c r="K39" s="13" t="s">
        <v>2503</v>
      </c>
      <c r="L39" s="15" t="s">
        <v>520</v>
      </c>
      <c r="M39" s="15">
        <v>613</v>
      </c>
      <c r="N39" s="15">
        <v>770</v>
      </c>
      <c r="O39" s="15">
        <v>261300</v>
      </c>
      <c r="P39" s="15">
        <v>77000</v>
      </c>
    </row>
    <row r="40" spans="1:17" ht="22.5" x14ac:dyDescent="0.25">
      <c r="A40" s="11" t="s">
        <v>2337</v>
      </c>
      <c r="B40" s="13" t="s">
        <v>68</v>
      </c>
      <c r="C40" s="10" t="s">
        <v>856</v>
      </c>
      <c r="D40" s="13" t="s">
        <v>859</v>
      </c>
      <c r="E40" s="14" t="s">
        <v>857</v>
      </c>
      <c r="F40" s="14" t="s">
        <v>11</v>
      </c>
      <c r="G40" s="13"/>
      <c r="H40" s="14">
        <f t="shared" si="0"/>
        <v>1</v>
      </c>
      <c r="I40" s="14">
        <v>1</v>
      </c>
      <c r="J40" s="14">
        <v>1</v>
      </c>
      <c r="K40" s="13" t="s">
        <v>513</v>
      </c>
      <c r="L40" s="15" t="s">
        <v>119</v>
      </c>
      <c r="M40" s="15">
        <v>956</v>
      </c>
      <c r="N40" s="15">
        <v>106</v>
      </c>
      <c r="O40" s="15">
        <v>395600</v>
      </c>
      <c r="P40" s="15">
        <v>110600</v>
      </c>
    </row>
    <row r="41" spans="1:17" x14ac:dyDescent="0.25">
      <c r="A41" s="11" t="s">
        <v>2337</v>
      </c>
      <c r="B41" s="13" t="s">
        <v>68</v>
      </c>
      <c r="C41" s="10" t="s">
        <v>381</v>
      </c>
      <c r="D41" s="13" t="s">
        <v>20</v>
      </c>
      <c r="E41" s="14" t="s">
        <v>314</v>
      </c>
      <c r="F41" s="14" t="s">
        <v>11</v>
      </c>
      <c r="G41" s="13"/>
      <c r="H41" s="14">
        <f t="shared" si="0"/>
        <v>5</v>
      </c>
      <c r="I41" s="14">
        <v>5</v>
      </c>
      <c r="J41" s="14">
        <v>3</v>
      </c>
      <c r="K41" s="13" t="s">
        <v>2421</v>
      </c>
      <c r="L41" s="15" t="s">
        <v>110</v>
      </c>
      <c r="M41" s="15">
        <v>17</v>
      </c>
      <c r="N41" s="15">
        <v>160</v>
      </c>
      <c r="O41" s="15">
        <v>401700</v>
      </c>
      <c r="P41" s="15">
        <v>116000</v>
      </c>
    </row>
    <row r="42" spans="1:17" ht="22.5" x14ac:dyDescent="0.25">
      <c r="A42" s="11" t="s">
        <v>2337</v>
      </c>
      <c r="B42" s="13" t="s">
        <v>68</v>
      </c>
      <c r="C42" s="10" t="s">
        <v>1959</v>
      </c>
      <c r="D42" s="13" t="s">
        <v>138</v>
      </c>
      <c r="E42" s="13" t="s">
        <v>600</v>
      </c>
      <c r="F42" s="14" t="s">
        <v>11</v>
      </c>
      <c r="G42" s="13"/>
      <c r="H42" s="14">
        <f>G42+I42</f>
        <v>3</v>
      </c>
      <c r="I42" s="14">
        <v>3</v>
      </c>
      <c r="J42" s="14">
        <v>1</v>
      </c>
      <c r="K42" s="13" t="s">
        <v>1108</v>
      </c>
      <c r="L42" s="15" t="s">
        <v>145</v>
      </c>
      <c r="M42" s="15">
        <v>704</v>
      </c>
      <c r="N42" s="15">
        <v>899</v>
      </c>
      <c r="O42" s="15">
        <v>370400</v>
      </c>
      <c r="P42" s="15">
        <v>89900</v>
      </c>
    </row>
    <row r="43" spans="1:17" ht="22.5" x14ac:dyDescent="0.25">
      <c r="A43" s="11" t="s">
        <v>2337</v>
      </c>
      <c r="B43" s="13" t="s">
        <v>68</v>
      </c>
      <c r="C43" s="10" t="s">
        <v>117</v>
      </c>
      <c r="D43" s="13" t="s">
        <v>92</v>
      </c>
      <c r="E43" s="14" t="s">
        <v>118</v>
      </c>
      <c r="F43" s="14" t="s">
        <v>11</v>
      </c>
      <c r="G43" s="13">
        <v>1</v>
      </c>
      <c r="H43" s="14">
        <f t="shared" si="0"/>
        <v>10</v>
      </c>
      <c r="I43" s="14">
        <v>9</v>
      </c>
      <c r="J43" s="14">
        <v>6</v>
      </c>
      <c r="K43" s="13" t="s">
        <v>2529</v>
      </c>
      <c r="L43" s="15" t="s">
        <v>119</v>
      </c>
      <c r="M43" s="15">
        <v>8492</v>
      </c>
      <c r="N43" s="15">
        <v>1226</v>
      </c>
      <c r="O43" s="15">
        <v>384920</v>
      </c>
      <c r="P43" s="15">
        <v>112260</v>
      </c>
      <c r="Q43" s="15"/>
    </row>
    <row r="44" spans="1:17" x14ac:dyDescent="0.25">
      <c r="A44" s="11" t="s">
        <v>2337</v>
      </c>
      <c r="B44" s="13" t="s">
        <v>68</v>
      </c>
      <c r="C44" s="10" t="s">
        <v>2434</v>
      </c>
      <c r="D44" s="13" t="s">
        <v>2435</v>
      </c>
      <c r="E44" s="14" t="s">
        <v>314</v>
      </c>
      <c r="F44" s="14" t="s">
        <v>11</v>
      </c>
      <c r="G44" s="13"/>
      <c r="H44" s="14">
        <f>G44+I44</f>
        <v>1</v>
      </c>
      <c r="I44" s="14">
        <v>1</v>
      </c>
      <c r="J44" s="14">
        <v>1</v>
      </c>
      <c r="K44" s="13" t="s">
        <v>240</v>
      </c>
      <c r="L44" s="15" t="s">
        <v>110</v>
      </c>
      <c r="M44" s="15">
        <v>24</v>
      </c>
      <c r="N44" s="15">
        <v>102</v>
      </c>
      <c r="O44" s="15">
        <v>402400</v>
      </c>
      <c r="P44" s="15">
        <v>110200</v>
      </c>
    </row>
    <row r="45" spans="1:17" ht="22.5" x14ac:dyDescent="0.25">
      <c r="A45" s="11" t="s">
        <v>2337</v>
      </c>
      <c r="B45" s="13" t="s">
        <v>68</v>
      </c>
      <c r="C45" s="10" t="s">
        <v>2361</v>
      </c>
      <c r="D45" s="13" t="s">
        <v>92</v>
      </c>
      <c r="E45" s="14" t="s">
        <v>117</v>
      </c>
      <c r="F45" s="14" t="s">
        <v>11</v>
      </c>
      <c r="G45" s="13"/>
      <c r="H45" s="14">
        <f>G45+I45</f>
        <v>2</v>
      </c>
      <c r="I45" s="14">
        <v>2</v>
      </c>
      <c r="J45" s="14">
        <v>1</v>
      </c>
      <c r="K45" s="13" t="s">
        <v>1780</v>
      </c>
      <c r="L45" s="15" t="s">
        <v>119</v>
      </c>
      <c r="M45" s="15">
        <v>8492</v>
      </c>
      <c r="N45" s="15">
        <v>1226</v>
      </c>
      <c r="O45" s="15">
        <v>384920</v>
      </c>
      <c r="P45" s="15">
        <v>112260</v>
      </c>
      <c r="Q45" s="15"/>
    </row>
    <row r="46" spans="1:17" ht="22.5" x14ac:dyDescent="0.25">
      <c r="A46" s="11" t="s">
        <v>2337</v>
      </c>
      <c r="B46" s="13" t="s">
        <v>68</v>
      </c>
      <c r="C46" s="10" t="s">
        <v>197</v>
      </c>
      <c r="D46" s="13" t="s">
        <v>92</v>
      </c>
      <c r="E46" s="14" t="s">
        <v>198</v>
      </c>
      <c r="F46" s="14" t="s">
        <v>11</v>
      </c>
      <c r="G46" s="13"/>
      <c r="H46" s="14">
        <f t="shared" si="0"/>
        <v>2</v>
      </c>
      <c r="I46" s="14">
        <v>2</v>
      </c>
      <c r="J46" s="14">
        <v>2</v>
      </c>
      <c r="K46" s="13" t="s">
        <v>2544</v>
      </c>
      <c r="L46" s="15" t="s">
        <v>145</v>
      </c>
      <c r="M46" s="15">
        <v>6693</v>
      </c>
      <c r="N46" s="15">
        <v>8848</v>
      </c>
      <c r="O46" s="15">
        <v>366930</v>
      </c>
      <c r="P46" s="15">
        <v>88480</v>
      </c>
      <c r="Q46" s="15"/>
    </row>
    <row r="47" spans="1:17" x14ac:dyDescent="0.25">
      <c r="A47" s="11" t="s">
        <v>2337</v>
      </c>
      <c r="B47" s="13" t="s">
        <v>68</v>
      </c>
      <c r="C47" s="17" t="s">
        <v>1394</v>
      </c>
      <c r="D47" s="13" t="s">
        <v>1940</v>
      </c>
      <c r="E47" s="14" t="s">
        <v>314</v>
      </c>
      <c r="F47" s="14" t="s">
        <v>11</v>
      </c>
      <c r="G47" s="13"/>
      <c r="H47" s="14">
        <f>G47+I47</f>
        <v>1</v>
      </c>
      <c r="I47" s="14">
        <v>1</v>
      </c>
      <c r="J47" s="14">
        <v>1</v>
      </c>
      <c r="K47" s="13" t="s">
        <v>1103</v>
      </c>
      <c r="L47" s="15" t="s">
        <v>110</v>
      </c>
      <c r="M47" s="15">
        <v>122</v>
      </c>
      <c r="N47" s="15">
        <v>1738</v>
      </c>
      <c r="O47" s="15">
        <v>401220</v>
      </c>
      <c r="P47" s="15">
        <v>117380</v>
      </c>
      <c r="Q47" s="15"/>
    </row>
    <row r="48" spans="1:17" x14ac:dyDescent="0.25">
      <c r="A48" s="11" t="s">
        <v>2337</v>
      </c>
      <c r="B48" s="13" t="s">
        <v>68</v>
      </c>
      <c r="C48" s="10" t="s">
        <v>402</v>
      </c>
      <c r="D48" s="13" t="s">
        <v>18</v>
      </c>
      <c r="E48" s="14" t="s">
        <v>21</v>
      </c>
      <c r="F48" s="14" t="s">
        <v>11</v>
      </c>
      <c r="G48" s="13"/>
      <c r="H48" s="14">
        <f t="shared" si="0"/>
        <v>7</v>
      </c>
      <c r="I48" s="14">
        <v>7</v>
      </c>
      <c r="J48" s="14">
        <v>6</v>
      </c>
      <c r="K48" s="13" t="s">
        <v>2474</v>
      </c>
      <c r="L48" s="15" t="s">
        <v>145</v>
      </c>
      <c r="M48" s="15">
        <v>70986</v>
      </c>
      <c r="N48" s="15">
        <v>89924</v>
      </c>
      <c r="O48" s="15">
        <v>370986</v>
      </c>
      <c r="P48" s="15">
        <v>89924</v>
      </c>
      <c r="Q48" s="15"/>
    </row>
    <row r="49" spans="1:17" x14ac:dyDescent="0.25">
      <c r="A49" s="11" t="s">
        <v>2337</v>
      </c>
      <c r="B49" s="13" t="s">
        <v>68</v>
      </c>
      <c r="C49" s="10" t="s">
        <v>2536</v>
      </c>
      <c r="D49" s="13" t="s">
        <v>90</v>
      </c>
      <c r="E49" s="14" t="s">
        <v>198</v>
      </c>
      <c r="F49" s="14" t="s">
        <v>11</v>
      </c>
      <c r="G49" s="13"/>
      <c r="H49" s="14">
        <f>G49+I49</f>
        <v>1</v>
      </c>
      <c r="I49" s="14">
        <v>1</v>
      </c>
      <c r="J49" s="14">
        <v>1</v>
      </c>
      <c r="K49" s="13" t="s">
        <v>840</v>
      </c>
      <c r="L49" s="15" t="s">
        <v>145</v>
      </c>
      <c r="M49" s="15">
        <v>543</v>
      </c>
      <c r="N49" s="15">
        <v>869</v>
      </c>
      <c r="O49" s="15">
        <v>354300</v>
      </c>
      <c r="P49" s="15">
        <v>86900</v>
      </c>
      <c r="Q49" s="15"/>
    </row>
    <row r="50" spans="1:17" x14ac:dyDescent="0.25">
      <c r="A50" s="11" t="s">
        <v>2337</v>
      </c>
      <c r="B50" s="13" t="s">
        <v>209</v>
      </c>
      <c r="C50" s="10" t="s">
        <v>2412</v>
      </c>
      <c r="D50" s="13" t="s">
        <v>39</v>
      </c>
      <c r="E50" s="14" t="s">
        <v>384</v>
      </c>
      <c r="F50" s="14" t="s">
        <v>11</v>
      </c>
      <c r="G50" s="13"/>
      <c r="H50" s="14">
        <f>G50+I50</f>
        <v>1</v>
      </c>
      <c r="I50" s="14">
        <v>1</v>
      </c>
      <c r="J50" s="14">
        <v>1</v>
      </c>
      <c r="K50" s="13" t="s">
        <v>958</v>
      </c>
      <c r="L50" s="15" t="s">
        <v>108</v>
      </c>
      <c r="M50" s="15">
        <v>79</v>
      </c>
      <c r="N50" s="15">
        <v>95</v>
      </c>
      <c r="O50" s="15">
        <v>579000</v>
      </c>
      <c r="P50" s="15">
        <v>195000</v>
      </c>
      <c r="Q50" s="15"/>
    </row>
    <row r="51" spans="1:17" x14ac:dyDescent="0.25">
      <c r="A51" s="11" t="s">
        <v>2337</v>
      </c>
      <c r="B51" s="13" t="s">
        <v>209</v>
      </c>
      <c r="C51" s="10" t="s">
        <v>383</v>
      </c>
      <c r="D51" s="13" t="s">
        <v>20</v>
      </c>
      <c r="E51" s="14" t="s">
        <v>384</v>
      </c>
      <c r="F51" s="14" t="s">
        <v>11</v>
      </c>
      <c r="G51" s="13"/>
      <c r="H51" s="14">
        <f t="shared" si="0"/>
        <v>4</v>
      </c>
      <c r="I51" s="14">
        <v>4</v>
      </c>
      <c r="J51" s="14">
        <v>4</v>
      </c>
      <c r="K51" s="13" t="s">
        <v>2584</v>
      </c>
      <c r="L51" s="15" t="s">
        <v>177</v>
      </c>
      <c r="M51" s="15">
        <v>7252</v>
      </c>
      <c r="N51" s="15">
        <v>666</v>
      </c>
      <c r="O51" s="15">
        <v>572520</v>
      </c>
      <c r="P51" s="15">
        <v>206660</v>
      </c>
      <c r="Q51" s="15"/>
    </row>
    <row r="52" spans="1:17" x14ac:dyDescent="0.25">
      <c r="A52" s="11" t="s">
        <v>2337</v>
      </c>
      <c r="B52" s="13" t="s">
        <v>64</v>
      </c>
      <c r="C52" s="10" t="s">
        <v>721</v>
      </c>
      <c r="D52" s="13" t="s">
        <v>26</v>
      </c>
      <c r="E52" s="14" t="s">
        <v>548</v>
      </c>
      <c r="F52" s="14" t="s">
        <v>11</v>
      </c>
      <c r="G52" s="13"/>
      <c r="H52" s="14">
        <f t="shared" si="0"/>
        <v>1</v>
      </c>
      <c r="I52" s="14">
        <v>1</v>
      </c>
      <c r="J52" s="14">
        <v>1</v>
      </c>
      <c r="K52" s="13" t="s">
        <v>2498</v>
      </c>
      <c r="L52" s="15" t="s">
        <v>111</v>
      </c>
      <c r="M52" s="15">
        <v>2090</v>
      </c>
      <c r="N52" s="15">
        <v>25431</v>
      </c>
      <c r="O52" s="15">
        <v>402090</v>
      </c>
      <c r="P52" s="15">
        <v>225431</v>
      </c>
      <c r="Q52" s="15"/>
    </row>
    <row r="53" spans="1:17" x14ac:dyDescent="0.25">
      <c r="A53" s="11" t="s">
        <v>2337</v>
      </c>
      <c r="B53" s="13" t="s">
        <v>64</v>
      </c>
      <c r="C53" s="10" t="s">
        <v>337</v>
      </c>
      <c r="D53" s="13" t="s">
        <v>26</v>
      </c>
      <c r="E53" s="14" t="s">
        <v>69</v>
      </c>
      <c r="F53" s="14" t="s">
        <v>11</v>
      </c>
      <c r="G53" s="13"/>
      <c r="H53" s="14">
        <f t="shared" si="0"/>
        <v>1</v>
      </c>
      <c r="I53" s="14">
        <v>1</v>
      </c>
      <c r="J53" s="14">
        <v>1</v>
      </c>
      <c r="K53" s="13" t="s">
        <v>1043</v>
      </c>
      <c r="L53" s="15" t="s">
        <v>113</v>
      </c>
      <c r="M53" s="15">
        <v>79383</v>
      </c>
      <c r="N53" s="15">
        <v>1321</v>
      </c>
      <c r="O53" s="15">
        <v>379383</v>
      </c>
      <c r="P53" s="15">
        <v>201321</v>
      </c>
      <c r="Q53" s="15"/>
    </row>
    <row r="54" spans="1:17" x14ac:dyDescent="0.25">
      <c r="A54" s="11" t="s">
        <v>2337</v>
      </c>
      <c r="B54" s="13" t="s">
        <v>64</v>
      </c>
      <c r="C54" s="10" t="s">
        <v>1117</v>
      </c>
      <c r="D54" s="13" t="s">
        <v>26</v>
      </c>
      <c r="E54" s="14" t="s">
        <v>69</v>
      </c>
      <c r="F54" s="14" t="s">
        <v>11</v>
      </c>
      <c r="G54" s="13"/>
      <c r="H54" s="14">
        <f t="shared" si="0"/>
        <v>5</v>
      </c>
      <c r="I54" s="14">
        <v>5</v>
      </c>
      <c r="J54" s="14">
        <v>4</v>
      </c>
      <c r="K54" s="13" t="s">
        <v>2404</v>
      </c>
      <c r="L54" s="15" t="s">
        <v>111</v>
      </c>
      <c r="M54" s="15">
        <v>72</v>
      </c>
      <c r="N54" s="15">
        <v>188</v>
      </c>
      <c r="O54" s="15">
        <v>407200</v>
      </c>
      <c r="P54" s="15">
        <v>218800</v>
      </c>
      <c r="Q54" s="15"/>
    </row>
    <row r="55" spans="1:17" ht="25.5" x14ac:dyDescent="0.25">
      <c r="A55" s="11" t="s">
        <v>2337</v>
      </c>
      <c r="B55" s="13" t="s">
        <v>64</v>
      </c>
      <c r="C55" s="17" t="s">
        <v>722</v>
      </c>
      <c r="D55" s="13" t="s">
        <v>26</v>
      </c>
      <c r="E55" s="14" t="s">
        <v>723</v>
      </c>
      <c r="F55" s="14" t="s">
        <v>11</v>
      </c>
      <c r="G55" s="13"/>
      <c r="H55" s="14">
        <f t="shared" si="0"/>
        <v>1</v>
      </c>
      <c r="I55" s="14">
        <v>1</v>
      </c>
      <c r="J55" s="14">
        <v>1</v>
      </c>
      <c r="K55" s="13" t="s">
        <v>1043</v>
      </c>
      <c r="L55" s="15" t="s">
        <v>113</v>
      </c>
      <c r="M55" s="15">
        <v>7896</v>
      </c>
      <c r="N55" s="15">
        <v>3</v>
      </c>
      <c r="O55" s="15">
        <v>378960</v>
      </c>
      <c r="P55" s="15">
        <v>200030</v>
      </c>
      <c r="Q55" s="15"/>
    </row>
    <row r="56" spans="1:17" ht="22.5" x14ac:dyDescent="0.25">
      <c r="A56" s="11" t="s">
        <v>2337</v>
      </c>
      <c r="B56" s="13" t="s">
        <v>705</v>
      </c>
      <c r="C56" s="10" t="s">
        <v>2400</v>
      </c>
      <c r="D56" s="13" t="s">
        <v>2401</v>
      </c>
      <c r="E56" s="10" t="s">
        <v>2003</v>
      </c>
      <c r="F56" s="14" t="s">
        <v>11</v>
      </c>
      <c r="G56" s="13"/>
      <c r="H56" s="14">
        <f>G56+I56</f>
        <v>1</v>
      </c>
      <c r="I56" s="14">
        <v>1</v>
      </c>
      <c r="J56" s="14">
        <v>1</v>
      </c>
      <c r="K56" s="13" t="s">
        <v>79</v>
      </c>
      <c r="L56" s="15" t="s">
        <v>177</v>
      </c>
      <c r="M56" s="15">
        <v>165</v>
      </c>
      <c r="N56" s="15">
        <v>28</v>
      </c>
      <c r="O56" s="15">
        <v>516500</v>
      </c>
      <c r="P56" s="15">
        <v>202800</v>
      </c>
      <c r="Q56" s="15"/>
    </row>
    <row r="57" spans="1:17" x14ac:dyDescent="0.25">
      <c r="A57" s="11" t="s">
        <v>2337</v>
      </c>
      <c r="B57" s="13" t="s">
        <v>283</v>
      </c>
      <c r="C57" s="10" t="s">
        <v>1388</v>
      </c>
      <c r="D57" s="13" t="s">
        <v>1940</v>
      </c>
      <c r="E57" s="14" t="s">
        <v>1389</v>
      </c>
      <c r="F57" s="14" t="s">
        <v>11</v>
      </c>
      <c r="G57" s="13"/>
      <c r="H57" s="14">
        <f>G57+I57</f>
        <v>1</v>
      </c>
      <c r="I57" s="14">
        <v>1</v>
      </c>
      <c r="J57" s="14">
        <v>1</v>
      </c>
      <c r="K57" s="13" t="s">
        <v>1103</v>
      </c>
      <c r="L57" s="15" t="s">
        <v>108</v>
      </c>
      <c r="M57" s="15">
        <v>6159</v>
      </c>
      <c r="N57" s="15">
        <v>7308</v>
      </c>
      <c r="O57" s="15">
        <v>561590</v>
      </c>
      <c r="P57" s="15">
        <v>173080</v>
      </c>
      <c r="Q57" s="15"/>
    </row>
    <row r="58" spans="1:17" x14ac:dyDescent="0.25">
      <c r="A58" s="11" t="s">
        <v>2337</v>
      </c>
      <c r="B58" s="13" t="s">
        <v>328</v>
      </c>
      <c r="C58" s="10" t="s">
        <v>418</v>
      </c>
      <c r="D58" s="13" t="s">
        <v>26</v>
      </c>
      <c r="E58" s="14" t="s">
        <v>419</v>
      </c>
      <c r="F58" s="14" t="s">
        <v>11</v>
      </c>
      <c r="G58" s="13"/>
      <c r="H58" s="14">
        <f t="shared" ref="H58:H91" si="2">G58+I58</f>
        <v>1</v>
      </c>
      <c r="I58" s="14">
        <v>1</v>
      </c>
      <c r="J58" s="14">
        <v>1</v>
      </c>
      <c r="K58" s="13" t="s">
        <v>1800</v>
      </c>
      <c r="L58" s="15" t="s">
        <v>175</v>
      </c>
      <c r="M58" s="15">
        <v>4278</v>
      </c>
      <c r="N58" s="15">
        <v>7126</v>
      </c>
      <c r="O58" s="15">
        <v>542780</v>
      </c>
      <c r="P58" s="15">
        <v>371260</v>
      </c>
      <c r="Q58" s="15"/>
    </row>
    <row r="59" spans="1:17" x14ac:dyDescent="0.25">
      <c r="A59" s="11" t="s">
        <v>2337</v>
      </c>
      <c r="B59" s="13" t="s">
        <v>2391</v>
      </c>
      <c r="C59" s="10" t="s">
        <v>2392</v>
      </c>
      <c r="D59" s="13" t="s">
        <v>434</v>
      </c>
      <c r="E59" s="14" t="s">
        <v>2393</v>
      </c>
      <c r="F59" s="14" t="s">
        <v>11</v>
      </c>
      <c r="G59" s="13"/>
      <c r="H59" s="14">
        <f t="shared" si="2"/>
        <v>1</v>
      </c>
      <c r="I59" s="14">
        <v>1</v>
      </c>
      <c r="J59" s="14">
        <v>1</v>
      </c>
      <c r="K59" s="13" t="s">
        <v>291</v>
      </c>
      <c r="L59" s="15" t="s">
        <v>108</v>
      </c>
      <c r="M59" s="15">
        <v>254</v>
      </c>
      <c r="N59" s="15">
        <v>859</v>
      </c>
      <c r="O59" s="15">
        <v>525400</v>
      </c>
      <c r="P59" s="15">
        <v>185900</v>
      </c>
      <c r="Q59" s="15"/>
    </row>
    <row r="60" spans="1:17" ht="22.5" x14ac:dyDescent="0.25">
      <c r="A60" s="11" t="s">
        <v>2337</v>
      </c>
      <c r="B60" s="13" t="s">
        <v>78</v>
      </c>
      <c r="C60" s="10" t="s">
        <v>77</v>
      </c>
      <c r="D60" s="13" t="s">
        <v>138</v>
      </c>
      <c r="E60" s="14" t="s">
        <v>141</v>
      </c>
      <c r="F60" s="14" t="s">
        <v>11</v>
      </c>
      <c r="G60" s="13"/>
      <c r="H60" s="14">
        <f t="shared" si="2"/>
        <v>1</v>
      </c>
      <c r="I60" s="14">
        <v>1</v>
      </c>
      <c r="J60" s="14">
        <v>1</v>
      </c>
      <c r="K60" s="13" t="s">
        <v>2340</v>
      </c>
      <c r="L60" s="15" t="s">
        <v>140</v>
      </c>
      <c r="M60" s="15">
        <v>343</v>
      </c>
      <c r="N60" s="15">
        <v>911</v>
      </c>
      <c r="O60" s="15">
        <v>634300</v>
      </c>
      <c r="P60" s="15">
        <v>291100</v>
      </c>
      <c r="Q60" s="15"/>
    </row>
    <row r="61" spans="1:17" x14ac:dyDescent="0.25">
      <c r="A61" s="11" t="s">
        <v>2337</v>
      </c>
      <c r="B61" s="13" t="s">
        <v>78</v>
      </c>
      <c r="C61" s="10" t="s">
        <v>565</v>
      </c>
      <c r="D61" s="13" t="s">
        <v>158</v>
      </c>
      <c r="E61" s="14" t="s">
        <v>566</v>
      </c>
      <c r="F61" s="14" t="s">
        <v>11</v>
      </c>
      <c r="G61" s="13"/>
      <c r="H61" s="14">
        <f t="shared" si="2"/>
        <v>4</v>
      </c>
      <c r="I61" s="14">
        <v>4</v>
      </c>
      <c r="J61" s="14">
        <v>3</v>
      </c>
      <c r="K61" s="13" t="s">
        <v>2491</v>
      </c>
      <c r="L61" s="15" t="s">
        <v>177</v>
      </c>
      <c r="M61" s="15">
        <v>81758</v>
      </c>
      <c r="N61" s="15">
        <v>89781</v>
      </c>
      <c r="O61" s="15">
        <v>581758</v>
      </c>
      <c r="P61" s="15">
        <v>289781</v>
      </c>
      <c r="Q61" s="15"/>
    </row>
    <row r="62" spans="1:17" x14ac:dyDescent="0.25">
      <c r="A62" s="11" t="s">
        <v>2337</v>
      </c>
      <c r="B62" s="13" t="s">
        <v>78</v>
      </c>
      <c r="C62" s="10" t="s">
        <v>344</v>
      </c>
      <c r="D62" s="13" t="s">
        <v>434</v>
      </c>
      <c r="E62" s="14" t="s">
        <v>78</v>
      </c>
      <c r="F62" s="14" t="s">
        <v>11</v>
      </c>
      <c r="G62" s="13"/>
      <c r="H62" s="14">
        <f t="shared" si="2"/>
        <v>1</v>
      </c>
      <c r="I62" s="14">
        <v>1</v>
      </c>
      <c r="J62" s="14">
        <v>1</v>
      </c>
      <c r="K62" s="13" t="s">
        <v>291</v>
      </c>
      <c r="L62" s="15" t="s">
        <v>177</v>
      </c>
      <c r="M62" s="15">
        <v>926</v>
      </c>
      <c r="N62" s="15">
        <v>932</v>
      </c>
      <c r="O62" s="15">
        <v>592600</v>
      </c>
      <c r="P62" s="15">
        <v>293200</v>
      </c>
      <c r="Q62" s="15"/>
    </row>
    <row r="63" spans="1:17" ht="22.5" x14ac:dyDescent="0.25">
      <c r="A63" s="11" t="s">
        <v>2337</v>
      </c>
      <c r="B63" s="13" t="s">
        <v>206</v>
      </c>
      <c r="C63" s="10" t="s">
        <v>207</v>
      </c>
      <c r="D63" s="13" t="s">
        <v>92</v>
      </c>
      <c r="E63" s="14" t="s">
        <v>208</v>
      </c>
      <c r="F63" s="14" t="s">
        <v>11</v>
      </c>
      <c r="G63" s="13"/>
      <c r="H63" s="14">
        <f>G63+I63</f>
        <v>2</v>
      </c>
      <c r="I63" s="14">
        <v>2</v>
      </c>
      <c r="J63" s="14">
        <v>1</v>
      </c>
      <c r="K63" s="13" t="s">
        <v>947</v>
      </c>
      <c r="L63" s="15" t="s">
        <v>111</v>
      </c>
      <c r="M63" s="15">
        <v>7362</v>
      </c>
      <c r="N63" s="15">
        <v>5923</v>
      </c>
      <c r="O63" s="15">
        <v>473620</v>
      </c>
      <c r="P63" s="15">
        <v>259230</v>
      </c>
      <c r="Q63" s="15"/>
    </row>
    <row r="64" spans="1:17" ht="22.5" x14ac:dyDescent="0.25">
      <c r="A64" s="11" t="s">
        <v>2337</v>
      </c>
      <c r="B64" s="13" t="s">
        <v>206</v>
      </c>
      <c r="C64" s="10" t="s">
        <v>2452</v>
      </c>
      <c r="D64" s="13" t="s">
        <v>90</v>
      </c>
      <c r="E64" s="13" t="s">
        <v>2453</v>
      </c>
      <c r="F64" s="14" t="s">
        <v>11</v>
      </c>
      <c r="G64" s="13"/>
      <c r="H64" s="14">
        <f>G64+I64</f>
        <v>12</v>
      </c>
      <c r="I64" s="14">
        <v>12</v>
      </c>
      <c r="J64" s="14">
        <v>10</v>
      </c>
      <c r="K64" s="13" t="s">
        <v>2583</v>
      </c>
      <c r="L64" s="15" t="s">
        <v>111</v>
      </c>
      <c r="M64" s="15">
        <v>9623</v>
      </c>
      <c r="N64" s="15">
        <v>7126</v>
      </c>
      <c r="O64" s="15">
        <v>496230</v>
      </c>
      <c r="P64" s="15">
        <v>271260</v>
      </c>
      <c r="Q64" s="15"/>
    </row>
    <row r="65" spans="1:17" x14ac:dyDescent="0.25">
      <c r="A65" s="11" t="s">
        <v>2337</v>
      </c>
      <c r="B65" s="13" t="s">
        <v>206</v>
      </c>
      <c r="C65" s="10" t="s">
        <v>1936</v>
      </c>
      <c r="D65" s="13" t="s">
        <v>2254</v>
      </c>
      <c r="E65" s="14" t="s">
        <v>1936</v>
      </c>
      <c r="F65" s="14" t="s">
        <v>11</v>
      </c>
      <c r="G65" s="13"/>
      <c r="H65" s="14">
        <f>G65+I65</f>
        <v>1</v>
      </c>
      <c r="I65" s="14">
        <v>1</v>
      </c>
      <c r="J65" s="14">
        <v>1</v>
      </c>
      <c r="K65" s="13" t="s">
        <v>914</v>
      </c>
      <c r="L65" s="15" t="s">
        <v>111</v>
      </c>
      <c r="M65" s="15">
        <v>983</v>
      </c>
      <c r="N65" s="15">
        <v>725</v>
      </c>
      <c r="O65" s="15">
        <v>498300</v>
      </c>
      <c r="P65" s="15">
        <v>272500</v>
      </c>
      <c r="Q65" s="15"/>
    </row>
    <row r="66" spans="1:17" x14ac:dyDescent="0.25">
      <c r="A66" s="11" t="s">
        <v>2337</v>
      </c>
      <c r="B66" s="13" t="s">
        <v>206</v>
      </c>
      <c r="C66" s="10" t="s">
        <v>1937</v>
      </c>
      <c r="D66" s="13" t="s">
        <v>401</v>
      </c>
      <c r="E66" s="14" t="s">
        <v>1936</v>
      </c>
      <c r="F66" s="14" t="s">
        <v>11</v>
      </c>
      <c r="G66" s="13"/>
      <c r="H66" s="14">
        <f>G66+I66</f>
        <v>7</v>
      </c>
      <c r="I66" s="14">
        <v>7</v>
      </c>
      <c r="J66" s="14">
        <v>5</v>
      </c>
      <c r="K66" s="13" t="s">
        <v>2465</v>
      </c>
      <c r="L66" s="15" t="s">
        <v>111</v>
      </c>
      <c r="M66" s="15">
        <v>9757</v>
      </c>
      <c r="N66" s="15">
        <v>7248</v>
      </c>
      <c r="O66" s="15">
        <v>497570</v>
      </c>
      <c r="P66" s="15">
        <v>272480</v>
      </c>
      <c r="Q66" s="15"/>
    </row>
    <row r="67" spans="1:17" x14ac:dyDescent="0.25">
      <c r="A67" s="11" t="s">
        <v>2337</v>
      </c>
      <c r="B67" s="13" t="s">
        <v>46</v>
      </c>
      <c r="C67" s="10" t="s">
        <v>2424</v>
      </c>
      <c r="D67" s="13" t="s">
        <v>1940</v>
      </c>
      <c r="E67" s="14" t="s">
        <v>45</v>
      </c>
      <c r="F67" s="14" t="s">
        <v>11</v>
      </c>
      <c r="G67" s="13"/>
      <c r="H67" s="14">
        <f t="shared" si="2"/>
        <v>4</v>
      </c>
      <c r="I67" s="14">
        <v>4</v>
      </c>
      <c r="J67" s="14">
        <v>3</v>
      </c>
      <c r="K67" s="13" t="s">
        <v>2425</v>
      </c>
      <c r="L67" s="15" t="s">
        <v>398</v>
      </c>
      <c r="M67" s="15">
        <v>9338</v>
      </c>
      <c r="N67" s="15">
        <v>3490</v>
      </c>
      <c r="O67" s="15">
        <v>393380</v>
      </c>
      <c r="P67" s="15">
        <v>634900</v>
      </c>
      <c r="Q67" s="15"/>
    </row>
    <row r="68" spans="1:17" ht="22.5" x14ac:dyDescent="0.25">
      <c r="A68" s="11" t="s">
        <v>2337</v>
      </c>
      <c r="B68" s="13" t="s">
        <v>46</v>
      </c>
      <c r="C68" s="10" t="s">
        <v>2440</v>
      </c>
      <c r="D68" s="13" t="s">
        <v>453</v>
      </c>
      <c r="E68" s="14" t="s">
        <v>45</v>
      </c>
      <c r="F68" s="14" t="s">
        <v>11</v>
      </c>
      <c r="G68" s="13"/>
      <c r="H68" s="14">
        <f>G68+I68</f>
        <v>1</v>
      </c>
      <c r="I68" s="14">
        <v>1</v>
      </c>
      <c r="J68" s="14">
        <v>1</v>
      </c>
      <c r="K68" s="13" t="s">
        <v>322</v>
      </c>
      <c r="L68" s="15" t="s">
        <v>398</v>
      </c>
      <c r="M68" s="15">
        <v>9280</v>
      </c>
      <c r="N68" s="15">
        <v>2931</v>
      </c>
      <c r="O68" s="15">
        <v>392800</v>
      </c>
      <c r="P68" s="15">
        <v>629310</v>
      </c>
      <c r="Q68" s="15"/>
    </row>
    <row r="69" spans="1:17" x14ac:dyDescent="0.25">
      <c r="A69" s="11" t="s">
        <v>2337</v>
      </c>
      <c r="B69" s="13" t="s">
        <v>62</v>
      </c>
      <c r="C69" s="10" t="s">
        <v>61</v>
      </c>
      <c r="D69" s="13" t="s">
        <v>26</v>
      </c>
      <c r="E69" s="13" t="s">
        <v>101</v>
      </c>
      <c r="F69" s="14" t="s">
        <v>11</v>
      </c>
      <c r="G69" s="13"/>
      <c r="H69" s="14">
        <f t="shared" si="2"/>
        <v>1</v>
      </c>
      <c r="I69" s="14">
        <v>1</v>
      </c>
      <c r="J69" s="14">
        <v>1</v>
      </c>
      <c r="K69" s="13" t="s">
        <v>1805</v>
      </c>
      <c r="L69" s="15" t="s">
        <v>111</v>
      </c>
      <c r="M69" s="15">
        <v>3001</v>
      </c>
      <c r="N69" s="15">
        <v>1755</v>
      </c>
      <c r="O69" s="15">
        <v>430010</v>
      </c>
      <c r="P69" s="15">
        <v>217550</v>
      </c>
      <c r="Q69" s="15"/>
    </row>
    <row r="70" spans="1:17" ht="22.5" x14ac:dyDescent="0.25">
      <c r="A70" s="11" t="s">
        <v>2337</v>
      </c>
      <c r="B70" s="13" t="s">
        <v>62</v>
      </c>
      <c r="C70" s="10" t="s">
        <v>354</v>
      </c>
      <c r="D70" s="13" t="s">
        <v>355</v>
      </c>
      <c r="E70" s="13" t="s">
        <v>102</v>
      </c>
      <c r="F70" s="14" t="s">
        <v>11</v>
      </c>
      <c r="G70" s="13"/>
      <c r="H70" s="14">
        <f t="shared" si="2"/>
        <v>2</v>
      </c>
      <c r="I70" s="14">
        <v>2</v>
      </c>
      <c r="J70" s="14">
        <v>2</v>
      </c>
      <c r="K70" s="13" t="s">
        <v>2403</v>
      </c>
      <c r="L70" s="15" t="s">
        <v>110</v>
      </c>
      <c r="M70" s="15">
        <v>5124</v>
      </c>
      <c r="N70" s="15">
        <v>9820</v>
      </c>
      <c r="O70" s="15">
        <v>451240</v>
      </c>
      <c r="P70" s="15">
        <v>198200</v>
      </c>
      <c r="Q70" s="15"/>
    </row>
    <row r="71" spans="1:17" ht="22.5" x14ac:dyDescent="0.25">
      <c r="A71" s="11" t="s">
        <v>2337</v>
      </c>
      <c r="B71" s="13" t="s">
        <v>62</v>
      </c>
      <c r="C71" s="10" t="s">
        <v>1122</v>
      </c>
      <c r="D71" s="13" t="s">
        <v>540</v>
      </c>
      <c r="E71" s="13" t="s">
        <v>102</v>
      </c>
      <c r="F71" s="14" t="s">
        <v>11</v>
      </c>
      <c r="G71" s="13"/>
      <c r="H71" s="14">
        <f t="shared" si="2"/>
        <v>4</v>
      </c>
      <c r="I71" s="14">
        <v>4</v>
      </c>
      <c r="J71" s="14">
        <v>3</v>
      </c>
      <c r="K71" s="13" t="s">
        <v>2483</v>
      </c>
      <c r="L71" s="15" t="s">
        <v>110</v>
      </c>
      <c r="M71" s="15">
        <v>5167</v>
      </c>
      <c r="N71" s="15">
        <v>9830</v>
      </c>
      <c r="O71" s="15">
        <v>451670</v>
      </c>
      <c r="P71" s="15">
        <v>198300</v>
      </c>
      <c r="Q71" s="15"/>
    </row>
    <row r="72" spans="1:17" x14ac:dyDescent="0.25">
      <c r="A72" s="11" t="s">
        <v>2337</v>
      </c>
      <c r="B72" s="13" t="s">
        <v>62</v>
      </c>
      <c r="C72" s="10" t="s">
        <v>2481</v>
      </c>
      <c r="D72" s="13" t="s">
        <v>499</v>
      </c>
      <c r="E72" s="13" t="s">
        <v>101</v>
      </c>
      <c r="F72" s="14" t="s">
        <v>11</v>
      </c>
      <c r="G72" s="13"/>
      <c r="H72" s="14">
        <f>G72+I72</f>
        <v>1</v>
      </c>
      <c r="I72" s="14">
        <v>1</v>
      </c>
      <c r="J72" s="14">
        <v>1</v>
      </c>
      <c r="K72" s="13" t="s">
        <v>507</v>
      </c>
      <c r="L72" s="15" t="s">
        <v>111</v>
      </c>
      <c r="M72" s="15">
        <v>4534</v>
      </c>
      <c r="N72" s="15">
        <v>1027</v>
      </c>
      <c r="O72" s="15">
        <v>445340</v>
      </c>
      <c r="P72" s="15">
        <v>210270</v>
      </c>
      <c r="Q72" s="15"/>
    </row>
    <row r="73" spans="1:17" x14ac:dyDescent="0.25">
      <c r="A73" s="11" t="s">
        <v>2337</v>
      </c>
      <c r="B73" s="13" t="s">
        <v>62</v>
      </c>
      <c r="C73" s="10" t="s">
        <v>600</v>
      </c>
      <c r="D73" s="13" t="s">
        <v>865</v>
      </c>
      <c r="E73" s="13" t="s">
        <v>386</v>
      </c>
      <c r="F73" s="14" t="s">
        <v>11</v>
      </c>
      <c r="G73" s="13">
        <v>1</v>
      </c>
      <c r="H73" s="14">
        <f t="shared" si="2"/>
        <v>4</v>
      </c>
      <c r="I73" s="14">
        <v>3</v>
      </c>
      <c r="J73" s="14">
        <v>4</v>
      </c>
      <c r="K73" s="13" t="s">
        <v>2444</v>
      </c>
      <c r="L73" s="15" t="s">
        <v>110</v>
      </c>
      <c r="M73" s="15">
        <v>5738</v>
      </c>
      <c r="N73" s="15">
        <v>9546</v>
      </c>
      <c r="O73" s="15">
        <v>457380</v>
      </c>
      <c r="P73" s="15">
        <v>195460</v>
      </c>
      <c r="Q73" s="15"/>
    </row>
    <row r="74" spans="1:17" ht="22.5" x14ac:dyDescent="0.25">
      <c r="A74" s="11" t="s">
        <v>2337</v>
      </c>
      <c r="B74" s="13" t="s">
        <v>62</v>
      </c>
      <c r="C74" s="10" t="s">
        <v>600</v>
      </c>
      <c r="D74" s="13" t="s">
        <v>215</v>
      </c>
      <c r="E74" s="13" t="s">
        <v>386</v>
      </c>
      <c r="F74" s="14" t="s">
        <v>11</v>
      </c>
      <c r="G74" s="13"/>
      <c r="H74" s="14">
        <f>G74+I74</f>
        <v>1</v>
      </c>
      <c r="I74" s="14">
        <v>1</v>
      </c>
      <c r="J74" s="14">
        <v>1</v>
      </c>
      <c r="K74" s="13" t="s">
        <v>224</v>
      </c>
      <c r="L74" s="15" t="s">
        <v>110</v>
      </c>
      <c r="M74" s="15">
        <v>570</v>
      </c>
      <c r="N74" s="15">
        <v>957</v>
      </c>
      <c r="O74" s="15">
        <v>457000</v>
      </c>
      <c r="P74" s="15">
        <v>195700</v>
      </c>
      <c r="Q74" s="15"/>
    </row>
    <row r="75" spans="1:17" ht="22.5" x14ac:dyDescent="0.25">
      <c r="A75" s="11" t="s">
        <v>2337</v>
      </c>
      <c r="B75" s="13" t="s">
        <v>62</v>
      </c>
      <c r="C75" s="10" t="s">
        <v>2439</v>
      </c>
      <c r="D75" s="13" t="s">
        <v>20</v>
      </c>
      <c r="E75" s="13" t="s">
        <v>102</v>
      </c>
      <c r="F75" s="14" t="s">
        <v>11</v>
      </c>
      <c r="G75" s="13"/>
      <c r="H75" s="14">
        <f>G75+I75</f>
        <v>1</v>
      </c>
      <c r="I75" s="14">
        <v>1</v>
      </c>
      <c r="J75" s="14">
        <v>1</v>
      </c>
      <c r="K75" s="13" t="s">
        <v>240</v>
      </c>
      <c r="L75" s="15" t="s">
        <v>110</v>
      </c>
      <c r="M75" s="15">
        <v>4885</v>
      </c>
      <c r="N75" s="15">
        <v>9418</v>
      </c>
      <c r="O75" s="15">
        <v>448850</v>
      </c>
      <c r="P75" s="15">
        <v>194180</v>
      </c>
      <c r="Q75" s="15"/>
    </row>
    <row r="76" spans="1:17" x14ac:dyDescent="0.25">
      <c r="A76" s="11" t="s">
        <v>2337</v>
      </c>
      <c r="B76" s="13" t="s">
        <v>62</v>
      </c>
      <c r="C76" s="10" t="s">
        <v>498</v>
      </c>
      <c r="D76" s="13" t="s">
        <v>499</v>
      </c>
      <c r="E76" s="13" t="s">
        <v>101</v>
      </c>
      <c r="F76" s="14" t="s">
        <v>11</v>
      </c>
      <c r="G76" s="13"/>
      <c r="H76" s="14">
        <f t="shared" si="2"/>
        <v>1</v>
      </c>
      <c r="I76" s="14">
        <v>1</v>
      </c>
      <c r="J76" s="14">
        <v>1</v>
      </c>
      <c r="K76" s="13" t="s">
        <v>507</v>
      </c>
      <c r="L76" s="15" t="s">
        <v>111</v>
      </c>
      <c r="M76" s="15">
        <v>4252</v>
      </c>
      <c r="N76" s="15">
        <v>866</v>
      </c>
      <c r="O76" s="15">
        <v>442520</v>
      </c>
      <c r="P76" s="15">
        <v>208660</v>
      </c>
      <c r="Q76" s="15"/>
    </row>
    <row r="77" spans="1:17" ht="22.5" x14ac:dyDescent="0.25">
      <c r="A77" s="11" t="s">
        <v>2337</v>
      </c>
      <c r="B77" s="13" t="s">
        <v>62</v>
      </c>
      <c r="C77" s="10" t="s">
        <v>1590</v>
      </c>
      <c r="D77" s="13" t="s">
        <v>401</v>
      </c>
      <c r="E77" s="13" t="s">
        <v>102</v>
      </c>
      <c r="F77" s="14" t="s">
        <v>11</v>
      </c>
      <c r="G77" s="13"/>
      <c r="H77" s="14">
        <f t="shared" si="2"/>
        <v>4</v>
      </c>
      <c r="I77" s="14">
        <v>4</v>
      </c>
      <c r="J77" s="14">
        <v>3</v>
      </c>
      <c r="K77" s="13" t="s">
        <v>2532</v>
      </c>
      <c r="L77" s="15" t="s">
        <v>110</v>
      </c>
      <c r="M77" s="15">
        <v>3143</v>
      </c>
      <c r="N77" s="15">
        <v>8630</v>
      </c>
      <c r="O77" s="15">
        <v>431430</v>
      </c>
      <c r="P77" s="15">
        <v>186300</v>
      </c>
      <c r="Q77" s="15"/>
    </row>
    <row r="78" spans="1:17" x14ac:dyDescent="0.25">
      <c r="A78" s="11" t="s">
        <v>2337</v>
      </c>
      <c r="B78" s="13" t="s">
        <v>62</v>
      </c>
      <c r="C78" s="10" t="s">
        <v>531</v>
      </c>
      <c r="D78" s="13" t="s">
        <v>8</v>
      </c>
      <c r="E78" s="13" t="s">
        <v>101</v>
      </c>
      <c r="F78" s="14" t="s">
        <v>11</v>
      </c>
      <c r="G78" s="13"/>
      <c r="H78" s="14">
        <f t="shared" si="2"/>
        <v>1</v>
      </c>
      <c r="I78" s="14">
        <v>1</v>
      </c>
      <c r="J78" s="14">
        <v>1</v>
      </c>
      <c r="K78" s="13" t="s">
        <v>252</v>
      </c>
      <c r="L78" s="15" t="s">
        <v>111</v>
      </c>
      <c r="M78" s="15">
        <v>297</v>
      </c>
      <c r="N78" s="15">
        <v>308</v>
      </c>
      <c r="O78" s="15">
        <v>429700</v>
      </c>
      <c r="P78" s="15">
        <v>230800</v>
      </c>
      <c r="Q78" s="15"/>
    </row>
    <row r="79" spans="1:17" ht="22.5" x14ac:dyDescent="0.25">
      <c r="A79" s="11" t="s">
        <v>2337</v>
      </c>
      <c r="B79" s="13" t="s">
        <v>62</v>
      </c>
      <c r="C79" s="10" t="s">
        <v>233</v>
      </c>
      <c r="D79" s="13" t="s">
        <v>26</v>
      </c>
      <c r="E79" s="13" t="s">
        <v>102</v>
      </c>
      <c r="F79" s="14" t="s">
        <v>11</v>
      </c>
      <c r="G79" s="13"/>
      <c r="H79" s="14">
        <f t="shared" si="2"/>
        <v>1</v>
      </c>
      <c r="I79" s="14">
        <v>1</v>
      </c>
      <c r="J79" s="14">
        <v>1</v>
      </c>
      <c r="K79" s="13" t="s">
        <v>1800</v>
      </c>
      <c r="L79" s="15" t="s">
        <v>110</v>
      </c>
      <c r="M79" s="15">
        <v>28090</v>
      </c>
      <c r="N79" s="15">
        <v>85396</v>
      </c>
      <c r="O79" s="15">
        <v>428090</v>
      </c>
      <c r="P79" s="15">
        <v>185396</v>
      </c>
      <c r="Q79" s="15"/>
    </row>
    <row r="80" spans="1:17" x14ac:dyDescent="0.25">
      <c r="A80" s="11" t="s">
        <v>2337</v>
      </c>
      <c r="B80" s="13" t="s">
        <v>22</v>
      </c>
      <c r="C80" s="10" t="s">
        <v>149</v>
      </c>
      <c r="D80" s="13" t="s">
        <v>1278</v>
      </c>
      <c r="E80" s="14" t="s">
        <v>149</v>
      </c>
      <c r="F80" s="14" t="s">
        <v>11</v>
      </c>
      <c r="G80" s="13">
        <v>2</v>
      </c>
      <c r="H80" s="14">
        <f>G80+I80</f>
        <v>2</v>
      </c>
      <c r="J80" s="14">
        <v>2</v>
      </c>
      <c r="K80" s="13" t="s">
        <v>2575</v>
      </c>
      <c r="L80" s="1" t="s">
        <v>119</v>
      </c>
      <c r="M80" s="1">
        <v>35170</v>
      </c>
      <c r="N80" s="1">
        <v>29909</v>
      </c>
      <c r="O80" s="1">
        <v>335170</v>
      </c>
      <c r="P80" s="1">
        <v>129909</v>
      </c>
      <c r="Q80" s="15"/>
    </row>
    <row r="81" spans="1:17" ht="33.75" x14ac:dyDescent="0.25">
      <c r="A81" s="11" t="s">
        <v>2337</v>
      </c>
      <c r="B81" s="13" t="s">
        <v>22</v>
      </c>
      <c r="C81" s="10" t="s">
        <v>147</v>
      </c>
      <c r="D81" s="13" t="s">
        <v>148</v>
      </c>
      <c r="E81" s="14" t="s">
        <v>149</v>
      </c>
      <c r="F81" s="14" t="s">
        <v>11</v>
      </c>
      <c r="G81" s="13"/>
      <c r="H81" s="14">
        <f t="shared" si="2"/>
        <v>9</v>
      </c>
      <c r="I81" s="14">
        <v>9</v>
      </c>
      <c r="J81" s="14">
        <v>5</v>
      </c>
      <c r="K81" s="13" t="s">
        <v>2349</v>
      </c>
      <c r="L81" s="15" t="s">
        <v>119</v>
      </c>
      <c r="M81" s="15">
        <v>423</v>
      </c>
      <c r="N81" s="15">
        <v>403</v>
      </c>
      <c r="O81" s="15">
        <v>342300</v>
      </c>
      <c r="P81" s="15">
        <v>140300</v>
      </c>
      <c r="Q81" s="15"/>
    </row>
    <row r="82" spans="1:17" x14ac:dyDescent="0.25">
      <c r="A82" s="11" t="s">
        <v>2337</v>
      </c>
      <c r="B82" s="13" t="s">
        <v>609</v>
      </c>
      <c r="C82" s="10" t="s">
        <v>2087</v>
      </c>
      <c r="D82" s="13" t="s">
        <v>39</v>
      </c>
      <c r="E82" s="14" t="s">
        <v>1369</v>
      </c>
      <c r="F82" s="14" t="s">
        <v>11</v>
      </c>
      <c r="G82" s="13"/>
      <c r="H82" s="14">
        <f t="shared" si="2"/>
        <v>1</v>
      </c>
      <c r="I82" s="14">
        <v>1</v>
      </c>
      <c r="J82" s="14">
        <v>1</v>
      </c>
      <c r="K82" s="13" t="s">
        <v>507</v>
      </c>
      <c r="L82" s="15" t="s">
        <v>140</v>
      </c>
      <c r="M82" s="15">
        <v>288</v>
      </c>
      <c r="N82" s="15">
        <v>487</v>
      </c>
      <c r="O82" s="15">
        <v>628800</v>
      </c>
      <c r="P82" s="15">
        <v>248700</v>
      </c>
      <c r="Q82" s="15"/>
    </row>
    <row r="83" spans="1:17" x14ac:dyDescent="0.25">
      <c r="A83" s="11" t="s">
        <v>2337</v>
      </c>
      <c r="B83" s="13" t="s">
        <v>699</v>
      </c>
      <c r="C83" s="10" t="s">
        <v>2366</v>
      </c>
      <c r="D83" s="13" t="s">
        <v>1940</v>
      </c>
      <c r="E83" s="14" t="s">
        <v>699</v>
      </c>
      <c r="F83" s="14" t="s">
        <v>11</v>
      </c>
      <c r="G83" s="13"/>
      <c r="H83" s="14">
        <f>G83+I83</f>
        <v>1</v>
      </c>
      <c r="I83" s="14">
        <v>1</v>
      </c>
      <c r="J83" s="14">
        <v>1</v>
      </c>
      <c r="K83" s="13" t="s">
        <v>947</v>
      </c>
      <c r="L83" s="15" t="s">
        <v>108</v>
      </c>
      <c r="M83" s="15">
        <v>45</v>
      </c>
      <c r="N83" s="15">
        <v>715</v>
      </c>
      <c r="O83" s="15">
        <v>504500</v>
      </c>
      <c r="P83" s="15">
        <v>171500</v>
      </c>
      <c r="Q83" s="15"/>
    </row>
    <row r="84" spans="1:17" x14ac:dyDescent="0.25">
      <c r="A84" s="11" t="s">
        <v>2337</v>
      </c>
      <c r="B84" s="13" t="s">
        <v>93</v>
      </c>
      <c r="C84" s="10" t="s">
        <v>2102</v>
      </c>
      <c r="D84" s="13" t="s">
        <v>39</v>
      </c>
      <c r="E84" s="14" t="s">
        <v>2103</v>
      </c>
      <c r="F84" s="14" t="s">
        <v>11</v>
      </c>
      <c r="G84" s="13"/>
      <c r="H84" s="14">
        <f t="shared" si="2"/>
        <v>1</v>
      </c>
      <c r="I84" s="14">
        <v>1</v>
      </c>
      <c r="J84" s="14">
        <v>1</v>
      </c>
      <c r="K84" s="13" t="s">
        <v>507</v>
      </c>
      <c r="L84" s="15" t="s">
        <v>2104</v>
      </c>
      <c r="M84" s="15">
        <v>5570</v>
      </c>
      <c r="N84" s="15">
        <v>9567</v>
      </c>
      <c r="O84" s="15">
        <v>555700</v>
      </c>
      <c r="P84" s="15">
        <v>95670</v>
      </c>
      <c r="Q84" s="15"/>
    </row>
    <row r="85" spans="1:17" x14ac:dyDescent="0.25">
      <c r="A85" s="11" t="s">
        <v>2337</v>
      </c>
      <c r="B85" s="13" t="s">
        <v>93</v>
      </c>
      <c r="C85" s="10" t="s">
        <v>1372</v>
      </c>
      <c r="D85" s="13" t="s">
        <v>158</v>
      </c>
      <c r="E85" s="14" t="s">
        <v>112</v>
      </c>
      <c r="F85" s="14" t="s">
        <v>11</v>
      </c>
      <c r="G85" s="13"/>
      <c r="H85" s="14">
        <f t="shared" si="2"/>
        <v>1</v>
      </c>
      <c r="I85" s="14">
        <v>1</v>
      </c>
      <c r="J85" s="14">
        <v>1</v>
      </c>
      <c r="K85" s="13" t="s">
        <v>1029</v>
      </c>
      <c r="L85" s="15" t="s">
        <v>108</v>
      </c>
      <c r="M85" s="15">
        <v>94</v>
      </c>
      <c r="N85" s="15">
        <v>89</v>
      </c>
      <c r="O85" s="15">
        <v>509400</v>
      </c>
      <c r="P85" s="15">
        <v>108900</v>
      </c>
      <c r="Q85" s="15"/>
    </row>
    <row r="86" spans="1:17" x14ac:dyDescent="0.25">
      <c r="A86" s="11" t="s">
        <v>2337</v>
      </c>
      <c r="B86" s="13" t="s">
        <v>93</v>
      </c>
      <c r="C86" s="10" t="s">
        <v>1372</v>
      </c>
      <c r="D86" s="13" t="s">
        <v>39</v>
      </c>
      <c r="E86" s="14" t="s">
        <v>112</v>
      </c>
      <c r="F86" s="14" t="s">
        <v>11</v>
      </c>
      <c r="G86" s="13"/>
      <c r="H86" s="14">
        <f>G86+I86</f>
        <v>4</v>
      </c>
      <c r="I86" s="14">
        <v>4</v>
      </c>
      <c r="J86" s="14">
        <v>3</v>
      </c>
      <c r="K86" s="13" t="s">
        <v>2531</v>
      </c>
      <c r="L86" s="15" t="s">
        <v>108</v>
      </c>
      <c r="M86" s="15">
        <v>915</v>
      </c>
      <c r="N86" s="15">
        <v>908</v>
      </c>
      <c r="O86" s="15">
        <v>509150</v>
      </c>
      <c r="P86" s="15">
        <v>109080</v>
      </c>
      <c r="Q86" s="15"/>
    </row>
    <row r="87" spans="1:17" x14ac:dyDescent="0.25">
      <c r="A87" s="11" t="s">
        <v>2337</v>
      </c>
      <c r="B87" s="13" t="s">
        <v>93</v>
      </c>
      <c r="C87" s="10" t="s">
        <v>159</v>
      </c>
      <c r="D87" s="13" t="s">
        <v>158</v>
      </c>
      <c r="E87" s="14" t="s">
        <v>112</v>
      </c>
      <c r="F87" s="14" t="s">
        <v>11</v>
      </c>
      <c r="G87" s="13"/>
      <c r="H87" s="14">
        <f t="shared" si="2"/>
        <v>1</v>
      </c>
      <c r="I87" s="14">
        <v>1</v>
      </c>
      <c r="J87" s="14">
        <v>1</v>
      </c>
      <c r="K87" s="13" t="s">
        <v>1029</v>
      </c>
      <c r="L87" s="15" t="s">
        <v>108</v>
      </c>
      <c r="M87" s="15">
        <v>1142</v>
      </c>
      <c r="N87" s="15">
        <v>828</v>
      </c>
      <c r="O87" s="15">
        <v>511420</v>
      </c>
      <c r="P87" s="15">
        <v>108280</v>
      </c>
      <c r="Q87" s="15"/>
    </row>
    <row r="88" spans="1:17" x14ac:dyDescent="0.25">
      <c r="A88" s="11" t="s">
        <v>2337</v>
      </c>
      <c r="B88" s="13" t="s">
        <v>93</v>
      </c>
      <c r="C88" s="10" t="s">
        <v>1785</v>
      </c>
      <c r="D88" s="13" t="s">
        <v>158</v>
      </c>
      <c r="E88" s="14" t="s">
        <v>112</v>
      </c>
      <c r="F88" s="14" t="s">
        <v>11</v>
      </c>
      <c r="G88" s="13"/>
      <c r="H88" s="14">
        <f t="shared" si="2"/>
        <v>1</v>
      </c>
      <c r="I88" s="14">
        <v>1</v>
      </c>
      <c r="J88" s="14">
        <v>1</v>
      </c>
      <c r="K88" s="13" t="s">
        <v>1029</v>
      </c>
      <c r="L88" s="15" t="s">
        <v>108</v>
      </c>
      <c r="M88" s="15">
        <v>82</v>
      </c>
      <c r="N88" s="15">
        <v>100</v>
      </c>
      <c r="O88" s="15">
        <v>508200</v>
      </c>
      <c r="P88" s="15">
        <v>110000</v>
      </c>
      <c r="Q88" s="15"/>
    </row>
    <row r="89" spans="1:17" x14ac:dyDescent="0.25">
      <c r="A89" s="11" t="s">
        <v>2337</v>
      </c>
      <c r="B89" s="13" t="s">
        <v>93</v>
      </c>
      <c r="C89" s="10" t="s">
        <v>2371</v>
      </c>
      <c r="D89" s="13" t="s">
        <v>158</v>
      </c>
      <c r="E89" s="14" t="s">
        <v>112</v>
      </c>
      <c r="F89" s="14" t="s">
        <v>11</v>
      </c>
      <c r="G89" s="13"/>
      <c r="H89" s="14">
        <f>G89+I89</f>
        <v>1</v>
      </c>
      <c r="I89" s="14">
        <v>1</v>
      </c>
      <c r="J89" s="14">
        <v>1</v>
      </c>
      <c r="K89" s="13" t="s">
        <v>1029</v>
      </c>
      <c r="L89" s="15" t="s">
        <v>110</v>
      </c>
      <c r="M89" s="15">
        <v>932</v>
      </c>
      <c r="N89" s="15">
        <v>93</v>
      </c>
      <c r="O89" s="15">
        <v>493200</v>
      </c>
      <c r="P89" s="15">
        <v>109300</v>
      </c>
      <c r="Q89" s="15"/>
    </row>
    <row r="90" spans="1:17" x14ac:dyDescent="0.25">
      <c r="A90" s="11" t="s">
        <v>2337</v>
      </c>
      <c r="B90" s="13" t="s">
        <v>24</v>
      </c>
      <c r="C90" s="10" t="s">
        <v>589</v>
      </c>
      <c r="D90" s="13" t="s">
        <v>90</v>
      </c>
      <c r="E90" s="14" t="s">
        <v>1196</v>
      </c>
      <c r="F90" s="14" t="s">
        <v>11</v>
      </c>
      <c r="G90" s="13"/>
      <c r="H90" s="14">
        <f t="shared" si="2"/>
        <v>1</v>
      </c>
      <c r="I90" s="14">
        <v>1</v>
      </c>
      <c r="J90" s="14">
        <v>1</v>
      </c>
      <c r="K90" s="13" t="s">
        <v>752</v>
      </c>
      <c r="L90" s="15" t="s">
        <v>110</v>
      </c>
      <c r="M90" s="15">
        <v>175</v>
      </c>
      <c r="N90" s="15">
        <v>423</v>
      </c>
      <c r="O90" s="15">
        <v>417500</v>
      </c>
      <c r="P90" s="15">
        <v>142300</v>
      </c>
      <c r="Q90" s="15"/>
    </row>
    <row r="91" spans="1:17" ht="22.5" x14ac:dyDescent="0.25">
      <c r="A91" s="11" t="s">
        <v>2337</v>
      </c>
      <c r="B91" s="13" t="s">
        <v>24</v>
      </c>
      <c r="C91" s="10" t="s">
        <v>23</v>
      </c>
      <c r="D91" s="13" t="s">
        <v>124</v>
      </c>
      <c r="E91" s="14" t="s">
        <v>21</v>
      </c>
      <c r="F91" s="14" t="s">
        <v>11</v>
      </c>
      <c r="G91" s="13"/>
      <c r="H91" s="14">
        <f t="shared" si="2"/>
        <v>6</v>
      </c>
      <c r="I91" s="14">
        <v>6</v>
      </c>
      <c r="J91" s="14">
        <v>4</v>
      </c>
      <c r="K91" s="13" t="s">
        <v>2587</v>
      </c>
      <c r="L91" s="15" t="s">
        <v>110</v>
      </c>
      <c r="M91" s="15">
        <v>1026</v>
      </c>
      <c r="N91" s="15">
        <v>6996</v>
      </c>
      <c r="O91" s="15">
        <v>410260</v>
      </c>
      <c r="P91" s="15">
        <v>169960</v>
      </c>
      <c r="Q91" s="15"/>
    </row>
    <row r="92" spans="1:17" x14ac:dyDescent="0.25">
      <c r="A92" s="11" t="s">
        <v>2337</v>
      </c>
      <c r="B92" s="13" t="s">
        <v>24</v>
      </c>
      <c r="C92" s="10" t="s">
        <v>2471</v>
      </c>
      <c r="D92" s="13" t="s">
        <v>1198</v>
      </c>
      <c r="E92" s="14" t="s">
        <v>21</v>
      </c>
      <c r="F92" s="14" t="s">
        <v>11</v>
      </c>
      <c r="G92" s="13"/>
      <c r="H92" s="14">
        <f>G92+I92</f>
        <v>2</v>
      </c>
      <c r="I92" s="14">
        <v>2</v>
      </c>
      <c r="J92" s="14">
        <v>1</v>
      </c>
      <c r="K92" s="13" t="s">
        <v>486</v>
      </c>
      <c r="L92" s="15" t="s">
        <v>119</v>
      </c>
      <c r="M92" s="15">
        <v>94203</v>
      </c>
      <c r="N92" s="15">
        <v>46771</v>
      </c>
      <c r="O92" s="15">
        <v>394203</v>
      </c>
      <c r="P92" s="15">
        <v>146771</v>
      </c>
      <c r="Q92" s="15"/>
    </row>
    <row r="93" spans="1:17" x14ac:dyDescent="0.25">
      <c r="A93" s="11" t="s">
        <v>2337</v>
      </c>
      <c r="B93" s="13" t="s">
        <v>24</v>
      </c>
      <c r="C93" s="10" t="s">
        <v>1340</v>
      </c>
      <c r="D93" s="13" t="s">
        <v>1198</v>
      </c>
      <c r="E93" s="14" t="s">
        <v>1839</v>
      </c>
      <c r="F93" s="14" t="s">
        <v>11</v>
      </c>
      <c r="G93" s="13"/>
      <c r="H93" s="14">
        <f t="shared" ref="H93:H118" si="3">G93+I93</f>
        <v>7</v>
      </c>
      <c r="I93" s="14">
        <v>7</v>
      </c>
      <c r="J93" s="14">
        <v>5</v>
      </c>
      <c r="K93" s="13" t="s">
        <v>2586</v>
      </c>
      <c r="L93" s="15" t="s">
        <v>110</v>
      </c>
      <c r="M93" s="15">
        <v>7995</v>
      </c>
      <c r="N93" s="15">
        <v>8199</v>
      </c>
      <c r="O93" s="15">
        <v>379950</v>
      </c>
      <c r="P93" s="15">
        <v>81990</v>
      </c>
      <c r="Q93" s="15"/>
    </row>
    <row r="94" spans="1:17" x14ac:dyDescent="0.25">
      <c r="A94" s="11" t="s">
        <v>2337</v>
      </c>
      <c r="B94" s="13" t="s">
        <v>24</v>
      </c>
      <c r="C94" s="10" t="s">
        <v>15</v>
      </c>
      <c r="D94" s="13" t="s">
        <v>18</v>
      </c>
      <c r="E94" s="14" t="s">
        <v>21</v>
      </c>
      <c r="F94" s="14" t="s">
        <v>11</v>
      </c>
      <c r="G94" s="13"/>
      <c r="H94" s="14">
        <f t="shared" si="3"/>
        <v>6</v>
      </c>
      <c r="I94" s="14">
        <v>6</v>
      </c>
      <c r="J94" s="14">
        <v>3</v>
      </c>
      <c r="K94" s="13" t="s">
        <v>2469</v>
      </c>
      <c r="L94" s="15" t="s">
        <v>110</v>
      </c>
      <c r="M94" s="15">
        <v>1501</v>
      </c>
      <c r="N94" s="15">
        <v>4375</v>
      </c>
      <c r="O94" s="15">
        <v>415010</v>
      </c>
      <c r="P94" s="15">
        <v>143750</v>
      </c>
      <c r="Q94" s="15"/>
    </row>
    <row r="95" spans="1:17" x14ac:dyDescent="0.25">
      <c r="A95" s="11" t="s">
        <v>2337</v>
      </c>
      <c r="B95" s="13" t="s">
        <v>24</v>
      </c>
      <c r="C95" s="10" t="s">
        <v>997</v>
      </c>
      <c r="D95" s="13" t="s">
        <v>26</v>
      </c>
      <c r="E95" s="14" t="s">
        <v>21</v>
      </c>
      <c r="F95" s="14" t="s">
        <v>11</v>
      </c>
      <c r="G95" s="13"/>
      <c r="H95" s="14">
        <f t="shared" si="3"/>
        <v>1</v>
      </c>
      <c r="I95" s="14">
        <v>1</v>
      </c>
      <c r="J95" s="14">
        <v>1</v>
      </c>
      <c r="K95" s="13" t="s">
        <v>476</v>
      </c>
      <c r="L95" s="15" t="s">
        <v>110</v>
      </c>
      <c r="M95" s="15">
        <v>1918</v>
      </c>
      <c r="N95" s="15">
        <v>3247</v>
      </c>
      <c r="O95" s="15">
        <v>419180</v>
      </c>
      <c r="P95" s="15">
        <v>132470</v>
      </c>
      <c r="Q95" s="15"/>
    </row>
    <row r="96" spans="1:17" ht="22.5" x14ac:dyDescent="0.25">
      <c r="A96" s="11" t="s">
        <v>2337</v>
      </c>
      <c r="B96" s="13" t="s">
        <v>24</v>
      </c>
      <c r="C96" s="10" t="s">
        <v>88</v>
      </c>
      <c r="D96" s="13" t="s">
        <v>19</v>
      </c>
      <c r="E96" s="14" t="s">
        <v>21</v>
      </c>
      <c r="F96" s="14" t="s">
        <v>11</v>
      </c>
      <c r="G96" s="13"/>
      <c r="H96" s="14">
        <f t="shared" si="3"/>
        <v>3</v>
      </c>
      <c r="I96" s="14">
        <v>3</v>
      </c>
      <c r="J96" s="14">
        <v>3</v>
      </c>
      <c r="K96" s="13" t="s">
        <v>2360</v>
      </c>
      <c r="L96" s="15" t="s">
        <v>110</v>
      </c>
      <c r="M96" s="15">
        <v>1210</v>
      </c>
      <c r="N96" s="15">
        <v>6365</v>
      </c>
      <c r="O96" s="15">
        <v>412100</v>
      </c>
      <c r="P96" s="15">
        <v>163650</v>
      </c>
      <c r="Q96" s="15"/>
    </row>
    <row r="97" spans="1:17" ht="22.5" x14ac:dyDescent="0.25">
      <c r="A97" s="11" t="s">
        <v>2337</v>
      </c>
      <c r="B97" s="13" t="s">
        <v>24</v>
      </c>
      <c r="C97" s="10" t="s">
        <v>2441</v>
      </c>
      <c r="D97" s="13" t="s">
        <v>125</v>
      </c>
      <c r="E97" s="14" t="s">
        <v>21</v>
      </c>
      <c r="F97" s="14" t="s">
        <v>11</v>
      </c>
      <c r="G97" s="13"/>
      <c r="H97" s="14">
        <f>G97+I97</f>
        <v>1</v>
      </c>
      <c r="I97" s="14">
        <v>1</v>
      </c>
      <c r="J97" s="14">
        <v>1</v>
      </c>
      <c r="K97" s="13" t="s">
        <v>322</v>
      </c>
      <c r="L97" s="15" t="s">
        <v>110</v>
      </c>
      <c r="M97" s="15">
        <v>1837</v>
      </c>
      <c r="N97" s="15">
        <v>6866</v>
      </c>
      <c r="O97" s="15">
        <v>418370</v>
      </c>
      <c r="P97" s="15">
        <v>168660</v>
      </c>
      <c r="Q97" s="15"/>
    </row>
    <row r="98" spans="1:17" ht="25.5" x14ac:dyDescent="0.25">
      <c r="A98" s="11" t="s">
        <v>2337</v>
      </c>
      <c r="B98" s="13" t="s">
        <v>24</v>
      </c>
      <c r="C98" s="17" t="s">
        <v>2267</v>
      </c>
      <c r="D98" s="13" t="s">
        <v>540</v>
      </c>
      <c r="E98" s="14" t="s">
        <v>21</v>
      </c>
      <c r="F98" s="14" t="s">
        <v>11</v>
      </c>
      <c r="G98" s="13"/>
      <c r="H98" s="14">
        <f t="shared" si="3"/>
        <v>2</v>
      </c>
      <c r="I98" s="14">
        <v>2</v>
      </c>
      <c r="J98" s="14">
        <v>2</v>
      </c>
      <c r="K98" s="13" t="s">
        <v>503</v>
      </c>
      <c r="L98" s="15" t="s">
        <v>110</v>
      </c>
      <c r="M98" s="15">
        <v>116</v>
      </c>
      <c r="N98" s="15">
        <v>413</v>
      </c>
      <c r="O98" s="15">
        <v>411600</v>
      </c>
      <c r="P98" s="15">
        <v>141300</v>
      </c>
      <c r="Q98" s="15"/>
    </row>
    <row r="99" spans="1:17" ht="22.5" x14ac:dyDescent="0.25">
      <c r="A99" s="11" t="s">
        <v>2337</v>
      </c>
      <c r="B99" s="13" t="s">
        <v>24</v>
      </c>
      <c r="C99" s="10" t="s">
        <v>122</v>
      </c>
      <c r="D99" s="13" t="s">
        <v>123</v>
      </c>
      <c r="E99" s="14" t="s">
        <v>21</v>
      </c>
      <c r="F99" s="14" t="s">
        <v>11</v>
      </c>
      <c r="G99" s="13"/>
      <c r="H99" s="14">
        <f t="shared" si="3"/>
        <v>2</v>
      </c>
      <c r="I99" s="14">
        <v>2</v>
      </c>
      <c r="J99" s="14">
        <v>2</v>
      </c>
      <c r="K99" s="13" t="s">
        <v>2477</v>
      </c>
      <c r="L99" s="15" t="s">
        <v>110</v>
      </c>
      <c r="M99" s="15">
        <v>1184</v>
      </c>
      <c r="N99" s="15">
        <v>6802</v>
      </c>
      <c r="O99" s="15">
        <v>411840</v>
      </c>
      <c r="P99" s="15">
        <v>168020</v>
      </c>
      <c r="Q99" s="15"/>
    </row>
    <row r="100" spans="1:17" ht="22.5" x14ac:dyDescent="0.25">
      <c r="A100" s="11" t="s">
        <v>2337</v>
      </c>
      <c r="B100" s="13" t="s">
        <v>24</v>
      </c>
      <c r="C100" s="10" t="s">
        <v>27</v>
      </c>
      <c r="D100" s="13" t="s">
        <v>125</v>
      </c>
      <c r="E100" s="14" t="s">
        <v>21</v>
      </c>
      <c r="F100" s="14" t="s">
        <v>11</v>
      </c>
      <c r="G100" s="13"/>
      <c r="H100" s="14">
        <f t="shared" si="3"/>
        <v>6</v>
      </c>
      <c r="I100" s="14">
        <v>6</v>
      </c>
      <c r="J100" s="14">
        <v>4</v>
      </c>
      <c r="K100" s="13" t="s">
        <v>2585</v>
      </c>
      <c r="L100" s="15" t="s">
        <v>110</v>
      </c>
      <c r="M100" s="15">
        <v>1001</v>
      </c>
      <c r="N100" s="15">
        <v>6853</v>
      </c>
      <c r="O100" s="15">
        <v>410010</v>
      </c>
      <c r="P100" s="15">
        <v>168530</v>
      </c>
      <c r="Q100" s="15"/>
    </row>
    <row r="101" spans="1:17" ht="22.5" x14ac:dyDescent="0.25">
      <c r="A101" s="11" t="s">
        <v>2337</v>
      </c>
      <c r="B101" s="13" t="s">
        <v>24</v>
      </c>
      <c r="C101" s="10" t="s">
        <v>612</v>
      </c>
      <c r="D101" s="13" t="s">
        <v>540</v>
      </c>
      <c r="E101" s="14" t="s">
        <v>21</v>
      </c>
      <c r="F101" s="14" t="s">
        <v>11</v>
      </c>
      <c r="G101" s="13"/>
      <c r="H101" s="14">
        <f t="shared" si="3"/>
        <v>1</v>
      </c>
      <c r="I101" s="14">
        <v>1</v>
      </c>
      <c r="J101" s="14">
        <v>1</v>
      </c>
      <c r="K101" s="13" t="s">
        <v>396</v>
      </c>
      <c r="L101" s="15" t="s">
        <v>110</v>
      </c>
      <c r="M101" s="15">
        <v>217</v>
      </c>
      <c r="N101" s="15">
        <v>520</v>
      </c>
      <c r="O101" s="15">
        <v>421700</v>
      </c>
      <c r="P101" s="15">
        <v>152000</v>
      </c>
      <c r="Q101" s="15"/>
    </row>
    <row r="102" spans="1:17" x14ac:dyDescent="0.25">
      <c r="A102" s="11" t="s">
        <v>2337</v>
      </c>
      <c r="B102" s="13" t="s">
        <v>24</v>
      </c>
      <c r="C102" s="10" t="s">
        <v>60</v>
      </c>
      <c r="D102" s="13" t="s">
        <v>26</v>
      </c>
      <c r="E102" s="14" t="s">
        <v>21</v>
      </c>
      <c r="F102" s="14" t="s">
        <v>11</v>
      </c>
      <c r="G102" s="13"/>
      <c r="H102" s="14">
        <f t="shared" si="3"/>
        <v>2</v>
      </c>
      <c r="I102" s="14">
        <v>2</v>
      </c>
      <c r="J102" s="14">
        <v>2</v>
      </c>
      <c r="K102" s="13" t="s">
        <v>2357</v>
      </c>
      <c r="L102" s="15" t="s">
        <v>110</v>
      </c>
      <c r="M102" s="15">
        <v>900</v>
      </c>
      <c r="N102" s="15">
        <v>6927</v>
      </c>
      <c r="O102" s="15">
        <v>409000</v>
      </c>
      <c r="P102" s="15">
        <v>169270</v>
      </c>
      <c r="Q102" s="15"/>
    </row>
    <row r="103" spans="1:17" ht="22.5" x14ac:dyDescent="0.25">
      <c r="A103" s="11" t="s">
        <v>2337</v>
      </c>
      <c r="B103" s="13" t="s">
        <v>24</v>
      </c>
      <c r="C103" s="10" t="s">
        <v>13</v>
      </c>
      <c r="D103" s="13" t="s">
        <v>511</v>
      </c>
      <c r="E103" s="14" t="s">
        <v>21</v>
      </c>
      <c r="F103" s="14" t="s">
        <v>11</v>
      </c>
      <c r="G103" s="13"/>
      <c r="H103" s="14">
        <f t="shared" si="3"/>
        <v>38</v>
      </c>
      <c r="I103" s="14">
        <v>38</v>
      </c>
      <c r="J103" s="14">
        <v>15</v>
      </c>
      <c r="K103" s="13" t="s">
        <v>2589</v>
      </c>
      <c r="L103" s="15" t="s">
        <v>110</v>
      </c>
      <c r="M103" s="15">
        <v>1224</v>
      </c>
      <c r="N103" s="15">
        <v>4128</v>
      </c>
      <c r="O103" s="15">
        <v>412240</v>
      </c>
      <c r="P103" s="15">
        <v>141280</v>
      </c>
      <c r="Q103" s="15"/>
    </row>
    <row r="104" spans="1:17" x14ac:dyDescent="0.25">
      <c r="A104" s="11" t="s">
        <v>2337</v>
      </c>
      <c r="B104" s="13" t="s">
        <v>24</v>
      </c>
      <c r="C104" s="10" t="s">
        <v>1188</v>
      </c>
      <c r="D104" s="13" t="s">
        <v>1189</v>
      </c>
      <c r="E104" s="14" t="s">
        <v>21</v>
      </c>
      <c r="F104" s="14" t="s">
        <v>11</v>
      </c>
      <c r="G104" s="13"/>
      <c r="H104" s="14">
        <f t="shared" si="3"/>
        <v>2</v>
      </c>
      <c r="I104" s="14">
        <v>2</v>
      </c>
      <c r="J104" s="14">
        <v>1</v>
      </c>
      <c r="K104" s="13" t="s">
        <v>309</v>
      </c>
      <c r="L104" s="15" t="s">
        <v>110</v>
      </c>
      <c r="M104" s="15">
        <v>122</v>
      </c>
      <c r="N104" s="15">
        <v>412</v>
      </c>
      <c r="O104" s="15">
        <v>412200</v>
      </c>
      <c r="P104" s="15">
        <v>141200</v>
      </c>
      <c r="Q104" s="15"/>
    </row>
    <row r="105" spans="1:17" x14ac:dyDescent="0.25">
      <c r="A105" s="11" t="s">
        <v>2337</v>
      </c>
      <c r="B105" s="13" t="s">
        <v>24</v>
      </c>
      <c r="C105" s="10" t="s">
        <v>25</v>
      </c>
      <c r="D105" s="13" t="s">
        <v>26</v>
      </c>
      <c r="E105" s="14" t="s">
        <v>21</v>
      </c>
      <c r="F105" s="14" t="s">
        <v>11</v>
      </c>
      <c r="G105" s="13"/>
      <c r="H105" s="14">
        <f t="shared" si="3"/>
        <v>5</v>
      </c>
      <c r="I105" s="14">
        <v>5</v>
      </c>
      <c r="J105" s="14">
        <v>4</v>
      </c>
      <c r="K105" s="13" t="s">
        <v>2494</v>
      </c>
      <c r="L105" s="15" t="s">
        <v>110</v>
      </c>
      <c r="M105" s="15">
        <v>1046</v>
      </c>
      <c r="N105" s="15">
        <v>6774</v>
      </c>
      <c r="O105" s="15">
        <v>410460</v>
      </c>
      <c r="P105" s="15">
        <v>167740</v>
      </c>
      <c r="Q105" s="15"/>
    </row>
    <row r="106" spans="1:17" x14ac:dyDescent="0.25">
      <c r="A106" s="11" t="s">
        <v>2337</v>
      </c>
      <c r="B106" s="13" t="s">
        <v>24</v>
      </c>
      <c r="C106" s="10" t="s">
        <v>1154</v>
      </c>
      <c r="D106" s="13" t="s">
        <v>121</v>
      </c>
      <c r="E106" s="14" t="s">
        <v>21</v>
      </c>
      <c r="F106" s="14" t="s">
        <v>11</v>
      </c>
      <c r="G106" s="13"/>
      <c r="H106" s="14">
        <f t="shared" si="3"/>
        <v>2</v>
      </c>
      <c r="I106" s="14">
        <v>2</v>
      </c>
      <c r="J106" s="14">
        <v>2</v>
      </c>
      <c r="K106" s="13" t="s">
        <v>2075</v>
      </c>
      <c r="L106" s="15" t="s">
        <v>110</v>
      </c>
      <c r="M106" s="15">
        <v>1196</v>
      </c>
      <c r="N106" s="15">
        <v>6835</v>
      </c>
      <c r="O106" s="15">
        <v>411960</v>
      </c>
      <c r="P106" s="15">
        <v>168350</v>
      </c>
      <c r="Q106" s="15"/>
    </row>
    <row r="107" spans="1:17" ht="22.5" x14ac:dyDescent="0.25">
      <c r="A107" s="11" t="s">
        <v>2337</v>
      </c>
      <c r="B107" s="13" t="s">
        <v>24</v>
      </c>
      <c r="C107" s="10" t="s">
        <v>2367</v>
      </c>
      <c r="D107" s="13" t="s">
        <v>1932</v>
      </c>
      <c r="E107" s="14" t="s">
        <v>21</v>
      </c>
      <c r="F107" s="14" t="s">
        <v>11</v>
      </c>
      <c r="G107" s="13"/>
      <c r="H107" s="14">
        <f t="shared" si="3"/>
        <v>2</v>
      </c>
      <c r="I107" s="14">
        <v>2</v>
      </c>
      <c r="J107" s="14">
        <v>1</v>
      </c>
      <c r="K107" s="13" t="s">
        <v>958</v>
      </c>
      <c r="L107" s="15" t="s">
        <v>119</v>
      </c>
      <c r="M107" s="15">
        <v>803</v>
      </c>
      <c r="N107" s="15">
        <v>346</v>
      </c>
      <c r="O107" s="15">
        <v>380300</v>
      </c>
      <c r="P107" s="15">
        <v>134600</v>
      </c>
      <c r="Q107" s="15"/>
    </row>
    <row r="108" spans="1:17" ht="22.5" x14ac:dyDescent="0.25">
      <c r="A108" s="11" t="s">
        <v>2337</v>
      </c>
      <c r="B108" s="13" t="s">
        <v>24</v>
      </c>
      <c r="C108" s="10" t="s">
        <v>28</v>
      </c>
      <c r="D108" s="13" t="s">
        <v>19</v>
      </c>
      <c r="E108" s="14" t="s">
        <v>21</v>
      </c>
      <c r="F108" s="14" t="s">
        <v>11</v>
      </c>
      <c r="G108" s="13"/>
      <c r="H108" s="14">
        <f t="shared" si="3"/>
        <v>3</v>
      </c>
      <c r="I108" s="14">
        <v>3</v>
      </c>
      <c r="J108" s="14">
        <v>2</v>
      </c>
      <c r="K108" s="13" t="s">
        <v>2544</v>
      </c>
      <c r="L108" s="15" t="s">
        <v>110</v>
      </c>
      <c r="M108" s="15">
        <v>86</v>
      </c>
      <c r="N108" s="15">
        <v>714</v>
      </c>
      <c r="O108" s="15">
        <v>408600</v>
      </c>
      <c r="P108" s="15">
        <v>171400</v>
      </c>
      <c r="Q108" s="15"/>
    </row>
    <row r="109" spans="1:17" x14ac:dyDescent="0.25">
      <c r="A109" s="11" t="s">
        <v>2337</v>
      </c>
      <c r="B109" s="13" t="s">
        <v>24</v>
      </c>
      <c r="C109" s="10" t="s">
        <v>14</v>
      </c>
      <c r="D109" s="13" t="s">
        <v>17</v>
      </c>
      <c r="E109" s="14" t="s">
        <v>21</v>
      </c>
      <c r="F109" s="14" t="s">
        <v>11</v>
      </c>
      <c r="G109" s="13"/>
      <c r="H109" s="14">
        <f t="shared" si="3"/>
        <v>2</v>
      </c>
      <c r="I109" s="14">
        <v>2</v>
      </c>
      <c r="J109" s="14">
        <v>2</v>
      </c>
      <c r="K109" s="13" t="s">
        <v>2431</v>
      </c>
      <c r="L109" s="15" t="s">
        <v>110</v>
      </c>
      <c r="M109" s="15">
        <v>1506</v>
      </c>
      <c r="N109" s="15">
        <v>4337</v>
      </c>
      <c r="O109" s="15">
        <v>415060</v>
      </c>
      <c r="P109" s="15">
        <v>143370</v>
      </c>
      <c r="Q109" s="15"/>
    </row>
    <row r="110" spans="1:17" ht="22.5" x14ac:dyDescent="0.25">
      <c r="A110" s="11" t="s">
        <v>2337</v>
      </c>
      <c r="B110" s="13" t="s">
        <v>139</v>
      </c>
      <c r="C110" s="10" t="s">
        <v>454</v>
      </c>
      <c r="D110" s="13" t="s">
        <v>2416</v>
      </c>
      <c r="E110" s="14" t="s">
        <v>455</v>
      </c>
      <c r="F110" s="14" t="s">
        <v>11</v>
      </c>
      <c r="G110" s="13"/>
      <c r="H110" s="14">
        <f t="shared" si="3"/>
        <v>4</v>
      </c>
      <c r="I110" s="14">
        <v>4</v>
      </c>
      <c r="J110" s="14">
        <v>3</v>
      </c>
      <c r="K110" s="13" t="s">
        <v>2429</v>
      </c>
      <c r="L110" s="15" t="s">
        <v>137</v>
      </c>
      <c r="M110" s="15">
        <v>99</v>
      </c>
      <c r="N110" s="15">
        <v>657</v>
      </c>
      <c r="O110" s="15">
        <v>509900</v>
      </c>
      <c r="P110" s="15">
        <v>465700</v>
      </c>
      <c r="Q110" s="15"/>
    </row>
    <row r="111" spans="1:17" ht="22.5" x14ac:dyDescent="0.25">
      <c r="A111" s="11" t="s">
        <v>2337</v>
      </c>
      <c r="B111" s="13" t="s">
        <v>269</v>
      </c>
      <c r="C111" s="10" t="s">
        <v>439</v>
      </c>
      <c r="D111" s="13" t="s">
        <v>440</v>
      </c>
      <c r="E111" s="14" t="s">
        <v>437</v>
      </c>
      <c r="F111" s="14" t="s">
        <v>11</v>
      </c>
      <c r="G111" s="13"/>
      <c r="H111" s="14">
        <f t="shared" si="3"/>
        <v>3</v>
      </c>
      <c r="I111" s="14">
        <v>3</v>
      </c>
      <c r="J111" s="14">
        <v>3</v>
      </c>
      <c r="K111" s="13" t="s">
        <v>2582</v>
      </c>
      <c r="L111" s="15" t="s">
        <v>271</v>
      </c>
      <c r="M111" s="15">
        <v>8804</v>
      </c>
      <c r="N111" s="15">
        <v>6688</v>
      </c>
      <c r="O111" s="15">
        <v>488040</v>
      </c>
      <c r="P111" s="15">
        <v>466880</v>
      </c>
      <c r="Q111" s="15"/>
    </row>
    <row r="112" spans="1:17" ht="22.5" x14ac:dyDescent="0.25">
      <c r="A112" s="11" t="s">
        <v>2337</v>
      </c>
      <c r="B112" s="13" t="s">
        <v>269</v>
      </c>
      <c r="C112" s="10" t="s">
        <v>2442</v>
      </c>
      <c r="D112" s="13" t="s">
        <v>2443</v>
      </c>
      <c r="E112" s="13" t="s">
        <v>515</v>
      </c>
      <c r="F112" s="14" t="s">
        <v>11</v>
      </c>
      <c r="G112" s="13"/>
      <c r="H112" s="14">
        <f>G112+I112</f>
        <v>1</v>
      </c>
      <c r="I112" s="14">
        <v>1</v>
      </c>
      <c r="J112" s="14">
        <v>1</v>
      </c>
      <c r="K112" s="13" t="s">
        <v>252</v>
      </c>
      <c r="L112" s="15" t="s">
        <v>271</v>
      </c>
      <c r="M112" s="15">
        <v>3907</v>
      </c>
      <c r="N112" s="15">
        <v>6659</v>
      </c>
      <c r="O112" s="15">
        <v>439070</v>
      </c>
      <c r="P112" s="15">
        <v>466590</v>
      </c>
      <c r="Q112" s="15"/>
    </row>
    <row r="113" spans="1:17" x14ac:dyDescent="0.25">
      <c r="A113" s="11" t="s">
        <v>2337</v>
      </c>
      <c r="B113" s="13" t="s">
        <v>269</v>
      </c>
      <c r="C113" s="10" t="s">
        <v>1127</v>
      </c>
      <c r="D113" s="13" t="s">
        <v>2049</v>
      </c>
      <c r="E113" s="14" t="s">
        <v>405</v>
      </c>
      <c r="F113" s="14" t="s">
        <v>11</v>
      </c>
      <c r="G113" s="13"/>
      <c r="H113" s="14">
        <f t="shared" si="3"/>
        <v>2</v>
      </c>
      <c r="I113" s="14">
        <v>2</v>
      </c>
      <c r="J113" s="14">
        <v>1</v>
      </c>
      <c r="K113" s="13" t="s">
        <v>279</v>
      </c>
      <c r="L113" s="15" t="s">
        <v>271</v>
      </c>
      <c r="M113" s="15">
        <v>2854</v>
      </c>
      <c r="N113" s="15">
        <v>7946</v>
      </c>
      <c r="O113" s="15">
        <v>428540</v>
      </c>
      <c r="P113" s="15">
        <v>479460</v>
      </c>
      <c r="Q113" s="15"/>
    </row>
    <row r="114" spans="1:17" x14ac:dyDescent="0.25">
      <c r="A114" s="11" t="s">
        <v>2337</v>
      </c>
      <c r="B114" s="13" t="s">
        <v>2384</v>
      </c>
      <c r="C114" s="10" t="s">
        <v>2385</v>
      </c>
      <c r="D114" s="13" t="s">
        <v>1940</v>
      </c>
      <c r="E114" s="14" t="s">
        <v>2386</v>
      </c>
      <c r="F114" s="14" t="s">
        <v>11</v>
      </c>
      <c r="G114" s="13"/>
      <c r="H114" s="14">
        <f t="shared" si="3"/>
        <v>1</v>
      </c>
      <c r="I114" s="14">
        <v>1</v>
      </c>
      <c r="J114" s="14">
        <v>1</v>
      </c>
      <c r="K114" s="13" t="s">
        <v>2340</v>
      </c>
      <c r="L114" s="15" t="s">
        <v>445</v>
      </c>
      <c r="M114" s="15">
        <v>428</v>
      </c>
      <c r="N114" s="15">
        <v>928</v>
      </c>
      <c r="O114" s="15">
        <v>442800</v>
      </c>
      <c r="P114" s="15">
        <v>392800</v>
      </c>
      <c r="Q114" s="15"/>
    </row>
    <row r="115" spans="1:17" ht="22.5" x14ac:dyDescent="0.25">
      <c r="A115" s="11" t="s">
        <v>2337</v>
      </c>
      <c r="B115" s="13" t="s">
        <v>742</v>
      </c>
      <c r="C115" s="10" t="s">
        <v>2524</v>
      </c>
      <c r="D115" s="13" t="s">
        <v>41</v>
      </c>
      <c r="E115" s="14" t="s">
        <v>2525</v>
      </c>
      <c r="F115" s="14" t="s">
        <v>11</v>
      </c>
      <c r="G115" s="13"/>
      <c r="H115" s="14">
        <f t="shared" si="3"/>
        <v>1</v>
      </c>
      <c r="I115" s="14">
        <v>1</v>
      </c>
      <c r="J115" s="14">
        <v>1</v>
      </c>
      <c r="K115" s="13" t="s">
        <v>578</v>
      </c>
      <c r="L115" s="15" t="s">
        <v>2526</v>
      </c>
      <c r="M115" s="15">
        <v>923</v>
      </c>
      <c r="N115" s="15">
        <v>158</v>
      </c>
      <c r="O115" s="15">
        <v>92300</v>
      </c>
      <c r="P115" s="15">
        <v>15800</v>
      </c>
      <c r="Q115" s="15"/>
    </row>
    <row r="116" spans="1:17" x14ac:dyDescent="0.25">
      <c r="A116" s="11" t="s">
        <v>2337</v>
      </c>
      <c r="B116" s="13" t="s">
        <v>231</v>
      </c>
      <c r="C116" s="10" t="s">
        <v>129</v>
      </c>
      <c r="D116" s="13" t="s">
        <v>1009</v>
      </c>
      <c r="E116" s="14" t="s">
        <v>232</v>
      </c>
      <c r="F116" s="14" t="s">
        <v>35</v>
      </c>
      <c r="G116" s="13"/>
      <c r="H116" s="14">
        <f t="shared" si="3"/>
        <v>2</v>
      </c>
      <c r="I116" s="14">
        <v>2</v>
      </c>
      <c r="J116" s="14">
        <v>1</v>
      </c>
      <c r="K116" s="13" t="s">
        <v>79</v>
      </c>
      <c r="L116" s="15" t="s">
        <v>130</v>
      </c>
      <c r="M116" s="15">
        <v>7335</v>
      </c>
      <c r="N116" s="15">
        <v>9590</v>
      </c>
      <c r="O116" s="15">
        <v>373350</v>
      </c>
      <c r="P116" s="15">
        <v>795900</v>
      </c>
      <c r="Q116" s="15"/>
    </row>
    <row r="117" spans="1:17" x14ac:dyDescent="0.25">
      <c r="A117" s="11" t="s">
        <v>2337</v>
      </c>
      <c r="B117" s="13" t="s">
        <v>231</v>
      </c>
      <c r="C117" s="10" t="s">
        <v>2495</v>
      </c>
      <c r="D117" s="13" t="s">
        <v>2496</v>
      </c>
      <c r="E117" s="14" t="s">
        <v>2497</v>
      </c>
      <c r="F117" s="14" t="s">
        <v>35</v>
      </c>
      <c r="G117" s="13"/>
      <c r="H117" s="14">
        <f t="shared" si="3"/>
        <v>1</v>
      </c>
      <c r="I117" s="14">
        <v>1</v>
      </c>
      <c r="J117" s="14">
        <v>1</v>
      </c>
      <c r="K117" s="13" t="s">
        <v>2498</v>
      </c>
      <c r="L117" s="15" t="s">
        <v>115</v>
      </c>
      <c r="M117" s="15">
        <v>97660</v>
      </c>
      <c r="N117" s="15">
        <v>62046</v>
      </c>
      <c r="O117" s="15">
        <v>397660</v>
      </c>
      <c r="P117" s="15">
        <v>862046</v>
      </c>
      <c r="Q117" s="15"/>
    </row>
    <row r="118" spans="1:17" ht="22.5" x14ac:dyDescent="0.25">
      <c r="A118" s="11" t="s">
        <v>2337</v>
      </c>
      <c r="B118" s="13" t="s">
        <v>953</v>
      </c>
      <c r="C118" s="10" t="s">
        <v>2448</v>
      </c>
      <c r="D118" s="13" t="s">
        <v>1333</v>
      </c>
      <c r="E118" s="14" t="s">
        <v>1004</v>
      </c>
      <c r="F118" s="14" t="s">
        <v>35</v>
      </c>
      <c r="G118" s="13"/>
      <c r="H118" s="14">
        <f t="shared" si="3"/>
        <v>1</v>
      </c>
      <c r="I118" s="14">
        <v>1</v>
      </c>
      <c r="J118" s="14">
        <v>1</v>
      </c>
      <c r="K118" s="13" t="s">
        <v>335</v>
      </c>
      <c r="L118" s="15" t="s">
        <v>956</v>
      </c>
      <c r="M118" s="15">
        <v>816</v>
      </c>
      <c r="N118" s="15">
        <v>977</v>
      </c>
      <c r="O118" s="15">
        <v>181600</v>
      </c>
      <c r="P118" s="15">
        <v>697700</v>
      </c>
      <c r="Q118" s="15"/>
    </row>
    <row r="119" spans="1:17" x14ac:dyDescent="0.25">
      <c r="A119" s="11" t="s">
        <v>2337</v>
      </c>
      <c r="B119" s="13" t="s">
        <v>407</v>
      </c>
      <c r="C119" s="10" t="s">
        <v>487</v>
      </c>
      <c r="D119" s="13" t="s">
        <v>90</v>
      </c>
      <c r="E119" s="13" t="s">
        <v>408</v>
      </c>
      <c r="F119" s="14" t="s">
        <v>35</v>
      </c>
      <c r="G119" s="13"/>
      <c r="H119" s="14">
        <f t="shared" ref="H119:H136" si="4">G119+I119</f>
        <v>1</v>
      </c>
      <c r="I119" s="14">
        <v>1</v>
      </c>
      <c r="J119" s="14">
        <v>1</v>
      </c>
      <c r="K119" s="13" t="s">
        <v>466</v>
      </c>
      <c r="L119" s="15" t="s">
        <v>398</v>
      </c>
      <c r="M119" s="15">
        <v>35024</v>
      </c>
      <c r="N119" s="15">
        <v>99759</v>
      </c>
      <c r="O119" s="15">
        <v>335024</v>
      </c>
      <c r="P119" s="15">
        <v>699759</v>
      </c>
      <c r="Q119" s="15"/>
    </row>
    <row r="120" spans="1:17" ht="25.5" x14ac:dyDescent="0.25">
      <c r="A120" s="11" t="s">
        <v>2337</v>
      </c>
      <c r="B120" s="13" t="s">
        <v>676</v>
      </c>
      <c r="C120" s="17" t="s">
        <v>2411</v>
      </c>
      <c r="D120" s="13" t="s">
        <v>39</v>
      </c>
      <c r="E120" s="13" t="s">
        <v>745</v>
      </c>
      <c r="F120" s="14" t="s">
        <v>35</v>
      </c>
      <c r="G120" s="13"/>
      <c r="H120" s="14">
        <f>G120+I120</f>
        <v>3</v>
      </c>
      <c r="I120" s="14">
        <v>3</v>
      </c>
      <c r="J120" s="14">
        <v>2</v>
      </c>
      <c r="K120" s="13" t="s">
        <v>2406</v>
      </c>
      <c r="L120" s="15" t="s">
        <v>116</v>
      </c>
      <c r="M120" s="15">
        <v>74696</v>
      </c>
      <c r="N120" s="15">
        <v>75332</v>
      </c>
      <c r="O120" s="15">
        <v>74696</v>
      </c>
      <c r="P120" s="15">
        <v>875332</v>
      </c>
      <c r="Q120" s="15"/>
    </row>
    <row r="121" spans="1:17" ht="22.5" x14ac:dyDescent="0.25">
      <c r="A121" s="11" t="s">
        <v>2337</v>
      </c>
      <c r="B121" s="13" t="s">
        <v>34</v>
      </c>
      <c r="C121" s="10" t="s">
        <v>33</v>
      </c>
      <c r="D121" s="13" t="s">
        <v>1278</v>
      </c>
      <c r="E121" s="13" t="s">
        <v>1070</v>
      </c>
      <c r="F121" s="14" t="s">
        <v>35</v>
      </c>
      <c r="G121" s="13">
        <v>1</v>
      </c>
      <c r="H121" s="14">
        <f t="shared" si="4"/>
        <v>2</v>
      </c>
      <c r="I121" s="14">
        <v>1</v>
      </c>
      <c r="J121" s="14">
        <v>2</v>
      </c>
      <c r="K121" s="13" t="s">
        <v>2406</v>
      </c>
      <c r="L121" s="15" t="s">
        <v>114</v>
      </c>
      <c r="M121" s="15">
        <v>57283</v>
      </c>
      <c r="N121" s="15">
        <v>5722</v>
      </c>
      <c r="O121" s="15">
        <v>353283</v>
      </c>
      <c r="P121" s="15">
        <v>1005722</v>
      </c>
      <c r="Q121" s="15"/>
    </row>
    <row r="122" spans="1:17" x14ac:dyDescent="0.25">
      <c r="A122" s="11" t="s">
        <v>2337</v>
      </c>
      <c r="B122" s="13" t="s">
        <v>34</v>
      </c>
      <c r="C122" s="10" t="s">
        <v>1041</v>
      </c>
      <c r="D122" s="13" t="s">
        <v>39</v>
      </c>
      <c r="E122" s="14" t="s">
        <v>33</v>
      </c>
      <c r="F122" s="14" t="s">
        <v>35</v>
      </c>
      <c r="G122" s="13"/>
      <c r="H122" s="14">
        <f t="shared" si="4"/>
        <v>17</v>
      </c>
      <c r="I122" s="14">
        <v>17</v>
      </c>
      <c r="J122" s="14">
        <v>8</v>
      </c>
      <c r="K122" s="13" t="s">
        <v>2427</v>
      </c>
      <c r="L122" s="15" t="s">
        <v>114</v>
      </c>
      <c r="M122" s="15">
        <v>3076</v>
      </c>
      <c r="N122" s="15">
        <v>1270</v>
      </c>
      <c r="O122" s="15">
        <v>330760</v>
      </c>
      <c r="P122" s="15">
        <v>1012700</v>
      </c>
      <c r="Q122" s="15"/>
    </row>
    <row r="123" spans="1:17" x14ac:dyDescent="0.25">
      <c r="A123" s="11" t="s">
        <v>2337</v>
      </c>
      <c r="B123" s="13" t="s">
        <v>34</v>
      </c>
      <c r="C123" s="10" t="s">
        <v>2415</v>
      </c>
      <c r="D123" s="13" t="s">
        <v>1040</v>
      </c>
      <c r="E123" s="13" t="s">
        <v>33</v>
      </c>
      <c r="F123" s="14" t="s">
        <v>35</v>
      </c>
      <c r="G123" s="13"/>
      <c r="H123" s="14">
        <f>G123+I123</f>
        <v>1</v>
      </c>
      <c r="I123" s="14">
        <v>1</v>
      </c>
      <c r="J123" s="14">
        <v>1</v>
      </c>
      <c r="K123" s="13" t="s">
        <v>1092</v>
      </c>
      <c r="L123" s="15" t="s">
        <v>114</v>
      </c>
      <c r="M123" s="15">
        <v>2963</v>
      </c>
      <c r="N123" s="15">
        <v>1331</v>
      </c>
      <c r="O123" s="15">
        <v>329630</v>
      </c>
      <c r="P123" s="15">
        <v>1013310</v>
      </c>
      <c r="Q123" s="15"/>
    </row>
    <row r="124" spans="1:17" x14ac:dyDescent="0.25">
      <c r="A124" s="11" t="s">
        <v>2337</v>
      </c>
      <c r="B124" s="13" t="s">
        <v>34</v>
      </c>
      <c r="C124" s="10" t="s">
        <v>155</v>
      </c>
      <c r="D124" s="13" t="s">
        <v>1207</v>
      </c>
      <c r="E124" s="13" t="s">
        <v>156</v>
      </c>
      <c r="F124" s="14" t="s">
        <v>35</v>
      </c>
      <c r="G124" s="13"/>
      <c r="H124" s="14">
        <f t="shared" si="4"/>
        <v>3</v>
      </c>
      <c r="I124" s="14">
        <v>3</v>
      </c>
      <c r="J124" s="14">
        <v>3</v>
      </c>
      <c r="K124" s="13" t="s">
        <v>2413</v>
      </c>
      <c r="L124" s="15" t="s">
        <v>114</v>
      </c>
      <c r="M124" s="15">
        <v>4830</v>
      </c>
      <c r="N124" s="15">
        <v>5180</v>
      </c>
      <c r="O124" s="15">
        <v>348300</v>
      </c>
      <c r="P124" s="15">
        <v>1051800</v>
      </c>
      <c r="Q124" s="15"/>
    </row>
    <row r="125" spans="1:17" ht="22.5" x14ac:dyDescent="0.25">
      <c r="A125" s="11" t="s">
        <v>2337</v>
      </c>
      <c r="B125" s="13" t="s">
        <v>34</v>
      </c>
      <c r="C125" s="10" t="s">
        <v>2136</v>
      </c>
      <c r="D125" s="13" t="s">
        <v>41</v>
      </c>
      <c r="E125" s="14" t="s">
        <v>33</v>
      </c>
      <c r="F125" s="14" t="s">
        <v>35</v>
      </c>
      <c r="G125" s="13"/>
      <c r="H125" s="14">
        <f t="shared" si="4"/>
        <v>11</v>
      </c>
      <c r="I125" s="14">
        <v>11</v>
      </c>
      <c r="J125" s="14">
        <v>6</v>
      </c>
      <c r="K125" s="13" t="s">
        <v>2485</v>
      </c>
      <c r="L125" s="15" t="s">
        <v>114</v>
      </c>
      <c r="M125" s="15">
        <v>3182</v>
      </c>
      <c r="N125" s="15">
        <v>1277</v>
      </c>
      <c r="O125" s="15">
        <v>331820</v>
      </c>
      <c r="P125" s="15">
        <v>1012770</v>
      </c>
      <c r="Q125" s="15"/>
    </row>
    <row r="126" spans="1:17" x14ac:dyDescent="0.25">
      <c r="A126" s="11" t="s">
        <v>2337</v>
      </c>
      <c r="B126" s="13" t="s">
        <v>34</v>
      </c>
      <c r="C126" s="10" t="s">
        <v>1056</v>
      </c>
      <c r="D126" s="13" t="s">
        <v>753</v>
      </c>
      <c r="E126" s="14" t="s">
        <v>469</v>
      </c>
      <c r="F126" s="14" t="s">
        <v>35</v>
      </c>
      <c r="G126" s="13"/>
      <c r="H126" s="14">
        <f t="shared" si="4"/>
        <v>2</v>
      </c>
      <c r="I126" s="14">
        <v>2</v>
      </c>
      <c r="J126" s="14">
        <v>1</v>
      </c>
      <c r="K126" s="13" t="s">
        <v>1038</v>
      </c>
      <c r="L126" s="15" t="s">
        <v>114</v>
      </c>
      <c r="M126" s="15">
        <v>3722</v>
      </c>
      <c r="N126" s="15">
        <v>3048</v>
      </c>
      <c r="O126" s="15">
        <v>337220</v>
      </c>
      <c r="P126" s="15">
        <v>1030480</v>
      </c>
      <c r="Q126" s="15"/>
    </row>
    <row r="127" spans="1:17" x14ac:dyDescent="0.25">
      <c r="A127" s="11" t="s">
        <v>2337</v>
      </c>
      <c r="B127" s="13" t="s">
        <v>34</v>
      </c>
      <c r="C127" s="10" t="s">
        <v>2499</v>
      </c>
      <c r="D127" s="13" t="s">
        <v>2500</v>
      </c>
      <c r="E127" s="14" t="s">
        <v>33</v>
      </c>
      <c r="F127" s="14" t="s">
        <v>35</v>
      </c>
      <c r="G127" s="13"/>
      <c r="H127" s="14">
        <f t="shared" si="4"/>
        <v>1</v>
      </c>
      <c r="I127" s="14">
        <v>1</v>
      </c>
      <c r="J127" s="14">
        <v>1</v>
      </c>
      <c r="K127" s="13" t="s">
        <v>2501</v>
      </c>
      <c r="L127" s="15" t="s">
        <v>114</v>
      </c>
      <c r="M127" s="15">
        <v>2309</v>
      </c>
      <c r="N127" s="15">
        <v>1264</v>
      </c>
      <c r="O127" s="15">
        <v>323090</v>
      </c>
      <c r="P127" s="15">
        <v>1012640</v>
      </c>
      <c r="Q127" s="15"/>
    </row>
    <row r="128" spans="1:17" ht="22.5" x14ac:dyDescent="0.25">
      <c r="A128" s="11" t="s">
        <v>2337</v>
      </c>
      <c r="B128" s="13" t="s">
        <v>34</v>
      </c>
      <c r="C128" s="10" t="s">
        <v>1334</v>
      </c>
      <c r="D128" s="13" t="s">
        <v>41</v>
      </c>
      <c r="E128" s="14" t="s">
        <v>620</v>
      </c>
      <c r="F128" s="14" t="s">
        <v>35</v>
      </c>
      <c r="G128" s="13"/>
      <c r="H128" s="14">
        <f t="shared" si="4"/>
        <v>2</v>
      </c>
      <c r="I128" s="14">
        <v>2</v>
      </c>
      <c r="J128" s="14">
        <v>2</v>
      </c>
      <c r="K128" s="13" t="s">
        <v>2447</v>
      </c>
      <c r="L128" s="15" t="s">
        <v>114</v>
      </c>
      <c r="M128" s="15">
        <v>4389</v>
      </c>
      <c r="N128" s="15">
        <v>4905</v>
      </c>
      <c r="O128" s="15">
        <v>343890</v>
      </c>
      <c r="P128" s="15">
        <v>1049050</v>
      </c>
      <c r="Q128" s="15"/>
    </row>
    <row r="129" spans="1:17" ht="22.5" x14ac:dyDescent="0.25">
      <c r="A129" s="11" t="s">
        <v>2337</v>
      </c>
      <c r="B129" s="13" t="s">
        <v>34</v>
      </c>
      <c r="C129" s="10" t="s">
        <v>457</v>
      </c>
      <c r="D129" s="13" t="s">
        <v>1047</v>
      </c>
      <c r="E129" s="14" t="s">
        <v>33</v>
      </c>
      <c r="F129" s="14" t="s">
        <v>35</v>
      </c>
      <c r="G129" s="13"/>
      <c r="H129" s="14">
        <f t="shared" si="4"/>
        <v>6</v>
      </c>
      <c r="I129" s="14">
        <v>6</v>
      </c>
      <c r="J129" s="14">
        <v>4</v>
      </c>
      <c r="K129" s="13" t="s">
        <v>2414</v>
      </c>
      <c r="L129" s="15" t="s">
        <v>114</v>
      </c>
      <c r="M129" s="15">
        <v>4177</v>
      </c>
      <c r="N129" s="15">
        <v>1292</v>
      </c>
      <c r="O129" s="15">
        <v>341770</v>
      </c>
      <c r="P129" s="15">
        <v>1012920</v>
      </c>
      <c r="Q129" s="15"/>
    </row>
    <row r="130" spans="1:17" ht="22.5" x14ac:dyDescent="0.25">
      <c r="A130" s="11" t="s">
        <v>2337</v>
      </c>
      <c r="B130" s="13" t="s">
        <v>34</v>
      </c>
      <c r="C130" s="10" t="s">
        <v>2142</v>
      </c>
      <c r="D130" s="13" t="s">
        <v>41</v>
      </c>
      <c r="E130" s="14" t="s">
        <v>33</v>
      </c>
      <c r="F130" s="14" t="s">
        <v>35</v>
      </c>
      <c r="G130" s="13"/>
      <c r="H130" s="14">
        <f t="shared" si="4"/>
        <v>1</v>
      </c>
      <c r="I130" s="14">
        <v>1</v>
      </c>
      <c r="J130" s="14">
        <v>1</v>
      </c>
      <c r="K130" s="13" t="s">
        <v>1086</v>
      </c>
      <c r="L130" s="15" t="s">
        <v>114</v>
      </c>
      <c r="M130" s="15">
        <v>6766</v>
      </c>
      <c r="N130" s="15">
        <v>3779</v>
      </c>
      <c r="O130" s="15">
        <v>367660</v>
      </c>
      <c r="P130" s="15">
        <v>1037790</v>
      </c>
      <c r="Q130" s="15"/>
    </row>
    <row r="131" spans="1:17" x14ac:dyDescent="0.25">
      <c r="A131" s="11" t="s">
        <v>2337</v>
      </c>
      <c r="B131" s="13" t="s">
        <v>34</v>
      </c>
      <c r="C131" s="10" t="s">
        <v>37</v>
      </c>
      <c r="D131" s="13" t="s">
        <v>8</v>
      </c>
      <c r="E131" s="14" t="s">
        <v>33</v>
      </c>
      <c r="F131" s="14" t="s">
        <v>35</v>
      </c>
      <c r="G131" s="13"/>
      <c r="H131" s="14">
        <f t="shared" si="4"/>
        <v>4</v>
      </c>
      <c r="I131" s="14">
        <v>4</v>
      </c>
      <c r="J131" s="14">
        <v>4</v>
      </c>
      <c r="K131" s="13" t="s">
        <v>2476</v>
      </c>
      <c r="L131" s="15" t="s">
        <v>114</v>
      </c>
      <c r="M131" s="15">
        <v>2945</v>
      </c>
      <c r="N131" s="15">
        <v>1335</v>
      </c>
      <c r="O131" s="15">
        <v>329450</v>
      </c>
      <c r="P131" s="15">
        <v>1013350</v>
      </c>
      <c r="Q131" s="15"/>
    </row>
    <row r="132" spans="1:17" x14ac:dyDescent="0.25">
      <c r="A132" s="11" t="s">
        <v>2337</v>
      </c>
      <c r="B132" s="13" t="s">
        <v>34</v>
      </c>
      <c r="C132" s="10" t="s">
        <v>38</v>
      </c>
      <c r="D132" s="13" t="s">
        <v>39</v>
      </c>
      <c r="E132" s="14" t="s">
        <v>33</v>
      </c>
      <c r="F132" s="14" t="s">
        <v>35</v>
      </c>
      <c r="G132" s="13"/>
      <c r="H132" s="14">
        <f t="shared" si="4"/>
        <v>15</v>
      </c>
      <c r="I132" s="14">
        <v>15</v>
      </c>
      <c r="J132" s="14">
        <v>7</v>
      </c>
      <c r="K132" s="13" t="s">
        <v>2426</v>
      </c>
      <c r="L132" s="15" t="s">
        <v>114</v>
      </c>
      <c r="M132" s="15">
        <v>2312</v>
      </c>
      <c r="N132" s="15">
        <v>1874</v>
      </c>
      <c r="O132" s="15">
        <v>323120</v>
      </c>
      <c r="P132" s="15">
        <v>1018740</v>
      </c>
      <c r="Q132" s="15"/>
    </row>
    <row r="133" spans="1:17" x14ac:dyDescent="0.25">
      <c r="A133" s="11" t="s">
        <v>2337</v>
      </c>
      <c r="B133" s="13" t="s">
        <v>34</v>
      </c>
      <c r="C133" s="10" t="s">
        <v>36</v>
      </c>
      <c r="D133" s="13" t="s">
        <v>8</v>
      </c>
      <c r="E133" s="14" t="s">
        <v>33</v>
      </c>
      <c r="F133" s="14" t="s">
        <v>35</v>
      </c>
      <c r="G133" s="13"/>
      <c r="H133" s="14">
        <f t="shared" si="4"/>
        <v>7</v>
      </c>
      <c r="I133" s="14">
        <v>7</v>
      </c>
      <c r="J133" s="14">
        <v>6</v>
      </c>
      <c r="K133" s="13" t="s">
        <v>2492</v>
      </c>
      <c r="L133" s="15" t="s">
        <v>114</v>
      </c>
      <c r="M133" s="15">
        <v>3067</v>
      </c>
      <c r="N133" s="15">
        <v>1252</v>
      </c>
      <c r="O133" s="15">
        <v>330670</v>
      </c>
      <c r="P133" s="15">
        <v>1012520</v>
      </c>
      <c r="Q133" s="15"/>
    </row>
    <row r="134" spans="1:17" ht="33.75" x14ac:dyDescent="0.25">
      <c r="A134" s="11" t="s">
        <v>2337</v>
      </c>
      <c r="B134" s="13" t="s">
        <v>34</v>
      </c>
      <c r="C134" s="10" t="s">
        <v>131</v>
      </c>
      <c r="D134" s="13" t="s">
        <v>1065</v>
      </c>
      <c r="E134" s="13" t="s">
        <v>132</v>
      </c>
      <c r="F134" s="14" t="s">
        <v>35</v>
      </c>
      <c r="G134" s="13"/>
      <c r="H134" s="14">
        <f t="shared" si="4"/>
        <v>3</v>
      </c>
      <c r="I134" s="14">
        <v>3</v>
      </c>
      <c r="J134" s="14">
        <v>2</v>
      </c>
      <c r="K134" s="13" t="s">
        <v>2407</v>
      </c>
      <c r="L134" s="15" t="s">
        <v>133</v>
      </c>
      <c r="M134" s="15">
        <v>4704</v>
      </c>
      <c r="N134" s="15">
        <v>8449</v>
      </c>
      <c r="O134" s="15">
        <v>347040</v>
      </c>
      <c r="P134" s="15">
        <v>984490</v>
      </c>
      <c r="Q134" s="15"/>
    </row>
    <row r="135" spans="1:17" x14ac:dyDescent="0.25">
      <c r="A135" s="11" t="s">
        <v>2337</v>
      </c>
      <c r="B135" s="13" t="s">
        <v>34</v>
      </c>
      <c r="C135" s="10" t="s">
        <v>1039</v>
      </c>
      <c r="D135" s="13" t="s">
        <v>1040</v>
      </c>
      <c r="E135" s="13" t="s">
        <v>33</v>
      </c>
      <c r="F135" s="14" t="s">
        <v>35</v>
      </c>
      <c r="G135" s="13"/>
      <c r="H135" s="14">
        <f t="shared" si="4"/>
        <v>1</v>
      </c>
      <c r="I135" s="14">
        <v>1</v>
      </c>
      <c r="J135" s="14">
        <v>1</v>
      </c>
      <c r="K135" s="13" t="s">
        <v>1092</v>
      </c>
      <c r="L135" s="15" t="s">
        <v>114</v>
      </c>
      <c r="M135" s="15">
        <v>3055</v>
      </c>
      <c r="N135" s="15">
        <v>1264</v>
      </c>
      <c r="O135" s="15">
        <v>330550</v>
      </c>
      <c r="P135" s="15">
        <v>1012640</v>
      </c>
      <c r="Q135" s="15"/>
    </row>
    <row r="136" spans="1:17" ht="22.5" x14ac:dyDescent="0.25">
      <c r="A136" s="11" t="s">
        <v>2337</v>
      </c>
      <c r="B136" s="13" t="s">
        <v>170</v>
      </c>
      <c r="C136" s="10" t="s">
        <v>972</v>
      </c>
      <c r="D136" s="13" t="s">
        <v>973</v>
      </c>
      <c r="E136" s="14" t="s">
        <v>167</v>
      </c>
      <c r="F136" s="14" t="s">
        <v>35</v>
      </c>
      <c r="G136" s="13"/>
      <c r="H136" s="14">
        <f t="shared" si="4"/>
        <v>1</v>
      </c>
      <c r="I136" s="14">
        <v>1</v>
      </c>
      <c r="J136" s="14">
        <v>1</v>
      </c>
      <c r="K136" s="13" t="s">
        <v>240</v>
      </c>
      <c r="L136" s="15" t="s">
        <v>130</v>
      </c>
      <c r="M136" s="15">
        <v>1633</v>
      </c>
      <c r="N136" s="15">
        <v>4049</v>
      </c>
      <c r="O136" s="15">
        <v>316330</v>
      </c>
      <c r="P136" s="15">
        <v>740490</v>
      </c>
      <c r="Q136" s="15"/>
    </row>
    <row r="137" spans="1:17" ht="22.5" x14ac:dyDescent="0.25">
      <c r="A137" s="11" t="s">
        <v>2337</v>
      </c>
      <c r="B137" s="13" t="s">
        <v>1031</v>
      </c>
      <c r="C137" s="10" t="s">
        <v>2502</v>
      </c>
      <c r="D137" s="13" t="s">
        <v>41</v>
      </c>
      <c r="E137" s="14" t="s">
        <v>236</v>
      </c>
      <c r="F137" s="14" t="s">
        <v>35</v>
      </c>
      <c r="G137" s="13">
        <v>1</v>
      </c>
      <c r="H137" s="14">
        <f>G137+I137</f>
        <v>2</v>
      </c>
      <c r="I137" s="14">
        <v>1</v>
      </c>
      <c r="J137" s="14">
        <v>2</v>
      </c>
      <c r="K137" s="13" t="s">
        <v>2564</v>
      </c>
      <c r="L137" s="15" t="s">
        <v>460</v>
      </c>
      <c r="M137" s="15">
        <v>5144</v>
      </c>
      <c r="N137" s="15">
        <v>6152</v>
      </c>
      <c r="O137" s="15">
        <v>251440</v>
      </c>
      <c r="P137" s="15">
        <v>861520</v>
      </c>
      <c r="Q137" s="15"/>
    </row>
    <row r="138" spans="1:17" x14ac:dyDescent="0.25">
      <c r="A138" s="11" t="s">
        <v>2337</v>
      </c>
      <c r="B138" s="13" t="s">
        <v>319</v>
      </c>
      <c r="C138" s="10" t="s">
        <v>2554</v>
      </c>
      <c r="D138" s="13" t="s">
        <v>39</v>
      </c>
      <c r="E138" s="14" t="s">
        <v>319</v>
      </c>
      <c r="F138" s="14" t="s">
        <v>35</v>
      </c>
      <c r="G138" s="13"/>
      <c r="H138" s="14">
        <f>G138+I138</f>
        <v>1</v>
      </c>
      <c r="I138" s="14">
        <v>1</v>
      </c>
      <c r="J138" s="14">
        <v>1</v>
      </c>
      <c r="K138" s="13" t="s">
        <v>860</v>
      </c>
      <c r="L138" s="15" t="s">
        <v>318</v>
      </c>
      <c r="M138" s="15">
        <v>398</v>
      </c>
      <c r="N138" s="15">
        <v>95</v>
      </c>
      <c r="O138" s="15">
        <v>439800</v>
      </c>
      <c r="P138" s="15">
        <v>1109500</v>
      </c>
      <c r="Q138" s="15"/>
    </row>
    <row r="139" spans="1:17" x14ac:dyDescent="0.25">
      <c r="A139" s="11" t="s">
        <v>2337</v>
      </c>
      <c r="B139" s="13" t="s">
        <v>163</v>
      </c>
      <c r="C139" s="10" t="s">
        <v>2313</v>
      </c>
      <c r="D139" s="13" t="s">
        <v>2099</v>
      </c>
      <c r="E139" s="14" t="s">
        <v>2100</v>
      </c>
      <c r="F139" s="14" t="s">
        <v>56</v>
      </c>
      <c r="G139" s="13"/>
      <c r="H139" s="14">
        <f t="shared" ref="H139:H145" si="5">G139+I139</f>
        <v>3</v>
      </c>
      <c r="I139" s="14">
        <v>3</v>
      </c>
      <c r="J139" s="14">
        <v>1</v>
      </c>
      <c r="K139" s="13" t="s">
        <v>456</v>
      </c>
      <c r="L139" s="15" t="s">
        <v>164</v>
      </c>
      <c r="M139" s="15">
        <v>77076</v>
      </c>
      <c r="N139" s="15">
        <v>83100</v>
      </c>
      <c r="O139" s="15">
        <v>277076</v>
      </c>
      <c r="P139" s="15">
        <v>383100</v>
      </c>
      <c r="Q139" s="15"/>
    </row>
    <row r="140" spans="1:17" x14ac:dyDescent="0.25">
      <c r="A140" s="11" t="s">
        <v>2337</v>
      </c>
      <c r="B140" s="13" t="s">
        <v>55</v>
      </c>
      <c r="C140" s="10" t="s">
        <v>2370</v>
      </c>
      <c r="D140" s="13" t="s">
        <v>1940</v>
      </c>
      <c r="E140" s="13" t="s">
        <v>152</v>
      </c>
      <c r="F140" s="14" t="s">
        <v>56</v>
      </c>
      <c r="G140" s="13"/>
      <c r="H140" s="14">
        <f>G140+I140</f>
        <v>1</v>
      </c>
      <c r="I140" s="14">
        <v>1</v>
      </c>
      <c r="J140" s="14">
        <v>1</v>
      </c>
      <c r="K140" s="13" t="s">
        <v>1022</v>
      </c>
      <c r="L140" s="15" t="s">
        <v>153</v>
      </c>
      <c r="M140" s="15">
        <v>415</v>
      </c>
      <c r="N140" s="15">
        <v>205</v>
      </c>
      <c r="O140" s="15">
        <v>241500</v>
      </c>
      <c r="P140" s="15">
        <v>220500</v>
      </c>
      <c r="Q140" s="15"/>
    </row>
    <row r="141" spans="1:17" x14ac:dyDescent="0.25">
      <c r="A141" s="11" t="s">
        <v>2337</v>
      </c>
      <c r="B141" s="13" t="s">
        <v>55</v>
      </c>
      <c r="C141" s="10" t="s">
        <v>2291</v>
      </c>
      <c r="D141" s="13" t="s">
        <v>100</v>
      </c>
      <c r="E141" s="14" t="s">
        <v>57</v>
      </c>
      <c r="F141" s="14" t="s">
        <v>56</v>
      </c>
      <c r="G141" s="13"/>
      <c r="H141" s="14">
        <f t="shared" si="5"/>
        <v>1</v>
      </c>
      <c r="I141" s="14">
        <v>1</v>
      </c>
      <c r="J141" s="14">
        <v>1</v>
      </c>
      <c r="K141" s="13" t="s">
        <v>488</v>
      </c>
      <c r="L141" s="15" t="s">
        <v>153</v>
      </c>
      <c r="M141" s="15">
        <v>15771</v>
      </c>
      <c r="N141" s="15">
        <v>33600</v>
      </c>
      <c r="O141" s="15">
        <v>215771</v>
      </c>
      <c r="P141" s="15">
        <v>233600</v>
      </c>
      <c r="Q141" s="15"/>
    </row>
    <row r="142" spans="1:17" ht="22.5" x14ac:dyDescent="0.25">
      <c r="A142" s="11" t="s">
        <v>2337</v>
      </c>
      <c r="B142" s="13" t="s">
        <v>55</v>
      </c>
      <c r="C142" s="10" t="s">
        <v>734</v>
      </c>
      <c r="D142" s="13" t="s">
        <v>41</v>
      </c>
      <c r="E142" s="14" t="s">
        <v>57</v>
      </c>
      <c r="F142" s="14" t="s">
        <v>56</v>
      </c>
      <c r="G142" s="13"/>
      <c r="H142" s="14">
        <f t="shared" si="5"/>
        <v>2</v>
      </c>
      <c r="I142" s="14">
        <v>2</v>
      </c>
      <c r="J142" s="14">
        <v>2</v>
      </c>
      <c r="K142" s="13" t="s">
        <v>2345</v>
      </c>
      <c r="L142" s="15" t="s">
        <v>153</v>
      </c>
      <c r="M142" s="15">
        <v>998</v>
      </c>
      <c r="N142" s="15">
        <v>3698</v>
      </c>
      <c r="O142" s="15">
        <v>209980</v>
      </c>
      <c r="P142" s="15">
        <v>236980</v>
      </c>
      <c r="Q142" s="15"/>
    </row>
    <row r="143" spans="1:17" x14ac:dyDescent="0.25">
      <c r="A143" s="11" t="s">
        <v>2337</v>
      </c>
      <c r="B143" s="13" t="s">
        <v>55</v>
      </c>
      <c r="C143" s="10" t="s">
        <v>58</v>
      </c>
      <c r="D143" s="13" t="s">
        <v>151</v>
      </c>
      <c r="E143" s="14" t="s">
        <v>57</v>
      </c>
      <c r="F143" s="14" t="s">
        <v>56</v>
      </c>
      <c r="G143" s="13"/>
      <c r="H143" s="14">
        <f t="shared" si="5"/>
        <v>10</v>
      </c>
      <c r="I143" s="14">
        <v>10</v>
      </c>
      <c r="J143" s="14">
        <v>4</v>
      </c>
      <c r="K143" s="13" t="s">
        <v>2472</v>
      </c>
      <c r="L143" s="15" t="s">
        <v>153</v>
      </c>
      <c r="M143" s="15">
        <v>211</v>
      </c>
      <c r="N143" s="15">
        <v>326</v>
      </c>
      <c r="O143" s="15">
        <v>211100</v>
      </c>
      <c r="P143" s="15">
        <v>232600</v>
      </c>
      <c r="Q143" s="15"/>
    </row>
    <row r="144" spans="1:17" ht="22.5" x14ac:dyDescent="0.25">
      <c r="A144" s="11" t="s">
        <v>2337</v>
      </c>
      <c r="B144" s="13" t="s">
        <v>161</v>
      </c>
      <c r="C144" s="10" t="s">
        <v>162</v>
      </c>
      <c r="D144" s="13" t="s">
        <v>825</v>
      </c>
      <c r="E144" s="14" t="s">
        <v>826</v>
      </c>
      <c r="F144" s="14" t="s">
        <v>56</v>
      </c>
      <c r="G144" s="13"/>
      <c r="H144" s="14">
        <f t="shared" si="5"/>
        <v>2</v>
      </c>
      <c r="I144" s="14">
        <v>2</v>
      </c>
      <c r="J144" s="14">
        <v>2</v>
      </c>
      <c r="K144" s="13" t="s">
        <v>2451</v>
      </c>
      <c r="L144" s="15" t="s">
        <v>164</v>
      </c>
      <c r="M144" s="15">
        <v>717</v>
      </c>
      <c r="N144" s="15">
        <v>749</v>
      </c>
      <c r="O144" s="15">
        <v>271700</v>
      </c>
      <c r="P144" s="15">
        <v>374900</v>
      </c>
      <c r="Q144" s="15"/>
    </row>
    <row r="145" spans="1:17" x14ac:dyDescent="0.25">
      <c r="A145" s="11" t="s">
        <v>2337</v>
      </c>
      <c r="B145" s="13" t="s">
        <v>66</v>
      </c>
      <c r="C145" s="10" t="s">
        <v>65</v>
      </c>
      <c r="D145" s="13" t="s">
        <v>26</v>
      </c>
      <c r="E145" s="14" t="s">
        <v>245</v>
      </c>
      <c r="F145" s="14" t="s">
        <v>56</v>
      </c>
      <c r="G145" s="13"/>
      <c r="H145" s="14">
        <f t="shared" si="5"/>
        <v>1</v>
      </c>
      <c r="I145" s="14">
        <v>1</v>
      </c>
      <c r="J145" s="14">
        <v>1</v>
      </c>
      <c r="K145" s="13" t="s">
        <v>79</v>
      </c>
      <c r="L145" s="15" t="s">
        <v>113</v>
      </c>
      <c r="M145" s="15">
        <v>211</v>
      </c>
      <c r="N145" s="15">
        <v>193</v>
      </c>
      <c r="O145" s="15">
        <v>321100</v>
      </c>
      <c r="P145" s="15">
        <v>219300</v>
      </c>
      <c r="Q145" s="15"/>
    </row>
    <row r="146" spans="1:17" ht="22.5" x14ac:dyDescent="0.25">
      <c r="A146" s="11" t="s">
        <v>2337</v>
      </c>
      <c r="B146" s="13" t="s">
        <v>66</v>
      </c>
      <c r="C146" s="10" t="s">
        <v>632</v>
      </c>
      <c r="D146" s="13" t="s">
        <v>616</v>
      </c>
      <c r="E146" s="14" t="s">
        <v>570</v>
      </c>
      <c r="F146" s="14" t="s">
        <v>56</v>
      </c>
      <c r="G146" s="13"/>
      <c r="H146" s="14">
        <f t="shared" ref="H146:H170" si="6">G146+I146</f>
        <v>2</v>
      </c>
      <c r="I146" s="14">
        <v>2</v>
      </c>
      <c r="J146" s="14">
        <v>2</v>
      </c>
      <c r="K146" s="13" t="s">
        <v>2480</v>
      </c>
      <c r="L146" s="15" t="s">
        <v>189</v>
      </c>
      <c r="M146" s="15">
        <v>260</v>
      </c>
      <c r="N146" s="15">
        <v>49</v>
      </c>
      <c r="O146" s="15">
        <v>326000</v>
      </c>
      <c r="P146" s="15">
        <v>304900</v>
      </c>
      <c r="Q146" s="15"/>
    </row>
    <row r="147" spans="1:17" ht="22.5" x14ac:dyDescent="0.25">
      <c r="A147" s="11" t="s">
        <v>2337</v>
      </c>
      <c r="B147" s="13" t="s">
        <v>778</v>
      </c>
      <c r="C147" s="10" t="s">
        <v>1405</v>
      </c>
      <c r="D147" s="13" t="s">
        <v>39</v>
      </c>
      <c r="E147" s="14" t="s">
        <v>1406</v>
      </c>
      <c r="F147" s="13" t="s">
        <v>776</v>
      </c>
      <c r="G147" s="13"/>
      <c r="H147" s="14">
        <f t="shared" si="6"/>
        <v>1</v>
      </c>
      <c r="I147" s="14">
        <v>1</v>
      </c>
      <c r="J147" s="14">
        <v>1</v>
      </c>
      <c r="K147" s="13" t="s">
        <v>1788</v>
      </c>
      <c r="L147" s="15" t="s">
        <v>781</v>
      </c>
      <c r="M147" s="15">
        <v>1908</v>
      </c>
      <c r="N147" s="15">
        <v>4180</v>
      </c>
      <c r="O147" s="45"/>
      <c r="P147" s="45"/>
      <c r="Q147" s="15"/>
    </row>
    <row r="148" spans="1:17" ht="22.5" x14ac:dyDescent="0.25">
      <c r="A148" s="11" t="s">
        <v>2337</v>
      </c>
      <c r="B148" s="13" t="s">
        <v>778</v>
      </c>
      <c r="C148" s="10" t="s">
        <v>1287</v>
      </c>
      <c r="D148" s="13" t="s">
        <v>151</v>
      </c>
      <c r="E148" s="14" t="s">
        <v>778</v>
      </c>
      <c r="F148" s="13" t="s">
        <v>776</v>
      </c>
      <c r="G148" s="13"/>
      <c r="H148" s="14">
        <f t="shared" si="6"/>
        <v>2</v>
      </c>
      <c r="I148" s="14">
        <v>2</v>
      </c>
      <c r="J148" s="14">
        <v>2</v>
      </c>
      <c r="K148" s="13" t="s">
        <v>2352</v>
      </c>
      <c r="L148" s="15" t="s">
        <v>781</v>
      </c>
      <c r="M148" s="15">
        <v>148</v>
      </c>
      <c r="N148" s="15">
        <v>510</v>
      </c>
      <c r="O148" s="15">
        <v>314800</v>
      </c>
      <c r="P148" s="15">
        <v>451000</v>
      </c>
      <c r="Q148" s="15"/>
    </row>
    <row r="149" spans="1:17" ht="22.5" x14ac:dyDescent="0.25">
      <c r="A149" s="11" t="s">
        <v>2337</v>
      </c>
      <c r="B149" s="13" t="s">
        <v>778</v>
      </c>
      <c r="C149" s="10" t="s">
        <v>943</v>
      </c>
      <c r="D149" s="13" t="s">
        <v>151</v>
      </c>
      <c r="E149" s="14" t="s">
        <v>778</v>
      </c>
      <c r="F149" s="13" t="s">
        <v>776</v>
      </c>
      <c r="G149" s="13"/>
      <c r="H149" s="14">
        <f t="shared" si="6"/>
        <v>3</v>
      </c>
      <c r="I149" s="14">
        <v>3</v>
      </c>
      <c r="J149" s="14">
        <v>3</v>
      </c>
      <c r="K149" s="13" t="s">
        <v>2353</v>
      </c>
      <c r="L149" s="15" t="s">
        <v>781</v>
      </c>
      <c r="M149" s="15">
        <v>193</v>
      </c>
      <c r="N149" s="15">
        <v>268</v>
      </c>
      <c r="O149" s="15">
        <v>319300</v>
      </c>
      <c r="P149" s="15">
        <v>426800</v>
      </c>
      <c r="Q149" s="15"/>
    </row>
    <row r="150" spans="1:17" ht="22.5" x14ac:dyDescent="0.25">
      <c r="A150" s="11" t="s">
        <v>2337</v>
      </c>
      <c r="B150" s="13" t="s">
        <v>1968</v>
      </c>
      <c r="C150" s="10" t="s">
        <v>2382</v>
      </c>
      <c r="D150" s="13" t="s">
        <v>1940</v>
      </c>
      <c r="E150" s="14" t="s">
        <v>1968</v>
      </c>
      <c r="F150" s="13" t="s">
        <v>776</v>
      </c>
      <c r="G150" s="13"/>
      <c r="H150" s="14">
        <f t="shared" si="6"/>
        <v>2</v>
      </c>
      <c r="I150" s="14">
        <v>2</v>
      </c>
      <c r="J150" s="14">
        <v>2</v>
      </c>
      <c r="K150" s="13" t="s">
        <v>2383</v>
      </c>
      <c r="L150" s="15" t="s">
        <v>992</v>
      </c>
      <c r="M150" s="15">
        <v>969</v>
      </c>
      <c r="N150" s="15">
        <v>966</v>
      </c>
      <c r="O150" s="45"/>
      <c r="P150" s="45"/>
      <c r="Q150" s="15"/>
    </row>
    <row r="151" spans="1:17" ht="22.5" x14ac:dyDescent="0.25">
      <c r="A151" s="11" t="s">
        <v>2337</v>
      </c>
      <c r="B151" s="13" t="s">
        <v>2114</v>
      </c>
      <c r="C151" s="10" t="s">
        <v>2368</v>
      </c>
      <c r="D151" s="13" t="s">
        <v>1940</v>
      </c>
      <c r="E151" s="14" t="s">
        <v>2369</v>
      </c>
      <c r="F151" s="13" t="s">
        <v>776</v>
      </c>
      <c r="G151" s="13"/>
      <c r="H151" s="14">
        <f>G151+I151</f>
        <v>1</v>
      </c>
      <c r="I151" s="14">
        <v>1</v>
      </c>
      <c r="J151" s="14">
        <v>1</v>
      </c>
      <c r="K151" s="13" t="s">
        <v>1016</v>
      </c>
      <c r="L151" s="15" t="s">
        <v>992</v>
      </c>
      <c r="M151" s="15">
        <v>347</v>
      </c>
      <c r="N151" s="15">
        <v>383</v>
      </c>
      <c r="O151" s="45"/>
      <c r="P151" s="45"/>
      <c r="Q151" s="15"/>
    </row>
    <row r="152" spans="1:17" ht="22.5" x14ac:dyDescent="0.25">
      <c r="A152" s="11" t="s">
        <v>2337</v>
      </c>
      <c r="B152" s="13" t="s">
        <v>1264</v>
      </c>
      <c r="C152" s="10" t="s">
        <v>1362</v>
      </c>
      <c r="D152" s="13" t="s">
        <v>39</v>
      </c>
      <c r="E152" s="14" t="s">
        <v>1363</v>
      </c>
      <c r="F152" s="13" t="s">
        <v>776</v>
      </c>
      <c r="G152" s="13"/>
      <c r="H152" s="14">
        <f t="shared" si="6"/>
        <v>5</v>
      </c>
      <c r="I152" s="14">
        <v>5</v>
      </c>
      <c r="J152" s="14">
        <v>5</v>
      </c>
      <c r="K152" s="13" t="s">
        <v>2402</v>
      </c>
      <c r="L152" s="15" t="s">
        <v>992</v>
      </c>
      <c r="M152" s="15">
        <v>743</v>
      </c>
      <c r="N152" s="15">
        <v>837</v>
      </c>
      <c r="O152" s="15">
        <v>274300</v>
      </c>
      <c r="P152" s="15">
        <v>383700</v>
      </c>
      <c r="Q152" s="15"/>
    </row>
    <row r="153" spans="1:17" ht="22.5" x14ac:dyDescent="0.25">
      <c r="A153" s="11" t="s">
        <v>2337</v>
      </c>
      <c r="B153" s="13" t="s">
        <v>1264</v>
      </c>
      <c r="C153" s="10" t="s">
        <v>1265</v>
      </c>
      <c r="D153" s="13" t="s">
        <v>1266</v>
      </c>
      <c r="E153" s="14" t="s">
        <v>1264</v>
      </c>
      <c r="F153" s="13" t="s">
        <v>776</v>
      </c>
      <c r="G153" s="13"/>
      <c r="H153" s="14">
        <f t="shared" si="6"/>
        <v>2</v>
      </c>
      <c r="I153" s="14">
        <v>2</v>
      </c>
      <c r="J153" s="14">
        <v>2</v>
      </c>
      <c r="K153" s="13" t="s">
        <v>2428</v>
      </c>
      <c r="L153" s="15" t="s">
        <v>992</v>
      </c>
      <c r="M153" s="15">
        <v>685</v>
      </c>
      <c r="N153" s="15">
        <v>842</v>
      </c>
      <c r="O153" s="15">
        <v>268500</v>
      </c>
      <c r="P153" s="15">
        <v>384200</v>
      </c>
      <c r="Q153" s="15"/>
    </row>
    <row r="154" spans="1:17" x14ac:dyDescent="0.25">
      <c r="A154" s="11" t="s">
        <v>2337</v>
      </c>
      <c r="B154" s="13" t="s">
        <v>1248</v>
      </c>
      <c r="C154" s="10" t="s">
        <v>1672</v>
      </c>
      <c r="D154" s="13" t="s">
        <v>1668</v>
      </c>
      <c r="E154" s="14" t="s">
        <v>1248</v>
      </c>
      <c r="F154" s="13" t="s">
        <v>773</v>
      </c>
      <c r="G154" s="13"/>
      <c r="H154" s="14">
        <f t="shared" si="6"/>
        <v>1</v>
      </c>
      <c r="I154" s="14">
        <v>1</v>
      </c>
      <c r="J154" s="14">
        <v>1</v>
      </c>
      <c r="K154" s="13" t="s">
        <v>476</v>
      </c>
      <c r="L154" s="15" t="s">
        <v>808</v>
      </c>
      <c r="M154" s="15">
        <v>684</v>
      </c>
      <c r="N154" s="15">
        <v>43</v>
      </c>
      <c r="O154" s="15">
        <v>168400</v>
      </c>
      <c r="P154" s="15">
        <v>104300</v>
      </c>
      <c r="Q154" s="15"/>
    </row>
    <row r="155" spans="1:17" x14ac:dyDescent="0.25">
      <c r="A155" s="11" t="s">
        <v>2337</v>
      </c>
      <c r="B155" s="13" t="s">
        <v>1248</v>
      </c>
      <c r="C155" s="10" t="s">
        <v>1251</v>
      </c>
      <c r="D155" s="13" t="s">
        <v>1249</v>
      </c>
      <c r="E155" s="14" t="s">
        <v>1248</v>
      </c>
      <c r="F155" s="13" t="s">
        <v>773</v>
      </c>
      <c r="G155" s="13"/>
      <c r="H155" s="14">
        <f t="shared" si="6"/>
        <v>2</v>
      </c>
      <c r="I155" s="14">
        <v>2</v>
      </c>
      <c r="J155" s="14">
        <v>1</v>
      </c>
      <c r="K155" s="13" t="s">
        <v>578</v>
      </c>
      <c r="L155" s="15" t="s">
        <v>670</v>
      </c>
      <c r="M155" s="15">
        <v>603</v>
      </c>
      <c r="N155" s="15">
        <v>907</v>
      </c>
      <c r="O155" s="15">
        <v>160300</v>
      </c>
      <c r="P155" s="15">
        <v>90700</v>
      </c>
      <c r="Q155" s="15"/>
    </row>
    <row r="156" spans="1:17" x14ac:dyDescent="0.25">
      <c r="A156" s="11" t="s">
        <v>2337</v>
      </c>
      <c r="B156" s="13" t="s">
        <v>1248</v>
      </c>
      <c r="C156" s="10" t="s">
        <v>2460</v>
      </c>
      <c r="D156" s="13" t="s">
        <v>2099</v>
      </c>
      <c r="E156" s="14" t="s">
        <v>2461</v>
      </c>
      <c r="F156" s="13" t="s">
        <v>773</v>
      </c>
      <c r="G156" s="13"/>
      <c r="H156" s="14">
        <f t="shared" si="6"/>
        <v>5</v>
      </c>
      <c r="I156" s="14">
        <v>5</v>
      </c>
      <c r="J156" s="14">
        <v>2</v>
      </c>
      <c r="K156" s="13" t="s">
        <v>2462</v>
      </c>
      <c r="L156" s="15" t="s">
        <v>2381</v>
      </c>
      <c r="M156" s="15">
        <v>931</v>
      </c>
      <c r="N156" s="15">
        <v>348</v>
      </c>
      <c r="O156" s="45"/>
      <c r="P156" s="45"/>
      <c r="Q156" s="15"/>
    </row>
    <row r="157" spans="1:17" x14ac:dyDescent="0.25">
      <c r="A157" s="11" t="s">
        <v>2337</v>
      </c>
      <c r="B157" s="13" t="s">
        <v>793</v>
      </c>
      <c r="C157" s="10" t="s">
        <v>1369</v>
      </c>
      <c r="E157" s="14" t="s">
        <v>2356</v>
      </c>
      <c r="F157" s="13" t="s">
        <v>773</v>
      </c>
      <c r="G157" s="13"/>
      <c r="H157" s="14">
        <f t="shared" si="6"/>
        <v>1</v>
      </c>
      <c r="I157" s="14">
        <v>1</v>
      </c>
      <c r="J157" s="14">
        <v>1</v>
      </c>
      <c r="K157" s="13" t="s">
        <v>2340</v>
      </c>
      <c r="L157" s="15" t="s">
        <v>798</v>
      </c>
      <c r="M157" s="15">
        <v>269</v>
      </c>
      <c r="N157" s="15">
        <v>394</v>
      </c>
      <c r="O157" s="15">
        <v>326900</v>
      </c>
      <c r="P157" s="15">
        <v>239400</v>
      </c>
      <c r="Q157" s="15"/>
    </row>
    <row r="158" spans="1:17" x14ac:dyDescent="0.25">
      <c r="A158" s="11" t="s">
        <v>2337</v>
      </c>
      <c r="B158" s="13" t="s">
        <v>878</v>
      </c>
      <c r="C158" s="10" t="s">
        <v>2379</v>
      </c>
      <c r="D158" s="13" t="s">
        <v>8</v>
      </c>
      <c r="E158" s="14" t="s">
        <v>2380</v>
      </c>
      <c r="F158" s="13" t="s">
        <v>773</v>
      </c>
      <c r="G158" s="13"/>
      <c r="H158" s="14">
        <f t="shared" si="6"/>
        <v>1</v>
      </c>
      <c r="I158" s="14">
        <v>1</v>
      </c>
      <c r="J158" s="14">
        <v>1</v>
      </c>
      <c r="K158" s="13" t="s">
        <v>2340</v>
      </c>
      <c r="L158" s="15" t="s">
        <v>2381</v>
      </c>
      <c r="M158" s="15">
        <v>748</v>
      </c>
      <c r="N158" s="15">
        <v>576</v>
      </c>
      <c r="O158" s="45"/>
      <c r="P158" s="45"/>
      <c r="Q158" s="15"/>
    </row>
    <row r="159" spans="1:17" x14ac:dyDescent="0.25">
      <c r="A159" s="11" t="s">
        <v>2337</v>
      </c>
      <c r="B159" s="13" t="s">
        <v>1977</v>
      </c>
      <c r="C159" s="10" t="s">
        <v>2354</v>
      </c>
      <c r="D159" s="13" t="s">
        <v>2355</v>
      </c>
      <c r="E159" s="14" t="s">
        <v>1972</v>
      </c>
      <c r="F159" s="13" t="s">
        <v>773</v>
      </c>
      <c r="G159" s="13"/>
      <c r="H159" s="14">
        <f>G159+I159</f>
        <v>1</v>
      </c>
      <c r="I159" s="14">
        <v>1</v>
      </c>
      <c r="J159" s="14">
        <v>1</v>
      </c>
      <c r="K159" s="13" t="s">
        <v>2340</v>
      </c>
      <c r="L159" s="15" t="s">
        <v>1973</v>
      </c>
      <c r="M159" s="15">
        <v>326</v>
      </c>
      <c r="N159" s="15">
        <v>53</v>
      </c>
      <c r="O159" s="45"/>
      <c r="P159" s="45"/>
      <c r="Q159" s="15"/>
    </row>
    <row r="160" spans="1:17" x14ac:dyDescent="0.25">
      <c r="A160" s="11" t="s">
        <v>2337</v>
      </c>
      <c r="B160" s="13" t="s">
        <v>1977</v>
      </c>
      <c r="C160" s="10" t="s">
        <v>1971</v>
      </c>
      <c r="D160" s="13" t="s">
        <v>188</v>
      </c>
      <c r="E160" s="14" t="s">
        <v>1972</v>
      </c>
      <c r="F160" s="13" t="s">
        <v>773</v>
      </c>
      <c r="G160" s="13"/>
      <c r="H160" s="14">
        <f t="shared" si="6"/>
        <v>1</v>
      </c>
      <c r="I160" s="14">
        <v>1</v>
      </c>
      <c r="J160" s="14">
        <v>1</v>
      </c>
      <c r="K160" s="13" t="s">
        <v>2340</v>
      </c>
      <c r="L160" s="15" t="s">
        <v>1973</v>
      </c>
      <c r="M160" s="15">
        <v>32691</v>
      </c>
      <c r="N160" s="15">
        <v>5384</v>
      </c>
      <c r="O160" s="45"/>
      <c r="P160" s="45"/>
      <c r="Q160" s="15"/>
    </row>
    <row r="161" spans="1:17" x14ac:dyDescent="0.25">
      <c r="A161" s="11" t="s">
        <v>2337</v>
      </c>
      <c r="B161" s="13" t="s">
        <v>804</v>
      </c>
      <c r="C161" s="10" t="s">
        <v>2378</v>
      </c>
      <c r="D161" s="13" t="s">
        <v>1207</v>
      </c>
      <c r="E161" s="14" t="s">
        <v>804</v>
      </c>
      <c r="F161" s="13" t="s">
        <v>773</v>
      </c>
      <c r="G161" s="13"/>
      <c r="H161" s="14">
        <f t="shared" si="6"/>
        <v>1</v>
      </c>
      <c r="I161" s="14">
        <v>1</v>
      </c>
      <c r="J161" s="14">
        <v>1</v>
      </c>
      <c r="K161" s="13" t="s">
        <v>1789</v>
      </c>
      <c r="L161" s="45"/>
      <c r="M161" s="45"/>
      <c r="N161" s="45"/>
      <c r="O161" s="45"/>
      <c r="P161" s="45"/>
      <c r="Q161" s="15"/>
    </row>
    <row r="162" spans="1:17" ht="33.75" x14ac:dyDescent="0.25">
      <c r="A162" s="11" t="s">
        <v>2337</v>
      </c>
      <c r="B162" s="13" t="s">
        <v>2456</v>
      </c>
      <c r="C162" s="10" t="s">
        <v>2458</v>
      </c>
      <c r="D162" s="13" t="s">
        <v>2459</v>
      </c>
      <c r="E162" s="14" t="s">
        <v>2456</v>
      </c>
      <c r="F162" s="13" t="s">
        <v>773</v>
      </c>
      <c r="G162" s="13"/>
      <c r="H162" s="14">
        <f t="shared" si="6"/>
        <v>1</v>
      </c>
      <c r="I162" s="14">
        <v>1</v>
      </c>
      <c r="J162" s="14">
        <v>1</v>
      </c>
      <c r="K162" s="13" t="s">
        <v>414</v>
      </c>
      <c r="L162" s="46" t="s">
        <v>667</v>
      </c>
      <c r="M162" s="46">
        <v>103</v>
      </c>
      <c r="N162" s="46">
        <v>625</v>
      </c>
      <c r="O162" s="45"/>
      <c r="P162" s="45"/>
      <c r="Q162" s="15"/>
    </row>
    <row r="163" spans="1:17" x14ac:dyDescent="0.25">
      <c r="A163" s="11" t="s">
        <v>2337</v>
      </c>
      <c r="B163" s="13" t="s">
        <v>785</v>
      </c>
      <c r="C163" s="10" t="s">
        <v>1204</v>
      </c>
      <c r="D163" s="13" t="s">
        <v>780</v>
      </c>
      <c r="E163" s="14" t="s">
        <v>1205</v>
      </c>
      <c r="F163" s="13" t="s">
        <v>773</v>
      </c>
      <c r="G163" s="13"/>
      <c r="H163" s="14">
        <f t="shared" si="6"/>
        <v>1</v>
      </c>
      <c r="I163" s="14">
        <v>1</v>
      </c>
      <c r="J163" s="14">
        <v>1</v>
      </c>
      <c r="K163" s="13" t="s">
        <v>79</v>
      </c>
      <c r="L163" s="15" t="s">
        <v>802</v>
      </c>
      <c r="M163" s="15">
        <v>97</v>
      </c>
      <c r="N163" s="15">
        <v>381</v>
      </c>
      <c r="O163" s="15">
        <v>109700</v>
      </c>
      <c r="P163" s="15">
        <v>338100</v>
      </c>
      <c r="Q163" s="15"/>
    </row>
    <row r="164" spans="1:17" x14ac:dyDescent="0.25">
      <c r="A164" s="11" t="s">
        <v>2337</v>
      </c>
      <c r="B164" s="13" t="s">
        <v>785</v>
      </c>
      <c r="C164" s="10" t="s">
        <v>1204</v>
      </c>
      <c r="D164" s="13" t="s">
        <v>1207</v>
      </c>
      <c r="E164" s="14" t="s">
        <v>1205</v>
      </c>
      <c r="F164" s="13" t="s">
        <v>773</v>
      </c>
      <c r="G164" s="13"/>
      <c r="H164" s="14">
        <f>G164+I164</f>
        <v>1</v>
      </c>
      <c r="I164" s="14">
        <v>1</v>
      </c>
      <c r="J164" s="14">
        <v>1</v>
      </c>
      <c r="K164" s="13" t="s">
        <v>1211</v>
      </c>
      <c r="L164" s="15" t="s">
        <v>802</v>
      </c>
      <c r="M164" s="15">
        <v>97</v>
      </c>
      <c r="N164" s="15">
        <v>381</v>
      </c>
      <c r="O164" s="15">
        <v>109700</v>
      </c>
      <c r="P164" s="15">
        <v>338100</v>
      </c>
      <c r="Q164" s="15"/>
    </row>
    <row r="165" spans="1:17" x14ac:dyDescent="0.25">
      <c r="A165" s="11" t="s">
        <v>2337</v>
      </c>
      <c r="B165" s="13" t="s">
        <v>785</v>
      </c>
      <c r="C165" s="10" t="s">
        <v>2372</v>
      </c>
      <c r="D165" s="13" t="s">
        <v>780</v>
      </c>
      <c r="E165" s="14" t="s">
        <v>2373</v>
      </c>
      <c r="F165" s="13" t="s">
        <v>773</v>
      </c>
      <c r="G165" s="13"/>
      <c r="H165" s="14">
        <f>G165+I165</f>
        <v>2</v>
      </c>
      <c r="I165" s="14">
        <v>2</v>
      </c>
      <c r="J165" s="14">
        <v>2</v>
      </c>
      <c r="K165" s="13" t="s">
        <v>2376</v>
      </c>
      <c r="L165" s="15" t="s">
        <v>802</v>
      </c>
      <c r="M165" s="15">
        <v>48</v>
      </c>
      <c r="N165" s="15">
        <v>405</v>
      </c>
      <c r="O165" s="45"/>
      <c r="P165" s="45"/>
      <c r="Q165" s="15"/>
    </row>
    <row r="166" spans="1:17" x14ac:dyDescent="0.25">
      <c r="A166" s="11" t="s">
        <v>2337</v>
      </c>
      <c r="B166" s="13" t="s">
        <v>785</v>
      </c>
      <c r="C166" s="10" t="s">
        <v>2374</v>
      </c>
      <c r="D166" s="13" t="s">
        <v>780</v>
      </c>
      <c r="E166" s="14" t="s">
        <v>2373</v>
      </c>
      <c r="F166" s="13" t="s">
        <v>773</v>
      </c>
      <c r="G166" s="13"/>
      <c r="H166" s="14">
        <f>G166+I166</f>
        <v>1</v>
      </c>
      <c r="I166" s="14">
        <v>1</v>
      </c>
      <c r="J166" s="14">
        <v>1</v>
      </c>
      <c r="K166" s="13" t="s">
        <v>1788</v>
      </c>
      <c r="L166" s="15" t="s">
        <v>2377</v>
      </c>
      <c r="M166" s="15">
        <v>984</v>
      </c>
      <c r="N166" s="15">
        <v>406</v>
      </c>
      <c r="O166" s="45"/>
      <c r="P166" s="45"/>
      <c r="Q166" s="15"/>
    </row>
    <row r="167" spans="1:17" x14ac:dyDescent="0.25">
      <c r="A167" s="11" t="s">
        <v>2337</v>
      </c>
      <c r="B167" s="13" t="s">
        <v>785</v>
      </c>
      <c r="C167" s="10" t="s">
        <v>2375</v>
      </c>
      <c r="D167" s="13" t="s">
        <v>780</v>
      </c>
      <c r="E167" s="14" t="s">
        <v>1205</v>
      </c>
      <c r="F167" s="13" t="s">
        <v>773</v>
      </c>
      <c r="G167" s="13"/>
      <c r="H167" s="14">
        <f>G167+I167</f>
        <v>2</v>
      </c>
      <c r="I167" s="14">
        <v>2</v>
      </c>
      <c r="J167" s="14">
        <v>2</v>
      </c>
      <c r="K167" s="13" t="s">
        <v>2376</v>
      </c>
      <c r="L167" s="15" t="s">
        <v>802</v>
      </c>
      <c r="M167" s="15">
        <v>58</v>
      </c>
      <c r="N167" s="15">
        <v>401</v>
      </c>
      <c r="O167" s="45"/>
      <c r="P167" s="53"/>
      <c r="Q167" s="15"/>
    </row>
    <row r="168" spans="1:17" x14ac:dyDescent="0.25">
      <c r="A168" s="11" t="s">
        <v>2337</v>
      </c>
      <c r="B168" s="13" t="s">
        <v>795</v>
      </c>
      <c r="C168" s="10" t="s">
        <v>2418</v>
      </c>
      <c r="D168" s="13" t="s">
        <v>2419</v>
      </c>
      <c r="E168" s="14" t="s">
        <v>797</v>
      </c>
      <c r="F168" s="13" t="s">
        <v>773</v>
      </c>
      <c r="G168" s="13"/>
      <c r="H168" s="14">
        <f>G168+I168</f>
        <v>1</v>
      </c>
      <c r="I168" s="14">
        <v>1</v>
      </c>
      <c r="J168" s="14">
        <v>1</v>
      </c>
      <c r="K168" s="13" t="s">
        <v>684</v>
      </c>
      <c r="L168" s="45"/>
      <c r="M168" s="45"/>
      <c r="N168" s="45"/>
      <c r="O168" s="45"/>
      <c r="P168" s="53"/>
      <c r="Q168" s="15"/>
    </row>
    <row r="169" spans="1:17" ht="22.5" x14ac:dyDescent="0.25">
      <c r="A169" s="11" t="s">
        <v>2337</v>
      </c>
      <c r="B169" s="13" t="s">
        <v>795</v>
      </c>
      <c r="C169" s="10" t="s">
        <v>1237</v>
      </c>
      <c r="D169" s="13" t="s">
        <v>41</v>
      </c>
      <c r="E169" s="14" t="s">
        <v>797</v>
      </c>
      <c r="F169" s="13" t="s">
        <v>773</v>
      </c>
      <c r="G169" s="13"/>
      <c r="H169" s="14">
        <f t="shared" si="6"/>
        <v>2</v>
      </c>
      <c r="I169" s="14">
        <v>2</v>
      </c>
      <c r="J169" s="14">
        <v>2</v>
      </c>
      <c r="K169" s="13" t="s">
        <v>2417</v>
      </c>
      <c r="L169" s="15" t="s">
        <v>798</v>
      </c>
      <c r="M169" s="15">
        <v>24</v>
      </c>
      <c r="N169" s="15">
        <v>737</v>
      </c>
      <c r="O169" s="15">
        <v>302400</v>
      </c>
      <c r="P169" s="15">
        <v>273700</v>
      </c>
      <c r="Q169" s="15"/>
    </row>
    <row r="170" spans="1:17" ht="22.5" x14ac:dyDescent="0.25">
      <c r="A170" s="11" t="s">
        <v>2337</v>
      </c>
      <c r="B170" s="13" t="s">
        <v>795</v>
      </c>
      <c r="C170" s="10" t="s">
        <v>983</v>
      </c>
      <c r="D170" s="13" t="s">
        <v>800</v>
      </c>
      <c r="E170" s="14" t="s">
        <v>797</v>
      </c>
      <c r="F170" s="13" t="s">
        <v>773</v>
      </c>
      <c r="G170" s="13"/>
      <c r="H170" s="14">
        <f t="shared" si="6"/>
        <v>4</v>
      </c>
      <c r="I170" s="14">
        <v>4</v>
      </c>
      <c r="J170" s="14">
        <v>4</v>
      </c>
      <c r="K170" s="13" t="s">
        <v>2482</v>
      </c>
      <c r="L170" s="15" t="s">
        <v>667</v>
      </c>
      <c r="M170" s="15">
        <v>996</v>
      </c>
      <c r="N170" s="15">
        <v>735</v>
      </c>
      <c r="O170" s="15">
        <v>299600</v>
      </c>
      <c r="P170" s="15">
        <v>273500</v>
      </c>
      <c r="Q170" s="15"/>
    </row>
    <row r="171" spans="1:17" x14ac:dyDescent="0.25">
      <c r="A171" s="11" t="s">
        <v>2337</v>
      </c>
      <c r="B171" s="13" t="s">
        <v>795</v>
      </c>
      <c r="C171" s="10" t="s">
        <v>1240</v>
      </c>
      <c r="D171" s="13" t="s">
        <v>18</v>
      </c>
      <c r="E171" s="14" t="s">
        <v>797</v>
      </c>
      <c r="F171" s="13" t="s">
        <v>773</v>
      </c>
      <c r="G171" s="13"/>
      <c r="H171" s="14">
        <f t="shared" ref="H171:H201" si="7">G171+I171</f>
        <v>1</v>
      </c>
      <c r="I171" s="14">
        <v>1</v>
      </c>
      <c r="J171" s="14">
        <v>1</v>
      </c>
      <c r="K171" s="13" t="s">
        <v>684</v>
      </c>
      <c r="L171" s="15" t="s">
        <v>798</v>
      </c>
      <c r="M171" s="15">
        <v>6</v>
      </c>
      <c r="N171" s="15">
        <v>755</v>
      </c>
      <c r="O171" s="15">
        <v>300600</v>
      </c>
      <c r="P171" s="15">
        <v>275500</v>
      </c>
      <c r="Q171" s="15"/>
    </row>
    <row r="172" spans="1:17" ht="22.5" x14ac:dyDescent="0.25">
      <c r="A172" s="11" t="s">
        <v>2337</v>
      </c>
      <c r="B172" s="13" t="s">
        <v>795</v>
      </c>
      <c r="C172" s="10" t="s">
        <v>796</v>
      </c>
      <c r="D172" s="13" t="s">
        <v>800</v>
      </c>
      <c r="E172" s="14" t="s">
        <v>797</v>
      </c>
      <c r="F172" s="13" t="s">
        <v>773</v>
      </c>
      <c r="G172" s="13"/>
      <c r="H172" s="14">
        <f t="shared" si="7"/>
        <v>7</v>
      </c>
      <c r="I172" s="14">
        <v>7</v>
      </c>
      <c r="J172" s="14">
        <v>7</v>
      </c>
      <c r="K172" s="13" t="s">
        <v>2581</v>
      </c>
      <c r="L172" s="15" t="s">
        <v>798</v>
      </c>
      <c r="M172" s="15">
        <v>6</v>
      </c>
      <c r="N172" s="15">
        <v>727</v>
      </c>
      <c r="O172" s="15">
        <v>300600</v>
      </c>
      <c r="P172" s="15">
        <v>272700</v>
      </c>
      <c r="Q172" s="15"/>
    </row>
    <row r="173" spans="1:17" ht="22.5" x14ac:dyDescent="0.25">
      <c r="A173" s="11" t="s">
        <v>2337</v>
      </c>
      <c r="B173" s="13" t="s">
        <v>772</v>
      </c>
      <c r="C173" s="10" t="s">
        <v>806</v>
      </c>
      <c r="D173" s="13" t="s">
        <v>800</v>
      </c>
      <c r="E173" s="14" t="s">
        <v>1220</v>
      </c>
      <c r="F173" s="14" t="s">
        <v>773</v>
      </c>
      <c r="G173" s="13"/>
      <c r="H173" s="14">
        <f t="shared" si="7"/>
        <v>3</v>
      </c>
      <c r="I173" s="14">
        <v>3</v>
      </c>
      <c r="J173" s="14">
        <v>2</v>
      </c>
      <c r="K173" s="13" t="s">
        <v>2351</v>
      </c>
      <c r="L173" s="15" t="s">
        <v>802</v>
      </c>
      <c r="M173" s="15">
        <v>663</v>
      </c>
      <c r="N173" s="15">
        <v>337</v>
      </c>
      <c r="O173" s="15">
        <v>166300</v>
      </c>
      <c r="P173" s="15">
        <v>333700</v>
      </c>
      <c r="Q173" s="15"/>
    </row>
    <row r="174" spans="1:17" ht="22.5" x14ac:dyDescent="0.25">
      <c r="A174" s="11" t="s">
        <v>2337</v>
      </c>
      <c r="C174" s="10" t="s">
        <v>1892</v>
      </c>
      <c r="F174" s="14" t="s">
        <v>874</v>
      </c>
      <c r="G174" s="13">
        <v>43</v>
      </c>
      <c r="H174" s="14">
        <f t="shared" si="7"/>
        <v>43</v>
      </c>
      <c r="J174" s="14">
        <v>26</v>
      </c>
      <c r="K174" s="13" t="s">
        <v>2590</v>
      </c>
      <c r="Q174" s="15"/>
    </row>
    <row r="175" spans="1:17" x14ac:dyDescent="0.25">
      <c r="A175" s="11" t="s">
        <v>2337</v>
      </c>
      <c r="C175" s="10" t="s">
        <v>489</v>
      </c>
      <c r="F175" s="14" t="s">
        <v>874</v>
      </c>
      <c r="G175" s="13">
        <v>4</v>
      </c>
      <c r="H175" s="14">
        <f t="shared" si="7"/>
        <v>4</v>
      </c>
      <c r="J175" s="14">
        <v>4</v>
      </c>
      <c r="K175" s="13" t="s">
        <v>2445</v>
      </c>
      <c r="Q175" s="15"/>
    </row>
    <row r="176" spans="1:17" ht="22.5" x14ac:dyDescent="0.25">
      <c r="A176" s="11" t="s">
        <v>2337</v>
      </c>
      <c r="C176" s="10" t="s">
        <v>679</v>
      </c>
      <c r="F176" s="14" t="s">
        <v>11</v>
      </c>
      <c r="G176" s="13">
        <v>23</v>
      </c>
      <c r="H176" s="14">
        <f t="shared" si="7"/>
        <v>23</v>
      </c>
      <c r="J176" s="14">
        <v>20</v>
      </c>
      <c r="K176" s="13" t="s">
        <v>2539</v>
      </c>
      <c r="Q176" s="15"/>
    </row>
    <row r="177" spans="1:17" x14ac:dyDescent="0.25">
      <c r="A177" s="11" t="s">
        <v>2337</v>
      </c>
      <c r="C177" s="10" t="s">
        <v>2533</v>
      </c>
      <c r="F177" s="14" t="s">
        <v>11</v>
      </c>
      <c r="G177" s="13">
        <v>1</v>
      </c>
      <c r="H177" s="14">
        <f t="shared" si="7"/>
        <v>1</v>
      </c>
      <c r="J177" s="14">
        <v>1</v>
      </c>
      <c r="K177" s="13" t="s">
        <v>2530</v>
      </c>
      <c r="Q177" s="15"/>
    </row>
    <row r="178" spans="1:17" x14ac:dyDescent="0.25">
      <c r="A178" s="11" t="s">
        <v>2337</v>
      </c>
      <c r="C178" s="10" t="s">
        <v>265</v>
      </c>
      <c r="F178" s="14" t="s">
        <v>874</v>
      </c>
      <c r="G178" s="13">
        <v>2</v>
      </c>
      <c r="H178" s="14">
        <f t="shared" si="7"/>
        <v>2</v>
      </c>
      <c r="J178" s="14">
        <v>2</v>
      </c>
      <c r="K178" s="13" t="s">
        <v>2422</v>
      </c>
      <c r="Q178" s="15"/>
    </row>
    <row r="179" spans="1:17" x14ac:dyDescent="0.25">
      <c r="A179" s="11" t="s">
        <v>2337</v>
      </c>
      <c r="C179" s="10" t="s">
        <v>303</v>
      </c>
      <c r="F179" s="14" t="s">
        <v>11</v>
      </c>
      <c r="G179" s="13">
        <v>8</v>
      </c>
      <c r="H179" s="14">
        <f t="shared" si="7"/>
        <v>8</v>
      </c>
      <c r="J179" s="14">
        <v>6</v>
      </c>
      <c r="K179" s="13" t="s">
        <v>2569</v>
      </c>
      <c r="Q179" s="15"/>
    </row>
    <row r="180" spans="1:17" x14ac:dyDescent="0.25">
      <c r="A180" s="11" t="s">
        <v>2337</v>
      </c>
      <c r="C180" s="10" t="s">
        <v>841</v>
      </c>
      <c r="F180" s="14" t="s">
        <v>11</v>
      </c>
      <c r="G180" s="13">
        <v>1</v>
      </c>
      <c r="H180" s="14">
        <f t="shared" si="7"/>
        <v>1</v>
      </c>
      <c r="J180" s="14">
        <v>1</v>
      </c>
      <c r="K180" s="13" t="s">
        <v>866</v>
      </c>
      <c r="Q180" s="15"/>
    </row>
    <row r="181" spans="1:17" x14ac:dyDescent="0.25">
      <c r="A181" s="11" t="s">
        <v>2337</v>
      </c>
      <c r="C181" s="10" t="s">
        <v>302</v>
      </c>
      <c r="F181" s="14" t="s">
        <v>35</v>
      </c>
      <c r="G181" s="13">
        <v>3</v>
      </c>
      <c r="H181" s="14">
        <f t="shared" si="7"/>
        <v>3</v>
      </c>
      <c r="J181" s="14">
        <v>3</v>
      </c>
      <c r="K181" s="13" t="s">
        <v>2574</v>
      </c>
      <c r="Q181" s="15"/>
    </row>
    <row r="182" spans="1:17" x14ac:dyDescent="0.25">
      <c r="A182" s="11" t="s">
        <v>2337</v>
      </c>
      <c r="C182" s="10" t="s">
        <v>1893</v>
      </c>
      <c r="F182" s="14" t="s">
        <v>874</v>
      </c>
      <c r="G182" s="13">
        <v>1</v>
      </c>
      <c r="H182" s="14">
        <f t="shared" si="7"/>
        <v>1</v>
      </c>
      <c r="J182" s="14">
        <v>1</v>
      </c>
      <c r="K182" s="13" t="s">
        <v>2178</v>
      </c>
      <c r="Q182" s="15"/>
    </row>
    <row r="183" spans="1:17" x14ac:dyDescent="0.25">
      <c r="A183" s="11" t="s">
        <v>2337</v>
      </c>
      <c r="B183" s="13" t="s">
        <v>76</v>
      </c>
      <c r="C183" s="10" t="s">
        <v>2478</v>
      </c>
      <c r="D183" s="13" t="s">
        <v>39</v>
      </c>
      <c r="E183" s="14" t="s">
        <v>2479</v>
      </c>
      <c r="F183" s="14" t="s">
        <v>11</v>
      </c>
      <c r="G183" s="13"/>
      <c r="H183" s="14">
        <f>G183+I183</f>
        <v>1</v>
      </c>
      <c r="I183" s="14">
        <v>1</v>
      </c>
      <c r="J183" s="14">
        <v>1</v>
      </c>
      <c r="K183" s="13" t="s">
        <v>502</v>
      </c>
      <c r="Q183" s="15"/>
    </row>
    <row r="184" spans="1:17" x14ac:dyDescent="0.25">
      <c r="A184" s="11" t="s">
        <v>2337</v>
      </c>
      <c r="B184" s="13" t="s">
        <v>213</v>
      </c>
      <c r="C184" s="10" t="s">
        <v>1845</v>
      </c>
      <c r="F184" s="14" t="s">
        <v>11</v>
      </c>
      <c r="G184" s="13">
        <v>1</v>
      </c>
      <c r="H184" s="14">
        <f t="shared" si="7"/>
        <v>1</v>
      </c>
      <c r="J184" s="14">
        <v>1</v>
      </c>
      <c r="K184" s="13" t="s">
        <v>1038</v>
      </c>
      <c r="Q184" s="15"/>
    </row>
    <row r="185" spans="1:17" x14ac:dyDescent="0.25">
      <c r="A185" s="11" t="s">
        <v>2337</v>
      </c>
      <c r="B185" s="13" t="s">
        <v>42</v>
      </c>
      <c r="C185" s="10" t="s">
        <v>42</v>
      </c>
      <c r="F185" s="14" t="s">
        <v>11</v>
      </c>
      <c r="G185" s="13">
        <v>15</v>
      </c>
      <c r="H185" s="14">
        <f t="shared" si="7"/>
        <v>15</v>
      </c>
      <c r="J185" s="14">
        <v>8</v>
      </c>
      <c r="K185" s="13" t="s">
        <v>2542</v>
      </c>
      <c r="Q185" s="15"/>
    </row>
    <row r="186" spans="1:17" x14ac:dyDescent="0.25">
      <c r="A186" s="11" t="s">
        <v>2337</v>
      </c>
      <c r="B186" s="13" t="s">
        <v>42</v>
      </c>
      <c r="C186" s="10" t="s">
        <v>375</v>
      </c>
      <c r="F186" s="14" t="s">
        <v>11</v>
      </c>
      <c r="G186" s="13">
        <v>2</v>
      </c>
      <c r="H186" s="14">
        <f>G186+I186</f>
        <v>2</v>
      </c>
      <c r="J186" s="14">
        <v>2</v>
      </c>
      <c r="K186" s="13" t="s">
        <v>2363</v>
      </c>
      <c r="Q186" s="15"/>
    </row>
    <row r="187" spans="1:17" x14ac:dyDescent="0.25">
      <c r="A187" s="11" t="s">
        <v>2337</v>
      </c>
      <c r="B187" s="13" t="s">
        <v>42</v>
      </c>
      <c r="C187" s="10" t="s">
        <v>361</v>
      </c>
      <c r="F187" s="14" t="s">
        <v>11</v>
      </c>
      <c r="G187" s="13">
        <v>2</v>
      </c>
      <c r="H187" s="14">
        <f>G187+I187</f>
        <v>2</v>
      </c>
      <c r="J187" s="14">
        <v>1</v>
      </c>
      <c r="K187" s="13" t="s">
        <v>546</v>
      </c>
      <c r="Q187" s="15"/>
    </row>
    <row r="188" spans="1:17" x14ac:dyDescent="0.25">
      <c r="A188" s="11" t="s">
        <v>2337</v>
      </c>
      <c r="B188" s="13" t="s">
        <v>42</v>
      </c>
      <c r="E188" s="14" t="s">
        <v>323</v>
      </c>
      <c r="F188" s="14" t="s">
        <v>11</v>
      </c>
      <c r="G188" s="13">
        <v>9</v>
      </c>
      <c r="H188" s="14">
        <f t="shared" si="7"/>
        <v>9</v>
      </c>
      <c r="J188" s="14">
        <v>3</v>
      </c>
      <c r="K188" s="13" t="s">
        <v>2541</v>
      </c>
      <c r="Q188" s="15"/>
    </row>
    <row r="189" spans="1:17" x14ac:dyDescent="0.25">
      <c r="A189" s="11" t="s">
        <v>2337</v>
      </c>
      <c r="B189" s="13" t="s">
        <v>42</v>
      </c>
      <c r="C189" s="10" t="s">
        <v>299</v>
      </c>
      <c r="E189" s="14" t="s">
        <v>300</v>
      </c>
      <c r="F189" s="14" t="s">
        <v>11</v>
      </c>
      <c r="G189" s="13">
        <v>1</v>
      </c>
      <c r="H189" s="14">
        <f t="shared" si="7"/>
        <v>1</v>
      </c>
      <c r="J189" s="14">
        <v>1</v>
      </c>
      <c r="K189" s="13" t="s">
        <v>546</v>
      </c>
      <c r="Q189" s="15"/>
    </row>
    <row r="190" spans="1:17" x14ac:dyDescent="0.25">
      <c r="A190" s="11" t="s">
        <v>2337</v>
      </c>
      <c r="B190" s="13" t="s">
        <v>10</v>
      </c>
      <c r="E190" s="14" t="s">
        <v>326</v>
      </c>
      <c r="F190" s="14" t="s">
        <v>11</v>
      </c>
      <c r="G190" s="13">
        <v>6</v>
      </c>
      <c r="H190" s="14">
        <f t="shared" si="7"/>
        <v>6</v>
      </c>
      <c r="J190" s="14">
        <v>5</v>
      </c>
      <c r="K190" s="13" t="s">
        <v>2506</v>
      </c>
      <c r="Q190" s="15"/>
    </row>
    <row r="191" spans="1:17" x14ac:dyDescent="0.25">
      <c r="A191" s="11" t="s">
        <v>2337</v>
      </c>
      <c r="B191" s="13" t="s">
        <v>126</v>
      </c>
      <c r="E191" s="14" t="s">
        <v>1137</v>
      </c>
      <c r="F191" s="14" t="s">
        <v>11</v>
      </c>
      <c r="G191" s="13">
        <v>2</v>
      </c>
      <c r="H191" s="14">
        <f t="shared" si="7"/>
        <v>2</v>
      </c>
      <c r="J191" s="14">
        <v>2</v>
      </c>
      <c r="K191" s="13" t="s">
        <v>2518</v>
      </c>
      <c r="Q191" s="15"/>
    </row>
    <row r="192" spans="1:17" x14ac:dyDescent="0.25">
      <c r="A192" s="11" t="s">
        <v>2337</v>
      </c>
      <c r="B192" s="13" t="s">
        <v>126</v>
      </c>
      <c r="C192" s="10" t="s">
        <v>2408</v>
      </c>
      <c r="D192" s="13" t="s">
        <v>1940</v>
      </c>
      <c r="E192" s="14" t="s">
        <v>1137</v>
      </c>
      <c r="F192" s="14" t="s">
        <v>11</v>
      </c>
      <c r="G192" s="13">
        <v>1</v>
      </c>
      <c r="H192" s="14">
        <f>G192+I192</f>
        <v>1</v>
      </c>
      <c r="J192" s="14">
        <v>1</v>
      </c>
      <c r="K192" s="13" t="s">
        <v>87</v>
      </c>
      <c r="Q192" s="15"/>
    </row>
    <row r="193" spans="1:17" x14ac:dyDescent="0.25">
      <c r="A193" s="11" t="s">
        <v>2337</v>
      </c>
      <c r="B193" s="13" t="s">
        <v>126</v>
      </c>
      <c r="C193" s="10" t="s">
        <v>2512</v>
      </c>
      <c r="E193" s="14" t="s">
        <v>1137</v>
      </c>
      <c r="F193" s="14" t="s">
        <v>11</v>
      </c>
      <c r="G193" s="13">
        <v>2</v>
      </c>
      <c r="H193" s="14">
        <f>G193+I193</f>
        <v>2</v>
      </c>
      <c r="J193" s="14">
        <v>2</v>
      </c>
      <c r="K193" s="13" t="s">
        <v>2519</v>
      </c>
      <c r="Q193" s="15"/>
    </row>
    <row r="194" spans="1:17" x14ac:dyDescent="0.25">
      <c r="A194" s="11" t="s">
        <v>2337</v>
      </c>
      <c r="B194" s="13" t="s">
        <v>126</v>
      </c>
      <c r="C194" s="10" t="s">
        <v>2513</v>
      </c>
      <c r="E194" s="14" t="s">
        <v>1137</v>
      </c>
      <c r="F194" s="14" t="s">
        <v>11</v>
      </c>
      <c r="G194" s="13">
        <v>2</v>
      </c>
      <c r="H194" s="14">
        <f>G194+I194</f>
        <v>2</v>
      </c>
      <c r="J194" s="14">
        <v>2</v>
      </c>
      <c r="K194" s="13" t="s">
        <v>2519</v>
      </c>
      <c r="Q194" s="15"/>
    </row>
    <row r="195" spans="1:17" x14ac:dyDescent="0.25">
      <c r="A195" s="11" t="s">
        <v>2337</v>
      </c>
      <c r="B195" s="13" t="s">
        <v>191</v>
      </c>
      <c r="F195" s="14" t="s">
        <v>11</v>
      </c>
      <c r="G195" s="13">
        <v>3</v>
      </c>
      <c r="H195" s="14">
        <f t="shared" si="7"/>
        <v>3</v>
      </c>
      <c r="J195" s="14">
        <v>1</v>
      </c>
      <c r="K195" s="13" t="s">
        <v>846</v>
      </c>
      <c r="Q195" s="15"/>
    </row>
    <row r="196" spans="1:17" x14ac:dyDescent="0.25">
      <c r="A196" s="11" t="s">
        <v>2337</v>
      </c>
      <c r="B196" s="13" t="s">
        <v>191</v>
      </c>
      <c r="C196" s="10" t="s">
        <v>2555</v>
      </c>
      <c r="F196" s="14" t="s">
        <v>11</v>
      </c>
      <c r="G196" s="13">
        <v>1</v>
      </c>
      <c r="H196" s="14">
        <f>G196+I196</f>
        <v>1</v>
      </c>
      <c r="J196" s="14">
        <v>1</v>
      </c>
      <c r="K196" s="13" t="s">
        <v>860</v>
      </c>
      <c r="Q196" s="15"/>
    </row>
    <row r="197" spans="1:17" x14ac:dyDescent="0.25">
      <c r="A197" s="11" t="s">
        <v>2337</v>
      </c>
      <c r="B197" s="13" t="s">
        <v>191</v>
      </c>
      <c r="C197" s="10" t="s">
        <v>43</v>
      </c>
      <c r="E197" s="14" t="s">
        <v>43</v>
      </c>
      <c r="F197" s="14" t="s">
        <v>11</v>
      </c>
      <c r="G197" s="13">
        <v>2</v>
      </c>
      <c r="H197" s="14">
        <f>G197+I197</f>
        <v>2</v>
      </c>
      <c r="J197" s="14">
        <v>1</v>
      </c>
      <c r="K197" s="13" t="s">
        <v>840</v>
      </c>
      <c r="Q197" s="15"/>
    </row>
    <row r="198" spans="1:17" x14ac:dyDescent="0.25">
      <c r="A198" s="11" t="s">
        <v>2337</v>
      </c>
      <c r="B198" s="13" t="s">
        <v>191</v>
      </c>
      <c r="C198" s="10" t="s">
        <v>2534</v>
      </c>
      <c r="F198" s="14" t="s">
        <v>11</v>
      </c>
      <c r="G198" s="13">
        <v>1</v>
      </c>
      <c r="H198" s="14">
        <f>G198+I198</f>
        <v>1</v>
      </c>
      <c r="J198" s="14">
        <v>1</v>
      </c>
      <c r="K198" s="13" t="s">
        <v>840</v>
      </c>
      <c r="Q198" s="15"/>
    </row>
    <row r="199" spans="1:17" x14ac:dyDescent="0.25">
      <c r="A199" s="11" t="s">
        <v>2337</v>
      </c>
      <c r="B199" s="13" t="s">
        <v>191</v>
      </c>
      <c r="C199" s="10" t="s">
        <v>1625</v>
      </c>
      <c r="D199" s="13" t="s">
        <v>1940</v>
      </c>
      <c r="E199" s="14" t="s">
        <v>43</v>
      </c>
      <c r="F199" s="14" t="s">
        <v>11</v>
      </c>
      <c r="G199" s="13">
        <v>7</v>
      </c>
      <c r="H199" s="14">
        <f>G199+I199</f>
        <v>7</v>
      </c>
      <c r="J199" s="14">
        <v>4</v>
      </c>
      <c r="K199" s="13" t="s">
        <v>2540</v>
      </c>
      <c r="Q199" s="15"/>
    </row>
    <row r="200" spans="1:17" x14ac:dyDescent="0.25">
      <c r="A200" s="11" t="s">
        <v>2337</v>
      </c>
      <c r="B200" s="13" t="s">
        <v>191</v>
      </c>
      <c r="C200" s="10" t="s">
        <v>2423</v>
      </c>
      <c r="F200" s="14" t="s">
        <v>11</v>
      </c>
      <c r="G200" s="13">
        <v>1</v>
      </c>
      <c r="H200" s="14">
        <f>G200+I200</f>
        <v>1</v>
      </c>
      <c r="J200" s="14">
        <v>1</v>
      </c>
      <c r="K200" s="13" t="s">
        <v>252</v>
      </c>
      <c r="Q200" s="15"/>
    </row>
    <row r="201" spans="1:17" x14ac:dyDescent="0.25">
      <c r="A201" s="11" t="s">
        <v>2337</v>
      </c>
      <c r="B201" s="13" t="s">
        <v>68</v>
      </c>
      <c r="C201" s="10" t="s">
        <v>2528</v>
      </c>
      <c r="F201" s="14" t="s">
        <v>11</v>
      </c>
      <c r="G201" s="13">
        <v>1</v>
      </c>
      <c r="H201" s="14">
        <f t="shared" si="7"/>
        <v>1</v>
      </c>
      <c r="J201" s="14">
        <v>1</v>
      </c>
      <c r="K201" s="13" t="s">
        <v>828</v>
      </c>
      <c r="Q201" s="15"/>
    </row>
    <row r="202" spans="1:17" x14ac:dyDescent="0.25">
      <c r="A202" s="11" t="s">
        <v>2337</v>
      </c>
      <c r="B202" s="13" t="s">
        <v>68</v>
      </c>
      <c r="C202" s="10" t="s">
        <v>2396</v>
      </c>
      <c r="E202" s="14" t="s">
        <v>2397</v>
      </c>
      <c r="F202" s="14" t="s">
        <v>11</v>
      </c>
      <c r="G202" s="13">
        <v>1</v>
      </c>
      <c r="H202" s="14">
        <f>G202+I202</f>
        <v>1</v>
      </c>
      <c r="J202" s="14">
        <v>1</v>
      </c>
      <c r="K202" s="13" t="s">
        <v>44</v>
      </c>
      <c r="Q202" s="15"/>
    </row>
    <row r="203" spans="1:17" x14ac:dyDescent="0.25">
      <c r="A203" s="11" t="s">
        <v>2337</v>
      </c>
      <c r="B203" s="13" t="s">
        <v>327</v>
      </c>
      <c r="C203" s="10" t="s">
        <v>282</v>
      </c>
      <c r="E203" s="14" t="s">
        <v>677</v>
      </c>
      <c r="F203" s="14" t="s">
        <v>11</v>
      </c>
      <c r="G203" s="13">
        <v>4</v>
      </c>
      <c r="H203" s="14">
        <f>G203+I203</f>
        <v>4</v>
      </c>
      <c r="J203" s="14">
        <v>4</v>
      </c>
      <c r="K203" s="13" t="s">
        <v>2559</v>
      </c>
      <c r="Q203" s="15"/>
    </row>
    <row r="204" spans="1:17" x14ac:dyDescent="0.25">
      <c r="A204" s="11" t="s">
        <v>2337</v>
      </c>
      <c r="B204" s="13" t="s">
        <v>209</v>
      </c>
      <c r="F204" s="14" t="s">
        <v>11</v>
      </c>
      <c r="G204" s="13">
        <v>2</v>
      </c>
      <c r="H204" s="14">
        <f t="shared" ref="H204:H253" si="8">G204+I204</f>
        <v>2</v>
      </c>
      <c r="J204" s="14">
        <v>2</v>
      </c>
      <c r="K204" s="13" t="s">
        <v>2553</v>
      </c>
      <c r="Q204" s="15"/>
    </row>
    <row r="205" spans="1:17" x14ac:dyDescent="0.25">
      <c r="A205" s="11" t="s">
        <v>2337</v>
      </c>
      <c r="B205" s="13" t="s">
        <v>64</v>
      </c>
      <c r="C205" s="10" t="s">
        <v>2347</v>
      </c>
      <c r="F205" s="14" t="s">
        <v>11</v>
      </c>
      <c r="G205" s="13">
        <v>1</v>
      </c>
      <c r="H205" s="14">
        <f t="shared" si="8"/>
        <v>1</v>
      </c>
      <c r="J205" s="14">
        <v>1</v>
      </c>
      <c r="K205" s="13" t="s">
        <v>1043</v>
      </c>
      <c r="Q205" s="15"/>
    </row>
    <row r="206" spans="1:17" x14ac:dyDescent="0.25">
      <c r="A206" s="11" t="s">
        <v>2337</v>
      </c>
      <c r="B206" s="13" t="s">
        <v>328</v>
      </c>
      <c r="C206" s="10" t="s">
        <v>2565</v>
      </c>
      <c r="F206" s="14" t="s">
        <v>11</v>
      </c>
      <c r="G206" s="13">
        <v>1</v>
      </c>
      <c r="H206" s="14">
        <f>G206+I206</f>
        <v>1</v>
      </c>
      <c r="J206" s="14">
        <v>1</v>
      </c>
      <c r="K206" s="13" t="s">
        <v>863</v>
      </c>
      <c r="Q206" s="15"/>
    </row>
    <row r="207" spans="1:17" x14ac:dyDescent="0.25">
      <c r="A207" s="11" t="s">
        <v>2337</v>
      </c>
      <c r="B207" s="13" t="s">
        <v>328</v>
      </c>
      <c r="C207" s="10" t="s">
        <v>1778</v>
      </c>
      <c r="F207" s="14" t="s">
        <v>11</v>
      </c>
      <c r="G207" s="13">
        <v>1</v>
      </c>
      <c r="H207" s="14">
        <f t="shared" si="8"/>
        <v>1</v>
      </c>
      <c r="J207" s="14">
        <v>1</v>
      </c>
      <c r="K207" s="13" t="s">
        <v>572</v>
      </c>
      <c r="Q207" s="15"/>
    </row>
    <row r="208" spans="1:17" x14ac:dyDescent="0.25">
      <c r="A208" s="11" t="s">
        <v>2337</v>
      </c>
      <c r="B208" s="13" t="s">
        <v>206</v>
      </c>
      <c r="C208" s="10" t="s">
        <v>2455</v>
      </c>
      <c r="F208" s="14" t="s">
        <v>11</v>
      </c>
      <c r="G208" s="13">
        <v>3</v>
      </c>
      <c r="H208" s="14">
        <f>G208+I208</f>
        <v>3</v>
      </c>
      <c r="J208" s="14">
        <v>3</v>
      </c>
      <c r="K208" s="13" t="s">
        <v>2588</v>
      </c>
      <c r="Q208" s="15"/>
    </row>
    <row r="209" spans="1:17" x14ac:dyDescent="0.25">
      <c r="A209" s="11" t="s">
        <v>2337</v>
      </c>
      <c r="B209" s="13" t="s">
        <v>53</v>
      </c>
      <c r="C209" s="10" t="s">
        <v>51</v>
      </c>
      <c r="F209" s="14" t="s">
        <v>11</v>
      </c>
      <c r="G209" s="13">
        <v>1</v>
      </c>
      <c r="H209" s="14">
        <f t="shared" si="8"/>
        <v>1</v>
      </c>
      <c r="J209" s="14">
        <v>1</v>
      </c>
      <c r="K209" s="13" t="s">
        <v>860</v>
      </c>
      <c r="Q209" s="15"/>
    </row>
    <row r="210" spans="1:17" x14ac:dyDescent="0.25">
      <c r="A210" s="11" t="s">
        <v>2337</v>
      </c>
      <c r="B210" s="13" t="s">
        <v>53</v>
      </c>
      <c r="C210" s="10" t="s">
        <v>2552</v>
      </c>
      <c r="E210" s="14" t="s">
        <v>51</v>
      </c>
      <c r="F210" s="14" t="s">
        <v>11</v>
      </c>
      <c r="G210" s="13">
        <v>1</v>
      </c>
      <c r="H210" s="14">
        <f>G210+I210</f>
        <v>1</v>
      </c>
      <c r="J210" s="14">
        <v>1</v>
      </c>
      <c r="K210" s="13" t="s">
        <v>860</v>
      </c>
      <c r="Q210" s="15"/>
    </row>
    <row r="211" spans="1:17" x14ac:dyDescent="0.25">
      <c r="A211" s="11" t="s">
        <v>2337</v>
      </c>
      <c r="B211" s="13" t="s">
        <v>46</v>
      </c>
      <c r="F211" s="14" t="s">
        <v>11</v>
      </c>
      <c r="G211" s="13">
        <v>1</v>
      </c>
      <c r="H211" s="14">
        <f t="shared" si="8"/>
        <v>1</v>
      </c>
      <c r="J211" s="14">
        <v>1</v>
      </c>
      <c r="K211" s="13" t="s">
        <v>546</v>
      </c>
      <c r="Q211" s="15"/>
    </row>
    <row r="212" spans="1:17" x14ac:dyDescent="0.25">
      <c r="A212" s="11" t="s">
        <v>2337</v>
      </c>
      <c r="B212" s="13" t="s">
        <v>62</v>
      </c>
      <c r="F212" s="14" t="s">
        <v>11</v>
      </c>
      <c r="G212" s="13">
        <v>1</v>
      </c>
      <c r="H212" s="14">
        <f t="shared" si="8"/>
        <v>1</v>
      </c>
      <c r="J212" s="14">
        <v>1</v>
      </c>
      <c r="K212" s="13" t="s">
        <v>507</v>
      </c>
      <c r="Q212" s="15"/>
    </row>
    <row r="213" spans="1:17" x14ac:dyDescent="0.25">
      <c r="A213" s="11" t="s">
        <v>2337</v>
      </c>
      <c r="B213" s="13" t="s">
        <v>22</v>
      </c>
      <c r="E213" s="14" t="s">
        <v>22</v>
      </c>
      <c r="F213" s="14" t="s">
        <v>11</v>
      </c>
      <c r="G213" s="13">
        <v>1</v>
      </c>
      <c r="H213" s="14">
        <f t="shared" si="8"/>
        <v>1</v>
      </c>
      <c r="J213" s="14">
        <v>1</v>
      </c>
      <c r="K213" s="13" t="s">
        <v>32</v>
      </c>
      <c r="Q213" s="15"/>
    </row>
    <row r="214" spans="1:17" x14ac:dyDescent="0.25">
      <c r="A214" s="11" t="s">
        <v>2337</v>
      </c>
      <c r="B214" s="13" t="s">
        <v>22</v>
      </c>
      <c r="C214" s="10" t="s">
        <v>2364</v>
      </c>
      <c r="E214" s="14" t="s">
        <v>2365</v>
      </c>
      <c r="F214" s="14" t="s">
        <v>11</v>
      </c>
      <c r="G214" s="13">
        <v>1</v>
      </c>
      <c r="H214" s="14">
        <f>G214+I214</f>
        <v>1</v>
      </c>
      <c r="J214" s="14">
        <v>1</v>
      </c>
      <c r="K214" s="13" t="s">
        <v>294</v>
      </c>
      <c r="Q214" s="15"/>
    </row>
    <row r="215" spans="1:17" x14ac:dyDescent="0.25">
      <c r="A215" s="11" t="s">
        <v>2337</v>
      </c>
      <c r="B215" s="13" t="s">
        <v>22</v>
      </c>
      <c r="C215" s="10" t="s">
        <v>2398</v>
      </c>
      <c r="E215" s="14" t="s">
        <v>149</v>
      </c>
      <c r="F215" s="14" t="s">
        <v>11</v>
      </c>
      <c r="G215" s="13">
        <v>2</v>
      </c>
      <c r="H215" s="14">
        <f>G215+I215</f>
        <v>2</v>
      </c>
      <c r="J215" s="14">
        <v>1</v>
      </c>
      <c r="K215" s="13" t="s">
        <v>32</v>
      </c>
      <c r="Q215" s="15"/>
    </row>
    <row r="216" spans="1:17" x14ac:dyDescent="0.25">
      <c r="A216" s="11" t="s">
        <v>2337</v>
      </c>
      <c r="B216" s="13" t="s">
        <v>22</v>
      </c>
      <c r="C216" s="10" t="s">
        <v>149</v>
      </c>
      <c r="E216" s="14" t="s">
        <v>22</v>
      </c>
      <c r="F216" s="14" t="s">
        <v>11</v>
      </c>
      <c r="G216" s="13">
        <v>8</v>
      </c>
      <c r="H216" s="14">
        <f t="shared" si="8"/>
        <v>8</v>
      </c>
      <c r="J216" s="14">
        <v>4</v>
      </c>
      <c r="K216" s="13" t="s">
        <v>2348</v>
      </c>
      <c r="Q216" s="15"/>
    </row>
    <row r="217" spans="1:17" x14ac:dyDescent="0.25">
      <c r="A217" s="11" t="s">
        <v>2337</v>
      </c>
      <c r="B217" s="13" t="s">
        <v>22</v>
      </c>
      <c r="C217" s="10" t="s">
        <v>2399</v>
      </c>
      <c r="E217" s="14" t="s">
        <v>149</v>
      </c>
      <c r="F217" s="14" t="s">
        <v>11</v>
      </c>
      <c r="G217" s="13">
        <v>1</v>
      </c>
      <c r="H217" s="14">
        <f>G217+I217</f>
        <v>1</v>
      </c>
      <c r="J217" s="14">
        <v>1</v>
      </c>
      <c r="K217" s="13" t="s">
        <v>32</v>
      </c>
      <c r="Q217" s="15"/>
    </row>
    <row r="218" spans="1:17" x14ac:dyDescent="0.25">
      <c r="A218" s="11" t="s">
        <v>2337</v>
      </c>
      <c r="B218" s="13" t="s">
        <v>93</v>
      </c>
      <c r="F218" s="14" t="s">
        <v>11</v>
      </c>
      <c r="G218" s="13">
        <v>1</v>
      </c>
      <c r="H218" s="14">
        <f t="shared" si="8"/>
        <v>1</v>
      </c>
      <c r="J218" s="14">
        <v>1</v>
      </c>
      <c r="K218" s="13" t="s">
        <v>1029</v>
      </c>
      <c r="Q218" s="15"/>
    </row>
    <row r="219" spans="1:17" x14ac:dyDescent="0.25">
      <c r="A219" s="11"/>
      <c r="B219" s="13" t="s">
        <v>93</v>
      </c>
      <c r="C219" s="10" t="s">
        <v>160</v>
      </c>
      <c r="E219" s="14" t="s">
        <v>93</v>
      </c>
      <c r="F219" s="14" t="s">
        <v>11</v>
      </c>
      <c r="G219" s="13">
        <v>1</v>
      </c>
      <c r="H219" s="14">
        <f t="shared" si="8"/>
        <v>1</v>
      </c>
      <c r="J219" s="14">
        <v>1</v>
      </c>
      <c r="K219" s="13" t="s">
        <v>1036</v>
      </c>
      <c r="Q219" s="15"/>
    </row>
    <row r="220" spans="1:17" x14ac:dyDescent="0.25">
      <c r="A220" s="11" t="s">
        <v>2337</v>
      </c>
      <c r="B220" s="13" t="s">
        <v>24</v>
      </c>
      <c r="C220" s="10" t="s">
        <v>986</v>
      </c>
      <c r="F220" s="14" t="s">
        <v>11</v>
      </c>
      <c r="G220" s="13">
        <v>1</v>
      </c>
      <c r="H220" s="14">
        <f t="shared" si="8"/>
        <v>1</v>
      </c>
      <c r="J220" s="14">
        <v>1</v>
      </c>
      <c r="K220" s="13" t="s">
        <v>559</v>
      </c>
      <c r="Q220" s="15"/>
    </row>
    <row r="221" spans="1:17" x14ac:dyDescent="0.25">
      <c r="A221" s="11" t="s">
        <v>2337</v>
      </c>
      <c r="B221" s="13" t="s">
        <v>24</v>
      </c>
      <c r="C221" s="10" t="s">
        <v>848</v>
      </c>
      <c r="E221" s="14" t="s">
        <v>21</v>
      </c>
      <c r="F221" s="14" t="s">
        <v>11</v>
      </c>
      <c r="G221" s="13">
        <v>3</v>
      </c>
      <c r="H221" s="14">
        <f>G221+I221</f>
        <v>3</v>
      </c>
      <c r="J221" s="14">
        <v>2</v>
      </c>
      <c r="K221" s="13" t="s">
        <v>2484</v>
      </c>
      <c r="Q221" s="15"/>
    </row>
    <row r="222" spans="1:17" x14ac:dyDescent="0.25">
      <c r="A222" s="11" t="s">
        <v>2337</v>
      </c>
      <c r="C222" s="10" t="s">
        <v>601</v>
      </c>
      <c r="F222" s="14" t="s">
        <v>11</v>
      </c>
      <c r="G222" s="13">
        <v>1</v>
      </c>
      <c r="H222" s="14">
        <f>G222+I222</f>
        <v>1</v>
      </c>
      <c r="J222" s="14">
        <v>1</v>
      </c>
      <c r="K222" s="13" t="s">
        <v>546</v>
      </c>
      <c r="Q222" s="15"/>
    </row>
    <row r="223" spans="1:17" x14ac:dyDescent="0.25">
      <c r="A223" s="11" t="s">
        <v>2337</v>
      </c>
      <c r="C223" s="10" t="s">
        <v>1182</v>
      </c>
      <c r="E223" s="14" t="s">
        <v>21</v>
      </c>
      <c r="F223" s="14" t="s">
        <v>11</v>
      </c>
      <c r="G223" s="13">
        <v>1</v>
      </c>
      <c r="H223" s="14">
        <f t="shared" si="8"/>
        <v>1</v>
      </c>
      <c r="J223" s="14">
        <v>1</v>
      </c>
      <c r="K223" s="13" t="s">
        <v>309</v>
      </c>
      <c r="Q223" s="15"/>
    </row>
    <row r="224" spans="1:17" x14ac:dyDescent="0.25">
      <c r="A224" s="11" t="s">
        <v>2337</v>
      </c>
      <c r="C224" s="10" t="s">
        <v>416</v>
      </c>
      <c r="F224" s="14" t="s">
        <v>11</v>
      </c>
      <c r="G224" s="13">
        <v>13</v>
      </c>
      <c r="H224" s="14">
        <f>G224+I224</f>
        <v>13</v>
      </c>
      <c r="J224" s="14">
        <v>12</v>
      </c>
      <c r="K224" s="13" t="s">
        <v>2576</v>
      </c>
      <c r="Q224" s="15"/>
    </row>
    <row r="225" spans="1:17" x14ac:dyDescent="0.25">
      <c r="A225" s="11" t="s">
        <v>2337</v>
      </c>
      <c r="B225" s="13" t="s">
        <v>139</v>
      </c>
      <c r="F225" s="14" t="s">
        <v>11</v>
      </c>
      <c r="G225" s="13">
        <v>1</v>
      </c>
      <c r="H225" s="14">
        <f>G225+I225</f>
        <v>1</v>
      </c>
      <c r="J225" s="14">
        <v>1</v>
      </c>
      <c r="K225" s="13" t="s">
        <v>1036</v>
      </c>
      <c r="Q225" s="15"/>
    </row>
    <row r="226" spans="1:17" x14ac:dyDescent="0.25">
      <c r="A226" s="11" t="s">
        <v>2337</v>
      </c>
      <c r="B226" s="13" t="s">
        <v>269</v>
      </c>
      <c r="C226" s="10" t="s">
        <v>630</v>
      </c>
      <c r="F226" s="14" t="s">
        <v>11</v>
      </c>
      <c r="G226" s="13">
        <v>2</v>
      </c>
      <c r="H226" s="14">
        <f t="shared" si="8"/>
        <v>2</v>
      </c>
      <c r="J226" s="14">
        <v>2</v>
      </c>
      <c r="K226" s="13" t="s">
        <v>2508</v>
      </c>
      <c r="Q226" s="15"/>
    </row>
    <row r="227" spans="1:17" x14ac:dyDescent="0.25">
      <c r="A227" s="11" t="s">
        <v>2337</v>
      </c>
      <c r="B227" s="13" t="s">
        <v>269</v>
      </c>
      <c r="C227" s="10" t="s">
        <v>2454</v>
      </c>
      <c r="D227" s="10"/>
      <c r="E227" s="10" t="s">
        <v>630</v>
      </c>
      <c r="F227" s="14" t="s">
        <v>11</v>
      </c>
      <c r="G227" s="13">
        <v>1</v>
      </c>
      <c r="H227" s="14">
        <f>G227+I227</f>
        <v>1</v>
      </c>
      <c r="J227" s="14">
        <v>1</v>
      </c>
      <c r="K227" s="13" t="s">
        <v>358</v>
      </c>
      <c r="Q227" s="15"/>
    </row>
    <row r="228" spans="1:17" x14ac:dyDescent="0.25">
      <c r="A228" s="11" t="s">
        <v>2337</v>
      </c>
      <c r="B228" s="13" t="s">
        <v>2384</v>
      </c>
      <c r="F228" s="14" t="s">
        <v>11</v>
      </c>
      <c r="G228" s="13">
        <v>1</v>
      </c>
      <c r="H228" s="14">
        <f>G228+I228</f>
        <v>1</v>
      </c>
      <c r="J228" s="14">
        <v>1</v>
      </c>
      <c r="K228" s="13" t="s">
        <v>866</v>
      </c>
      <c r="Q228" s="15"/>
    </row>
    <row r="229" spans="1:17" x14ac:dyDescent="0.25">
      <c r="A229" s="11" t="s">
        <v>2337</v>
      </c>
      <c r="B229" s="13" t="s">
        <v>261</v>
      </c>
      <c r="C229" s="10" t="s">
        <v>1181</v>
      </c>
      <c r="E229" s="14" t="s">
        <v>21</v>
      </c>
      <c r="F229" s="14" t="s">
        <v>11</v>
      </c>
      <c r="G229" s="13">
        <v>2</v>
      </c>
      <c r="H229" s="14">
        <f>G229+I229</f>
        <v>2</v>
      </c>
      <c r="J229" s="14">
        <v>2</v>
      </c>
      <c r="K229" s="13" t="s">
        <v>2075</v>
      </c>
      <c r="Q229" s="15"/>
    </row>
    <row r="230" spans="1:17" x14ac:dyDescent="0.25">
      <c r="A230" s="11" t="s">
        <v>2337</v>
      </c>
      <c r="C230" s="10" t="s">
        <v>2359</v>
      </c>
      <c r="F230" s="14" t="s">
        <v>11</v>
      </c>
      <c r="G230" s="13">
        <v>1</v>
      </c>
      <c r="H230" s="14">
        <f>G230+I230</f>
        <v>1</v>
      </c>
      <c r="J230" s="14">
        <v>1</v>
      </c>
      <c r="K230" s="13" t="s">
        <v>294</v>
      </c>
      <c r="Q230" s="15"/>
    </row>
    <row r="231" spans="1:17" x14ac:dyDescent="0.25">
      <c r="A231" s="11" t="s">
        <v>2337</v>
      </c>
      <c r="C231" s="10" t="s">
        <v>281</v>
      </c>
      <c r="F231" s="14" t="s">
        <v>11</v>
      </c>
      <c r="G231" s="13">
        <v>10</v>
      </c>
      <c r="H231" s="14">
        <f t="shared" si="8"/>
        <v>10</v>
      </c>
      <c r="J231" s="14">
        <v>7</v>
      </c>
      <c r="K231" s="13" t="s">
        <v>2549</v>
      </c>
    </row>
    <row r="232" spans="1:17" x14ac:dyDescent="0.25">
      <c r="A232" s="11" t="s">
        <v>2337</v>
      </c>
      <c r="C232" s="10" t="s">
        <v>566</v>
      </c>
      <c r="E232" s="14" t="s">
        <v>327</v>
      </c>
      <c r="F232" s="14" t="s">
        <v>11</v>
      </c>
      <c r="G232" s="13">
        <v>2</v>
      </c>
      <c r="H232" s="14">
        <f t="shared" si="8"/>
        <v>2</v>
      </c>
      <c r="J232" s="14">
        <v>2</v>
      </c>
      <c r="K232" s="13" t="s">
        <v>2358</v>
      </c>
    </row>
    <row r="233" spans="1:17" x14ac:dyDescent="0.25">
      <c r="A233" s="11" t="s">
        <v>2337</v>
      </c>
      <c r="C233" s="10" t="s">
        <v>1422</v>
      </c>
      <c r="F233" s="14" t="s">
        <v>11</v>
      </c>
      <c r="G233" s="13">
        <v>2</v>
      </c>
      <c r="H233" s="14">
        <f t="shared" si="8"/>
        <v>2</v>
      </c>
      <c r="J233" s="14">
        <v>2</v>
      </c>
      <c r="K233" s="13" t="s">
        <v>2545</v>
      </c>
    </row>
    <row r="234" spans="1:17" x14ac:dyDescent="0.25">
      <c r="A234" s="11" t="s">
        <v>2337</v>
      </c>
      <c r="C234" s="10" t="s">
        <v>48</v>
      </c>
      <c r="F234" s="14" t="s">
        <v>11</v>
      </c>
      <c r="G234" s="13">
        <v>7</v>
      </c>
      <c r="H234" s="14">
        <f t="shared" si="8"/>
        <v>7</v>
      </c>
      <c r="J234" s="14">
        <v>6</v>
      </c>
      <c r="K234" s="13" t="s">
        <v>2570</v>
      </c>
    </row>
    <row r="235" spans="1:17" x14ac:dyDescent="0.25">
      <c r="A235" s="11" t="s">
        <v>2337</v>
      </c>
      <c r="C235" s="10" t="s">
        <v>2566</v>
      </c>
      <c r="D235" s="10"/>
      <c r="E235" s="10" t="s">
        <v>48</v>
      </c>
      <c r="F235" s="14" t="s">
        <v>11</v>
      </c>
      <c r="G235" s="13">
        <v>1</v>
      </c>
      <c r="H235" s="14">
        <f>G235+I235</f>
        <v>1</v>
      </c>
      <c r="J235" s="14">
        <v>1</v>
      </c>
      <c r="K235" s="13" t="s">
        <v>863</v>
      </c>
    </row>
    <row r="236" spans="1:17" x14ac:dyDescent="0.25">
      <c r="A236" s="11" t="s">
        <v>2337</v>
      </c>
      <c r="C236" s="10" t="s">
        <v>2567</v>
      </c>
      <c r="E236" s="10" t="s">
        <v>48</v>
      </c>
      <c r="F236" s="14" t="s">
        <v>11</v>
      </c>
      <c r="G236" s="13">
        <v>1</v>
      </c>
      <c r="H236" s="14">
        <f>G236+I236</f>
        <v>1</v>
      </c>
      <c r="J236" s="14">
        <v>1</v>
      </c>
      <c r="K236" s="13" t="s">
        <v>863</v>
      </c>
    </row>
    <row r="237" spans="1:17" x14ac:dyDescent="0.25">
      <c r="A237" s="11" t="s">
        <v>2337</v>
      </c>
      <c r="B237" s="26"/>
      <c r="C237" s="38" t="s">
        <v>11</v>
      </c>
      <c r="E237" s="25"/>
      <c r="F237" s="25" t="s">
        <v>11</v>
      </c>
      <c r="G237" s="26">
        <v>2</v>
      </c>
      <c r="H237" s="25">
        <f t="shared" si="8"/>
        <v>2</v>
      </c>
      <c r="I237" s="25"/>
      <c r="J237" s="25">
        <v>2</v>
      </c>
      <c r="K237" s="26" t="s">
        <v>2339</v>
      </c>
      <c r="L237" s="39"/>
      <c r="M237" s="39"/>
      <c r="N237" s="39"/>
      <c r="O237" s="39"/>
      <c r="P237" s="39"/>
    </row>
    <row r="238" spans="1:17" x14ac:dyDescent="0.25">
      <c r="A238" s="11" t="s">
        <v>2337</v>
      </c>
      <c r="E238" s="14" t="s">
        <v>851</v>
      </c>
      <c r="F238" s="14" t="s">
        <v>11</v>
      </c>
      <c r="G238" s="13">
        <v>1</v>
      </c>
      <c r="H238" s="14">
        <f t="shared" si="8"/>
        <v>1</v>
      </c>
      <c r="J238" s="14">
        <v>1</v>
      </c>
      <c r="K238" s="13" t="s">
        <v>294</v>
      </c>
    </row>
    <row r="239" spans="1:17" x14ac:dyDescent="0.25">
      <c r="A239" s="11" t="s">
        <v>2337</v>
      </c>
      <c r="C239" s="10" t="s">
        <v>844</v>
      </c>
      <c r="F239" s="14" t="s">
        <v>11</v>
      </c>
      <c r="G239" s="13">
        <v>1</v>
      </c>
      <c r="H239" s="14">
        <f t="shared" si="8"/>
        <v>1</v>
      </c>
      <c r="J239" s="14">
        <v>1</v>
      </c>
      <c r="K239" s="13" t="s">
        <v>1365</v>
      </c>
    </row>
    <row r="240" spans="1:17" x14ac:dyDescent="0.25">
      <c r="A240" s="11" t="s">
        <v>2337</v>
      </c>
      <c r="C240" s="10" t="s">
        <v>296</v>
      </c>
      <c r="F240" s="14" t="s">
        <v>11</v>
      </c>
      <c r="G240" s="13">
        <v>1</v>
      </c>
      <c r="H240" s="14">
        <f t="shared" si="8"/>
        <v>1</v>
      </c>
      <c r="J240" s="14">
        <v>1</v>
      </c>
      <c r="K240" s="13" t="s">
        <v>1108</v>
      </c>
    </row>
    <row r="241" spans="1:17" x14ac:dyDescent="0.25">
      <c r="A241" s="11" t="s">
        <v>2337</v>
      </c>
      <c r="C241" s="10" t="s">
        <v>259</v>
      </c>
      <c r="F241" s="14" t="s">
        <v>11</v>
      </c>
      <c r="G241" s="13">
        <v>8</v>
      </c>
      <c r="H241" s="14">
        <f t="shared" si="8"/>
        <v>8</v>
      </c>
      <c r="J241" s="14">
        <v>8</v>
      </c>
      <c r="K241" s="13" t="s">
        <v>2573</v>
      </c>
    </row>
    <row r="242" spans="1:17" x14ac:dyDescent="0.25">
      <c r="A242" s="11" t="s">
        <v>2337</v>
      </c>
      <c r="C242" s="10" t="s">
        <v>295</v>
      </c>
      <c r="F242" s="14" t="s">
        <v>11</v>
      </c>
      <c r="G242" s="13">
        <v>2</v>
      </c>
      <c r="H242" s="14">
        <f t="shared" si="8"/>
        <v>2</v>
      </c>
      <c r="J242" s="14">
        <v>2</v>
      </c>
      <c r="K242" s="13" t="s">
        <v>2420</v>
      </c>
    </row>
    <row r="243" spans="1:17" x14ac:dyDescent="0.25">
      <c r="A243" s="11" t="s">
        <v>2337</v>
      </c>
      <c r="C243" s="10" t="s">
        <v>266</v>
      </c>
      <c r="F243" s="14" t="s">
        <v>11</v>
      </c>
      <c r="G243" s="13">
        <v>5</v>
      </c>
      <c r="H243" s="14">
        <f>G243+I243</f>
        <v>5</v>
      </c>
      <c r="J243" s="14">
        <v>5</v>
      </c>
      <c r="K243" s="13" t="s">
        <v>2556</v>
      </c>
    </row>
    <row r="244" spans="1:17" x14ac:dyDescent="0.25">
      <c r="A244" s="11" t="s">
        <v>2337</v>
      </c>
      <c r="C244" s="10" t="s">
        <v>1911</v>
      </c>
      <c r="F244" s="14" t="s">
        <v>11</v>
      </c>
      <c r="G244" s="13">
        <v>1</v>
      </c>
      <c r="H244" s="14">
        <f t="shared" si="8"/>
        <v>1</v>
      </c>
      <c r="J244" s="14">
        <v>1</v>
      </c>
      <c r="K244" s="13" t="s">
        <v>840</v>
      </c>
      <c r="Q244" s="15"/>
    </row>
    <row r="245" spans="1:17" x14ac:dyDescent="0.25">
      <c r="A245" s="11" t="s">
        <v>2337</v>
      </c>
      <c r="B245" s="13" t="s">
        <v>266</v>
      </c>
      <c r="C245" s="10" t="s">
        <v>682</v>
      </c>
      <c r="E245" s="14" t="s">
        <v>683</v>
      </c>
      <c r="F245" s="14" t="s">
        <v>11</v>
      </c>
      <c r="G245" s="13">
        <v>10</v>
      </c>
      <c r="H245" s="14">
        <f t="shared" si="8"/>
        <v>10</v>
      </c>
      <c r="J245" s="14">
        <v>6</v>
      </c>
      <c r="K245" s="13" t="s">
        <v>2558</v>
      </c>
      <c r="Q245" s="15"/>
    </row>
    <row r="246" spans="1:17" x14ac:dyDescent="0.25">
      <c r="A246" s="11" t="s">
        <v>2337</v>
      </c>
      <c r="C246" s="10" t="s">
        <v>770</v>
      </c>
      <c r="F246" s="14" t="s">
        <v>874</v>
      </c>
      <c r="G246" s="13">
        <v>3</v>
      </c>
      <c r="H246" s="14">
        <f t="shared" si="8"/>
        <v>3</v>
      </c>
      <c r="J246" s="14">
        <v>3</v>
      </c>
      <c r="K246" s="13" t="s">
        <v>2557</v>
      </c>
      <c r="Q246" s="15"/>
    </row>
    <row r="247" spans="1:17" x14ac:dyDescent="0.25">
      <c r="A247" s="11" t="s">
        <v>2337</v>
      </c>
      <c r="C247" s="10" t="s">
        <v>1682</v>
      </c>
      <c r="F247" s="14" t="s">
        <v>11</v>
      </c>
      <c r="G247" s="13">
        <v>1</v>
      </c>
      <c r="H247" s="14">
        <f>G247+I247</f>
        <v>1</v>
      </c>
      <c r="J247" s="14">
        <v>1</v>
      </c>
      <c r="K247" s="13" t="s">
        <v>840</v>
      </c>
      <c r="Q247" s="15"/>
    </row>
    <row r="248" spans="1:17" x14ac:dyDescent="0.25">
      <c r="A248" s="11" t="s">
        <v>2337</v>
      </c>
      <c r="C248" s="10" t="s">
        <v>742</v>
      </c>
      <c r="F248" s="14" t="s">
        <v>11</v>
      </c>
      <c r="G248" s="13">
        <v>2</v>
      </c>
      <c r="H248" s="14">
        <f t="shared" si="8"/>
        <v>2</v>
      </c>
      <c r="J248" s="14">
        <v>1</v>
      </c>
      <c r="K248" s="13" t="s">
        <v>578</v>
      </c>
      <c r="Q248" s="15"/>
    </row>
    <row r="249" spans="1:17" x14ac:dyDescent="0.25">
      <c r="A249" s="11" t="s">
        <v>2337</v>
      </c>
      <c r="C249" s="10" t="s">
        <v>2521</v>
      </c>
      <c r="D249" s="13" t="s">
        <v>2520</v>
      </c>
      <c r="F249" s="14" t="s">
        <v>11</v>
      </c>
      <c r="G249" s="13">
        <v>1</v>
      </c>
      <c r="H249" s="14">
        <f>G249+I249</f>
        <v>1</v>
      </c>
      <c r="J249" s="14">
        <v>1</v>
      </c>
      <c r="K249" s="13" t="s">
        <v>578</v>
      </c>
      <c r="Q249" s="15"/>
    </row>
    <row r="250" spans="1:17" x14ac:dyDescent="0.25">
      <c r="A250" s="11" t="s">
        <v>2337</v>
      </c>
      <c r="C250" s="10" t="s">
        <v>73</v>
      </c>
      <c r="E250" s="14" t="s">
        <v>73</v>
      </c>
      <c r="F250" s="14" t="s">
        <v>11</v>
      </c>
      <c r="G250" s="13">
        <v>1</v>
      </c>
      <c r="H250" s="14">
        <f t="shared" si="8"/>
        <v>1</v>
      </c>
      <c r="J250" s="14">
        <v>1</v>
      </c>
      <c r="K250" s="13" t="s">
        <v>546</v>
      </c>
      <c r="Q250" s="15"/>
    </row>
    <row r="251" spans="1:17" x14ac:dyDescent="0.25">
      <c r="A251" s="11" t="s">
        <v>2337</v>
      </c>
      <c r="B251" s="13" t="s">
        <v>76</v>
      </c>
      <c r="C251" s="10" t="s">
        <v>2350</v>
      </c>
      <c r="E251" s="14" t="s">
        <v>281</v>
      </c>
      <c r="F251" s="14" t="s">
        <v>11</v>
      </c>
      <c r="G251" s="13">
        <v>1</v>
      </c>
      <c r="H251" s="14">
        <f t="shared" si="8"/>
        <v>1</v>
      </c>
      <c r="J251" s="14">
        <v>1</v>
      </c>
      <c r="K251" s="13" t="s">
        <v>32</v>
      </c>
      <c r="Q251" s="15"/>
    </row>
    <row r="252" spans="1:17" x14ac:dyDescent="0.25">
      <c r="A252" s="11" t="s">
        <v>2337</v>
      </c>
      <c r="C252" s="10" t="s">
        <v>282</v>
      </c>
      <c r="F252" s="14" t="s">
        <v>11</v>
      </c>
      <c r="G252" s="13">
        <v>1</v>
      </c>
      <c r="H252" s="14">
        <f t="shared" si="8"/>
        <v>1</v>
      </c>
      <c r="J252" s="14">
        <v>1</v>
      </c>
      <c r="K252" s="13" t="s">
        <v>860</v>
      </c>
      <c r="Q252" s="15"/>
    </row>
    <row r="253" spans="1:17" x14ac:dyDescent="0.25">
      <c r="A253" s="11" t="s">
        <v>2337</v>
      </c>
      <c r="C253" s="10" t="s">
        <v>678</v>
      </c>
      <c r="F253" s="14" t="s">
        <v>11</v>
      </c>
      <c r="G253" s="13">
        <v>2</v>
      </c>
      <c r="H253" s="14">
        <f t="shared" si="8"/>
        <v>2</v>
      </c>
      <c r="J253" s="14">
        <v>2</v>
      </c>
      <c r="K253" s="13" t="s">
        <v>2507</v>
      </c>
      <c r="Q253" s="15"/>
    </row>
    <row r="254" spans="1:17" ht="22.5" x14ac:dyDescent="0.25">
      <c r="A254" s="11" t="s">
        <v>2337</v>
      </c>
      <c r="C254" s="10" t="s">
        <v>21</v>
      </c>
      <c r="E254" s="14" t="s">
        <v>21</v>
      </c>
      <c r="F254" s="14" t="s">
        <v>11</v>
      </c>
      <c r="G254" s="13">
        <v>37</v>
      </c>
      <c r="H254" s="14">
        <f t="shared" ref="H254:H273" si="9">G254+I254</f>
        <v>37</v>
      </c>
      <c r="J254" s="14">
        <v>18</v>
      </c>
      <c r="K254" s="13" t="s">
        <v>2591</v>
      </c>
      <c r="Q254" s="15"/>
    </row>
    <row r="255" spans="1:17" x14ac:dyDescent="0.25">
      <c r="A255" s="11" t="s">
        <v>2337</v>
      </c>
      <c r="C255" s="10" t="s">
        <v>2074</v>
      </c>
      <c r="F255" s="14" t="s">
        <v>11</v>
      </c>
      <c r="G255" s="13">
        <v>1</v>
      </c>
      <c r="H255" s="14">
        <f t="shared" si="9"/>
        <v>1</v>
      </c>
      <c r="J255" s="14">
        <v>1</v>
      </c>
      <c r="K255" s="13" t="s">
        <v>546</v>
      </c>
      <c r="Q255" s="15"/>
    </row>
    <row r="256" spans="1:17" ht="22.5" x14ac:dyDescent="0.25">
      <c r="A256" s="11" t="s">
        <v>2337</v>
      </c>
      <c r="C256" s="10" t="s">
        <v>304</v>
      </c>
      <c r="F256" s="13" t="s">
        <v>1104</v>
      </c>
      <c r="G256" s="13">
        <v>2</v>
      </c>
      <c r="H256" s="14">
        <f t="shared" si="9"/>
        <v>2</v>
      </c>
      <c r="J256" s="14">
        <v>2</v>
      </c>
      <c r="K256" s="13" t="s">
        <v>2341</v>
      </c>
      <c r="Q256" s="15"/>
    </row>
    <row r="257" spans="1:17" x14ac:dyDescent="0.25">
      <c r="A257" s="11" t="s">
        <v>2337</v>
      </c>
      <c r="C257" s="10" t="s">
        <v>69</v>
      </c>
      <c r="F257" s="13" t="s">
        <v>11</v>
      </c>
      <c r="G257" s="13">
        <v>4</v>
      </c>
      <c r="H257" s="14">
        <f t="shared" si="9"/>
        <v>4</v>
      </c>
      <c r="J257" s="14">
        <v>3</v>
      </c>
      <c r="K257" s="13" t="s">
        <v>2344</v>
      </c>
    </row>
    <row r="258" spans="1:17" x14ac:dyDescent="0.25">
      <c r="A258" s="11" t="s">
        <v>2337</v>
      </c>
      <c r="B258" s="43"/>
      <c r="C258" s="42" t="s">
        <v>56</v>
      </c>
      <c r="D258" s="43"/>
      <c r="E258" s="41"/>
      <c r="F258" s="41" t="s">
        <v>56</v>
      </c>
      <c r="G258" s="43">
        <v>9</v>
      </c>
      <c r="H258" s="14">
        <f t="shared" si="9"/>
        <v>9</v>
      </c>
      <c r="I258" s="41"/>
      <c r="J258" s="41">
        <v>9</v>
      </c>
      <c r="K258" s="43" t="s">
        <v>2571</v>
      </c>
      <c r="L258" s="44"/>
      <c r="M258" s="44"/>
      <c r="N258" s="44"/>
      <c r="O258" s="44"/>
      <c r="P258" s="44"/>
    </row>
    <row r="259" spans="1:17" x14ac:dyDescent="0.25">
      <c r="A259" s="11" t="s">
        <v>2337</v>
      </c>
      <c r="C259" s="10" t="s">
        <v>253</v>
      </c>
      <c r="F259" s="14" t="s">
        <v>56</v>
      </c>
      <c r="G259" s="13">
        <v>2</v>
      </c>
      <c r="H259" s="14">
        <f t="shared" si="9"/>
        <v>2</v>
      </c>
      <c r="J259" s="14">
        <v>1</v>
      </c>
      <c r="K259" s="13" t="s">
        <v>860</v>
      </c>
    </row>
    <row r="260" spans="1:17" x14ac:dyDescent="0.25">
      <c r="A260" s="11" t="s">
        <v>2337</v>
      </c>
      <c r="C260" s="10" t="s">
        <v>254</v>
      </c>
      <c r="F260" s="14" t="s">
        <v>56</v>
      </c>
      <c r="G260" s="13">
        <v>2</v>
      </c>
      <c r="H260" s="14">
        <f t="shared" si="9"/>
        <v>2</v>
      </c>
      <c r="J260" s="14">
        <v>2</v>
      </c>
      <c r="K260" s="13" t="s">
        <v>2446</v>
      </c>
    </row>
    <row r="261" spans="1:17" x14ac:dyDescent="0.25">
      <c r="A261" s="11" t="s">
        <v>2337</v>
      </c>
      <c r="C261" s="10" t="s">
        <v>305</v>
      </c>
      <c r="E261" s="13"/>
      <c r="F261" s="14" t="s">
        <v>56</v>
      </c>
      <c r="G261" s="13">
        <v>1</v>
      </c>
      <c r="H261" s="14">
        <f t="shared" si="9"/>
        <v>1</v>
      </c>
      <c r="J261" s="14">
        <v>1</v>
      </c>
      <c r="K261" s="13" t="s">
        <v>1035</v>
      </c>
    </row>
    <row r="262" spans="1:17" x14ac:dyDescent="0.25">
      <c r="A262" s="11" t="s">
        <v>2337</v>
      </c>
      <c r="C262" s="10" t="s">
        <v>2342</v>
      </c>
      <c r="E262" s="13" t="s">
        <v>2616</v>
      </c>
      <c r="F262" s="14" t="s">
        <v>56</v>
      </c>
      <c r="G262" s="13">
        <v>1</v>
      </c>
      <c r="H262" s="14">
        <f t="shared" si="9"/>
        <v>1</v>
      </c>
      <c r="J262" s="14">
        <v>1</v>
      </c>
      <c r="K262" s="13" t="s">
        <v>2343</v>
      </c>
    </row>
    <row r="263" spans="1:17" x14ac:dyDescent="0.25">
      <c r="A263" s="11" t="s">
        <v>2337</v>
      </c>
      <c r="C263" s="10" t="s">
        <v>301</v>
      </c>
      <c r="F263" s="14" t="s">
        <v>56</v>
      </c>
      <c r="G263" s="13">
        <v>1</v>
      </c>
      <c r="H263" s="14">
        <f t="shared" si="9"/>
        <v>1</v>
      </c>
      <c r="J263" s="14">
        <v>1</v>
      </c>
      <c r="K263" s="13" t="s">
        <v>243</v>
      </c>
    </row>
    <row r="264" spans="1:17" s="36" customFormat="1" x14ac:dyDescent="0.25">
      <c r="A264" s="11" t="s">
        <v>2337</v>
      </c>
      <c r="B264" s="35"/>
      <c r="C264" s="34" t="s">
        <v>35</v>
      </c>
      <c r="D264" s="35"/>
      <c r="E264" s="33"/>
      <c r="F264" s="33" t="s">
        <v>35</v>
      </c>
      <c r="G264" s="35">
        <v>12</v>
      </c>
      <c r="H264" s="14">
        <f t="shared" si="9"/>
        <v>12</v>
      </c>
      <c r="I264" s="33"/>
      <c r="J264" s="33">
        <v>11</v>
      </c>
      <c r="K264" s="35" t="s">
        <v>2568</v>
      </c>
      <c r="Q264" s="35"/>
    </row>
    <row r="265" spans="1:17" x14ac:dyDescent="0.25">
      <c r="A265" s="11" t="s">
        <v>2337</v>
      </c>
      <c r="C265" s="10" t="s">
        <v>47</v>
      </c>
      <c r="F265" s="14" t="s">
        <v>35</v>
      </c>
      <c r="G265" s="13">
        <v>1</v>
      </c>
      <c r="H265" s="14">
        <f t="shared" si="9"/>
        <v>1</v>
      </c>
      <c r="J265" s="14">
        <v>1</v>
      </c>
      <c r="K265" s="13" t="s">
        <v>294</v>
      </c>
      <c r="Q265" s="15"/>
    </row>
    <row r="266" spans="1:17" x14ac:dyDescent="0.25">
      <c r="A266" s="11" t="s">
        <v>2337</v>
      </c>
      <c r="C266" s="10" t="s">
        <v>1942</v>
      </c>
      <c r="F266" s="14" t="s">
        <v>35</v>
      </c>
      <c r="G266" s="13">
        <v>2</v>
      </c>
      <c r="H266" s="14">
        <f>G266+I266</f>
        <v>2</v>
      </c>
      <c r="J266" s="14">
        <v>2</v>
      </c>
      <c r="K266" s="13" t="s">
        <v>2406</v>
      </c>
      <c r="Q266" s="15"/>
    </row>
    <row r="267" spans="1:17" ht="22.5" x14ac:dyDescent="0.25">
      <c r="A267" s="11" t="s">
        <v>2337</v>
      </c>
      <c r="C267" s="10" t="s">
        <v>256</v>
      </c>
      <c r="D267" s="13" t="s">
        <v>813</v>
      </c>
      <c r="E267" s="13" t="s">
        <v>258</v>
      </c>
      <c r="F267" s="14" t="s">
        <v>35</v>
      </c>
      <c r="G267" s="13">
        <v>4</v>
      </c>
      <c r="H267" s="14">
        <f t="shared" si="9"/>
        <v>4</v>
      </c>
      <c r="J267" s="14">
        <v>4</v>
      </c>
      <c r="K267" s="13" t="s">
        <v>2514</v>
      </c>
      <c r="Q267" s="15"/>
    </row>
    <row r="268" spans="1:17" x14ac:dyDescent="0.25">
      <c r="A268" s="11" t="s">
        <v>2337</v>
      </c>
      <c r="C268" s="10" t="s">
        <v>257</v>
      </c>
      <c r="F268" s="14" t="s">
        <v>35</v>
      </c>
      <c r="G268" s="13">
        <v>4</v>
      </c>
      <c r="H268" s="14">
        <f t="shared" si="9"/>
        <v>4</v>
      </c>
      <c r="J268" s="14">
        <v>4</v>
      </c>
      <c r="K268" s="13" t="s">
        <v>2515</v>
      </c>
      <c r="Q268" s="15"/>
    </row>
    <row r="269" spans="1:17" x14ac:dyDescent="0.25">
      <c r="A269" s="11" t="s">
        <v>2337</v>
      </c>
      <c r="C269" s="10" t="s">
        <v>260</v>
      </c>
      <c r="F269" s="14" t="s">
        <v>35</v>
      </c>
      <c r="G269" s="13">
        <v>2</v>
      </c>
      <c r="H269" s="14">
        <f t="shared" si="9"/>
        <v>2</v>
      </c>
      <c r="J269" s="14">
        <v>2</v>
      </c>
      <c r="K269" s="13" t="s">
        <v>2509</v>
      </c>
      <c r="Q269" s="15"/>
    </row>
    <row r="270" spans="1:17" x14ac:dyDescent="0.25">
      <c r="A270" s="11" t="s">
        <v>2337</v>
      </c>
      <c r="C270" s="10" t="s">
        <v>821</v>
      </c>
      <c r="F270" s="14" t="s">
        <v>35</v>
      </c>
      <c r="G270" s="13">
        <v>2</v>
      </c>
      <c r="H270" s="14">
        <f t="shared" si="9"/>
        <v>2</v>
      </c>
      <c r="J270" s="14">
        <v>2</v>
      </c>
      <c r="K270" s="13" t="s">
        <v>2470</v>
      </c>
      <c r="Q270" s="15"/>
    </row>
    <row r="271" spans="1:17" x14ac:dyDescent="0.25">
      <c r="A271" s="11" t="s">
        <v>2337</v>
      </c>
      <c r="C271" s="10" t="s">
        <v>1914</v>
      </c>
      <c r="F271" s="14" t="s">
        <v>35</v>
      </c>
      <c r="G271" s="13">
        <v>1</v>
      </c>
      <c r="H271" s="14">
        <f t="shared" si="9"/>
        <v>1</v>
      </c>
      <c r="J271" s="14">
        <v>1</v>
      </c>
      <c r="K271" s="13" t="s">
        <v>546</v>
      </c>
      <c r="Q271" s="15"/>
    </row>
    <row r="272" spans="1:17" x14ac:dyDescent="0.25">
      <c r="A272" s="11" t="s">
        <v>2337</v>
      </c>
      <c r="B272" s="13" t="s">
        <v>2058</v>
      </c>
      <c r="C272" s="10" t="s">
        <v>2059</v>
      </c>
      <c r="F272" s="14" t="s">
        <v>35</v>
      </c>
      <c r="G272" s="13">
        <v>1</v>
      </c>
      <c r="H272" s="14">
        <f t="shared" si="9"/>
        <v>1</v>
      </c>
      <c r="J272" s="14">
        <v>1</v>
      </c>
      <c r="K272" s="13" t="s">
        <v>502</v>
      </c>
      <c r="Q272" s="15"/>
    </row>
    <row r="273" spans="1:17" x14ac:dyDescent="0.25">
      <c r="A273" s="11" t="s">
        <v>2337</v>
      </c>
      <c r="B273" s="13" t="s">
        <v>676</v>
      </c>
      <c r="E273" s="14" t="s">
        <v>732</v>
      </c>
      <c r="F273" s="14" t="s">
        <v>35</v>
      </c>
      <c r="G273" s="13">
        <v>1</v>
      </c>
      <c r="H273" s="14">
        <f t="shared" si="9"/>
        <v>1</v>
      </c>
      <c r="J273" s="14">
        <v>1</v>
      </c>
      <c r="K273" s="13" t="s">
        <v>951</v>
      </c>
      <c r="Q273" s="15"/>
    </row>
    <row r="274" spans="1:17" x14ac:dyDescent="0.25">
      <c r="A274" s="11" t="s">
        <v>2337</v>
      </c>
      <c r="B274" s="13" t="s">
        <v>249</v>
      </c>
      <c r="D274" s="13" t="s">
        <v>465</v>
      </c>
      <c r="E274" s="14" t="s">
        <v>464</v>
      </c>
      <c r="F274" s="14" t="s">
        <v>35</v>
      </c>
      <c r="G274" s="13">
        <v>1</v>
      </c>
      <c r="H274" s="14">
        <f t="shared" ref="H274:H295" si="10">G274+I274</f>
        <v>1</v>
      </c>
      <c r="J274" s="14">
        <v>1</v>
      </c>
      <c r="K274" s="13" t="s">
        <v>1108</v>
      </c>
      <c r="Q274" s="15"/>
    </row>
    <row r="275" spans="1:17" x14ac:dyDescent="0.25">
      <c r="A275" s="11" t="s">
        <v>2337</v>
      </c>
      <c r="B275" s="13" t="s">
        <v>34</v>
      </c>
      <c r="D275" s="13" t="s">
        <v>1940</v>
      </c>
      <c r="F275" s="14" t="s">
        <v>35</v>
      </c>
      <c r="G275" s="13">
        <v>24</v>
      </c>
      <c r="H275" s="14">
        <f t="shared" si="10"/>
        <v>29</v>
      </c>
      <c r="I275" s="14">
        <v>5</v>
      </c>
      <c r="J275" s="14">
        <v>16</v>
      </c>
      <c r="K275" s="13" t="s">
        <v>2579</v>
      </c>
    </row>
    <row r="276" spans="1:17" x14ac:dyDescent="0.25">
      <c r="A276" s="11" t="s">
        <v>2337</v>
      </c>
      <c r="B276" s="13" t="s">
        <v>319</v>
      </c>
      <c r="C276" s="10" t="s">
        <v>315</v>
      </c>
      <c r="F276" s="14" t="s">
        <v>35</v>
      </c>
      <c r="G276" s="13">
        <v>1</v>
      </c>
      <c r="H276" s="14">
        <f t="shared" si="10"/>
        <v>1</v>
      </c>
      <c r="J276" s="14">
        <v>1</v>
      </c>
      <c r="K276" s="13" t="s">
        <v>1036</v>
      </c>
    </row>
    <row r="277" spans="1:17" s="39" customFormat="1" ht="22.5" x14ac:dyDescent="0.25">
      <c r="A277" s="11" t="s">
        <v>2337</v>
      </c>
      <c r="B277" s="26"/>
      <c r="C277" s="38" t="s">
        <v>771</v>
      </c>
      <c r="D277" s="26"/>
      <c r="E277" s="25"/>
      <c r="F277" s="25" t="s">
        <v>771</v>
      </c>
      <c r="G277" s="26">
        <v>37</v>
      </c>
      <c r="H277" s="25">
        <f t="shared" si="10"/>
        <v>37</v>
      </c>
      <c r="I277" s="25"/>
      <c r="J277" s="25">
        <v>25</v>
      </c>
      <c r="K277" s="26" t="s">
        <v>2577</v>
      </c>
      <c r="L277" s="31"/>
      <c r="M277" s="31"/>
      <c r="N277" s="31"/>
      <c r="O277" s="31"/>
      <c r="P277" s="31"/>
      <c r="Q277" s="26"/>
    </row>
    <row r="278" spans="1:17" ht="22.5" x14ac:dyDescent="0.25">
      <c r="A278" s="11" t="s">
        <v>2337</v>
      </c>
      <c r="C278" s="10" t="s">
        <v>1900</v>
      </c>
      <c r="F278" s="13" t="s">
        <v>776</v>
      </c>
      <c r="G278" s="13">
        <v>5</v>
      </c>
      <c r="H278" s="14">
        <f t="shared" si="10"/>
        <v>5</v>
      </c>
      <c r="J278" s="14">
        <v>5</v>
      </c>
      <c r="K278" s="13" t="s">
        <v>2338</v>
      </c>
    </row>
    <row r="279" spans="1:17" x14ac:dyDescent="0.25">
      <c r="A279" s="11" t="s">
        <v>2337</v>
      </c>
      <c r="D279" s="13" t="s">
        <v>1094</v>
      </c>
      <c r="E279" s="14" t="s">
        <v>982</v>
      </c>
      <c r="F279" s="14" t="s">
        <v>771</v>
      </c>
      <c r="G279" s="13">
        <v>1</v>
      </c>
      <c r="H279" s="14">
        <f t="shared" si="10"/>
        <v>1</v>
      </c>
      <c r="J279" s="14">
        <v>1</v>
      </c>
      <c r="K279" s="13" t="s">
        <v>578</v>
      </c>
      <c r="Q279" s="15"/>
    </row>
    <row r="280" spans="1:17" x14ac:dyDescent="0.25">
      <c r="A280" s="11" t="s">
        <v>2337</v>
      </c>
      <c r="B280" s="13" t="s">
        <v>980</v>
      </c>
      <c r="C280" s="10" t="s">
        <v>1216</v>
      </c>
      <c r="F280" s="14" t="s">
        <v>771</v>
      </c>
      <c r="G280" s="13">
        <v>1</v>
      </c>
      <c r="H280" s="14">
        <f t="shared" si="10"/>
        <v>1</v>
      </c>
      <c r="J280" s="14">
        <v>1</v>
      </c>
      <c r="K280" s="13" t="s">
        <v>74</v>
      </c>
      <c r="Q280" s="15"/>
    </row>
    <row r="281" spans="1:17" x14ac:dyDescent="0.25">
      <c r="A281" s="11" t="s">
        <v>2337</v>
      </c>
      <c r="B281" s="13" t="s">
        <v>1157</v>
      </c>
      <c r="C281" s="10" t="s">
        <v>2563</v>
      </c>
      <c r="D281" s="13" t="s">
        <v>2561</v>
      </c>
      <c r="E281" s="14" t="s">
        <v>2562</v>
      </c>
      <c r="F281" s="13" t="s">
        <v>773</v>
      </c>
      <c r="G281" s="13">
        <v>1</v>
      </c>
      <c r="H281" s="14">
        <f t="shared" si="10"/>
        <v>1</v>
      </c>
      <c r="J281" s="14">
        <v>1</v>
      </c>
      <c r="K281" s="13" t="s">
        <v>863</v>
      </c>
      <c r="Q281" s="15"/>
    </row>
    <row r="282" spans="1:17" x14ac:dyDescent="0.25">
      <c r="A282" s="11" t="s">
        <v>2337</v>
      </c>
      <c r="B282" s="13" t="s">
        <v>1248</v>
      </c>
      <c r="D282" s="13" t="s">
        <v>1940</v>
      </c>
      <c r="E282" s="14" t="s">
        <v>1220</v>
      </c>
      <c r="F282" s="13" t="s">
        <v>773</v>
      </c>
      <c r="G282" s="13">
        <v>1</v>
      </c>
      <c r="H282" s="14">
        <f>G282+I282</f>
        <v>1</v>
      </c>
      <c r="J282" s="14">
        <v>1</v>
      </c>
      <c r="K282" s="13" t="s">
        <v>459</v>
      </c>
      <c r="Q282" s="15"/>
    </row>
    <row r="283" spans="1:17" x14ac:dyDescent="0.25">
      <c r="A283" s="11" t="s">
        <v>2337</v>
      </c>
      <c r="B283" s="13" t="s">
        <v>878</v>
      </c>
      <c r="D283" s="13" t="s">
        <v>1940</v>
      </c>
      <c r="E283" s="14" t="s">
        <v>1220</v>
      </c>
      <c r="F283" s="13" t="s">
        <v>773</v>
      </c>
      <c r="G283" s="13">
        <v>1</v>
      </c>
      <c r="H283" s="14">
        <f>G283+I283</f>
        <v>1</v>
      </c>
      <c r="J283" s="14">
        <v>1</v>
      </c>
      <c r="K283" s="13" t="s">
        <v>459</v>
      </c>
      <c r="Q283" s="15"/>
    </row>
    <row r="284" spans="1:17" x14ac:dyDescent="0.25">
      <c r="A284" s="11" t="s">
        <v>2337</v>
      </c>
      <c r="B284" s="13" t="s">
        <v>1691</v>
      </c>
      <c r="D284" s="13" t="s">
        <v>1057</v>
      </c>
      <c r="F284" s="13" t="s">
        <v>773</v>
      </c>
      <c r="G284" s="13">
        <v>1</v>
      </c>
      <c r="H284" s="14">
        <f>G284+I284</f>
        <v>1</v>
      </c>
      <c r="J284" s="14">
        <v>1</v>
      </c>
      <c r="K284" s="13" t="s">
        <v>1043</v>
      </c>
      <c r="Q284" s="15"/>
    </row>
    <row r="285" spans="1:17" ht="22.5" x14ac:dyDescent="0.25">
      <c r="A285" s="11" t="s">
        <v>2337</v>
      </c>
      <c r="B285" s="13" t="s">
        <v>785</v>
      </c>
      <c r="D285" s="13" t="s">
        <v>977</v>
      </c>
      <c r="E285" s="14" t="s">
        <v>786</v>
      </c>
      <c r="F285" s="13" t="s">
        <v>773</v>
      </c>
      <c r="G285" s="13">
        <v>1</v>
      </c>
      <c r="H285" s="14">
        <f t="shared" si="10"/>
        <v>1</v>
      </c>
      <c r="J285" s="14">
        <v>1</v>
      </c>
      <c r="K285" s="13" t="s">
        <v>1788</v>
      </c>
      <c r="Q285" s="15"/>
    </row>
    <row r="286" spans="1:17" x14ac:dyDescent="0.25">
      <c r="A286" s="11" t="s">
        <v>2337</v>
      </c>
      <c r="B286" s="13" t="s">
        <v>795</v>
      </c>
      <c r="C286" s="10" t="s">
        <v>944</v>
      </c>
      <c r="D286" s="13" t="s">
        <v>1223</v>
      </c>
      <c r="E286" s="14" t="s">
        <v>797</v>
      </c>
      <c r="F286" s="13" t="s">
        <v>773</v>
      </c>
      <c r="G286" s="13">
        <v>4</v>
      </c>
      <c r="H286" s="14">
        <f t="shared" si="10"/>
        <v>6</v>
      </c>
      <c r="I286" s="14">
        <v>2</v>
      </c>
      <c r="J286" s="14">
        <v>6</v>
      </c>
      <c r="K286" s="13" t="s">
        <v>2516</v>
      </c>
      <c r="Q286" s="15"/>
    </row>
    <row r="287" spans="1:17" x14ac:dyDescent="0.25">
      <c r="A287" s="11" t="s">
        <v>2337</v>
      </c>
      <c r="E287" s="13" t="s">
        <v>1221</v>
      </c>
      <c r="F287" s="14" t="s">
        <v>771</v>
      </c>
      <c r="G287" s="13">
        <v>3</v>
      </c>
      <c r="H287" s="14">
        <f t="shared" si="10"/>
        <v>3</v>
      </c>
      <c r="J287" s="14">
        <v>3</v>
      </c>
      <c r="K287" s="13" t="s">
        <v>2580</v>
      </c>
      <c r="Q287" s="15"/>
    </row>
    <row r="288" spans="1:17" x14ac:dyDescent="0.25">
      <c r="A288" s="11" t="s">
        <v>2337</v>
      </c>
      <c r="E288" s="14" t="s">
        <v>1910</v>
      </c>
      <c r="F288" s="14" t="s">
        <v>771</v>
      </c>
      <c r="G288" s="13">
        <v>2</v>
      </c>
      <c r="H288" s="14">
        <f t="shared" si="10"/>
        <v>2</v>
      </c>
      <c r="J288" s="14">
        <v>2</v>
      </c>
      <c r="K288" s="13" t="s">
        <v>2346</v>
      </c>
      <c r="Q288" s="15"/>
    </row>
    <row r="289" spans="1:17" x14ac:dyDescent="0.25">
      <c r="A289" s="11" t="s">
        <v>2337</v>
      </c>
      <c r="E289" s="14" t="s">
        <v>879</v>
      </c>
      <c r="F289" s="14" t="s">
        <v>771</v>
      </c>
      <c r="G289" s="13">
        <v>3</v>
      </c>
      <c r="H289" s="14">
        <f t="shared" si="10"/>
        <v>3</v>
      </c>
      <c r="J289" s="14">
        <v>3</v>
      </c>
      <c r="K289" s="13" t="s">
        <v>2517</v>
      </c>
      <c r="Q289" s="15"/>
    </row>
    <row r="290" spans="1:17" ht="22.5" x14ac:dyDescent="0.25">
      <c r="A290" s="11" t="s">
        <v>2337</v>
      </c>
      <c r="C290" s="10" t="s">
        <v>2387</v>
      </c>
      <c r="E290" s="14" t="s">
        <v>776</v>
      </c>
      <c r="F290" s="13" t="s">
        <v>776</v>
      </c>
      <c r="G290" s="13">
        <v>3</v>
      </c>
      <c r="H290" s="14">
        <f>G290+I290</f>
        <v>3</v>
      </c>
      <c r="J290" s="14">
        <v>2</v>
      </c>
      <c r="K290" s="13" t="s">
        <v>2389</v>
      </c>
      <c r="Q290" s="15"/>
    </row>
    <row r="291" spans="1:17" ht="22.5" x14ac:dyDescent="0.25">
      <c r="A291" s="11" t="s">
        <v>2337</v>
      </c>
      <c r="C291" s="10" t="s">
        <v>2388</v>
      </c>
      <c r="E291" s="14" t="s">
        <v>776</v>
      </c>
      <c r="F291" s="13" t="s">
        <v>776</v>
      </c>
      <c r="G291" s="13">
        <v>2</v>
      </c>
      <c r="H291" s="14">
        <f>G291+I291</f>
        <v>2</v>
      </c>
      <c r="J291" s="14">
        <v>2</v>
      </c>
      <c r="K291" s="13" t="s">
        <v>2390</v>
      </c>
      <c r="Q291" s="15"/>
    </row>
    <row r="292" spans="1:17" x14ac:dyDescent="0.25">
      <c r="A292" s="11" t="s">
        <v>2337</v>
      </c>
      <c r="C292" s="10" t="s">
        <v>2572</v>
      </c>
      <c r="F292" s="14" t="s">
        <v>773</v>
      </c>
      <c r="G292" s="13">
        <v>1</v>
      </c>
      <c r="H292" s="14">
        <f>G292+I292</f>
        <v>1</v>
      </c>
      <c r="J292" s="14">
        <v>1</v>
      </c>
      <c r="K292" s="13" t="s">
        <v>866</v>
      </c>
      <c r="Q292" s="15"/>
    </row>
    <row r="293" spans="1:17" x14ac:dyDescent="0.25">
      <c r="A293" s="11" t="s">
        <v>2337</v>
      </c>
      <c r="C293" s="10" t="s">
        <v>774</v>
      </c>
      <c r="F293" s="14" t="s">
        <v>771</v>
      </c>
      <c r="G293" s="13">
        <v>1</v>
      </c>
      <c r="H293" s="14">
        <f t="shared" si="10"/>
        <v>1</v>
      </c>
      <c r="J293" s="14">
        <v>1</v>
      </c>
      <c r="K293" s="13" t="s">
        <v>951</v>
      </c>
      <c r="Q293" s="15"/>
    </row>
    <row r="294" spans="1:17" x14ac:dyDescent="0.25">
      <c r="A294" s="11" t="s">
        <v>2337</v>
      </c>
      <c r="B294" s="13" t="s">
        <v>875</v>
      </c>
      <c r="C294" s="10" t="s">
        <v>875</v>
      </c>
      <c r="E294" s="14" t="s">
        <v>1290</v>
      </c>
      <c r="F294" s="14" t="s">
        <v>773</v>
      </c>
      <c r="G294" s="14">
        <v>1</v>
      </c>
      <c r="H294" s="14">
        <f>G294+I294</f>
        <v>1</v>
      </c>
      <c r="J294" s="14">
        <v>1</v>
      </c>
      <c r="K294" s="13" t="s">
        <v>459</v>
      </c>
      <c r="Q294" s="15"/>
    </row>
    <row r="295" spans="1:17" x14ac:dyDescent="0.25">
      <c r="A295" s="11" t="s">
        <v>2337</v>
      </c>
      <c r="B295" s="13" t="s">
        <v>875</v>
      </c>
      <c r="C295" s="10" t="s">
        <v>875</v>
      </c>
      <c r="D295" s="13" t="s">
        <v>1289</v>
      </c>
      <c r="E295" s="14" t="s">
        <v>1290</v>
      </c>
      <c r="F295" s="14" t="s">
        <v>773</v>
      </c>
      <c r="G295" s="14">
        <v>2</v>
      </c>
      <c r="H295" s="14">
        <f t="shared" si="10"/>
        <v>2</v>
      </c>
      <c r="J295" s="14">
        <v>2</v>
      </c>
      <c r="K295" s="13" t="s">
        <v>2560</v>
      </c>
      <c r="Q295" s="15"/>
    </row>
    <row r="297" spans="1:17" x14ac:dyDescent="0.25">
      <c r="Q297" s="15"/>
    </row>
    <row r="298" spans="1:17" ht="22.5" x14ac:dyDescent="0.25">
      <c r="B298" s="13" t="s">
        <v>532</v>
      </c>
      <c r="C298" s="10">
        <v>0</v>
      </c>
      <c r="Q298" s="15"/>
    </row>
    <row r="299" spans="1:17" x14ac:dyDescent="0.25">
      <c r="B299" s="13" t="s">
        <v>411</v>
      </c>
      <c r="C299" s="10">
        <f>H2</f>
        <v>2</v>
      </c>
      <c r="Q299" s="15"/>
    </row>
    <row r="300" spans="1:17" x14ac:dyDescent="0.25">
      <c r="B300" s="13" t="s">
        <v>297</v>
      </c>
      <c r="C300" s="10">
        <v>0</v>
      </c>
      <c r="Q300" s="15"/>
    </row>
    <row r="301" spans="1:17" x14ac:dyDescent="0.25">
      <c r="B301" s="13" t="s">
        <v>2249</v>
      </c>
      <c r="C301" s="10">
        <v>0</v>
      </c>
      <c r="Q301" s="15"/>
    </row>
    <row r="302" spans="1:17" x14ac:dyDescent="0.25">
      <c r="B302" s="13" t="s">
        <v>76</v>
      </c>
      <c r="C302" s="10">
        <f>SUM(H3:H13)+H183+H251</f>
        <v>48</v>
      </c>
      <c r="D302" s="15"/>
      <c r="E302" s="15"/>
      <c r="F302" s="15"/>
      <c r="G302" s="15"/>
      <c r="I302" s="15"/>
      <c r="J302" s="15"/>
      <c r="K302" s="16"/>
      <c r="Q302" s="15"/>
    </row>
    <row r="303" spans="1:17" x14ac:dyDescent="0.25">
      <c r="B303" s="13" t="s">
        <v>1424</v>
      </c>
      <c r="C303" s="10">
        <v>0</v>
      </c>
      <c r="D303" s="15"/>
      <c r="E303" s="15"/>
      <c r="F303" s="15"/>
      <c r="G303" s="15"/>
      <c r="I303" s="15"/>
      <c r="J303" s="15"/>
      <c r="K303" s="16"/>
      <c r="Q303" s="15"/>
    </row>
    <row r="304" spans="1:17" x14ac:dyDescent="0.25">
      <c r="B304" s="13" t="s">
        <v>213</v>
      </c>
      <c r="C304" s="10">
        <f>H14+H184</f>
        <v>3</v>
      </c>
      <c r="D304" s="15"/>
      <c r="E304" s="15"/>
      <c r="F304" s="15"/>
      <c r="G304" s="15"/>
      <c r="I304" s="15"/>
      <c r="J304" s="15"/>
      <c r="K304" s="16"/>
      <c r="Q304" s="15"/>
    </row>
    <row r="305" spans="1:17" x14ac:dyDescent="0.25">
      <c r="B305" s="13" t="s">
        <v>42</v>
      </c>
      <c r="C305" s="10">
        <f>SUM(H15:H22)+SUM(H185:H189)+SUM(H249/2)</f>
        <v>41.5</v>
      </c>
      <c r="D305" s="15"/>
      <c r="E305" s="15"/>
      <c r="F305" s="15"/>
      <c r="G305" s="15"/>
      <c r="I305" s="15"/>
      <c r="J305" s="15"/>
      <c r="K305" s="16"/>
      <c r="Q305" s="15"/>
    </row>
    <row r="306" spans="1:17" x14ac:dyDescent="0.25">
      <c r="B306" s="13" t="s">
        <v>10</v>
      </c>
      <c r="C306" s="10">
        <f>SUM(H23:H28)+H190</f>
        <v>17</v>
      </c>
      <c r="Q306" s="15"/>
    </row>
    <row r="307" spans="1:17" x14ac:dyDescent="0.25">
      <c r="B307" s="13" t="s">
        <v>126</v>
      </c>
      <c r="C307" s="10">
        <f>SUM(H29:H32)+SUM(H191:H194)</f>
        <v>15</v>
      </c>
      <c r="Q307" s="15"/>
    </row>
    <row r="308" spans="1:17" x14ac:dyDescent="0.25">
      <c r="B308" s="13" t="s">
        <v>191</v>
      </c>
      <c r="C308" s="10">
        <f>SUM(H33:H39)+SUM(H195:H200)</f>
        <v>38</v>
      </c>
      <c r="Q308" s="15"/>
    </row>
    <row r="309" spans="1:17" x14ac:dyDescent="0.25">
      <c r="B309" s="13" t="s">
        <v>68</v>
      </c>
      <c r="C309" s="10">
        <f>SUM(H40:H49)+SUM(H201:H202)</f>
        <v>35</v>
      </c>
      <c r="Q309" s="15"/>
    </row>
    <row r="310" spans="1:17" x14ac:dyDescent="0.25">
      <c r="B310" s="13" t="s">
        <v>674</v>
      </c>
      <c r="C310" s="10">
        <v>0</v>
      </c>
      <c r="Q310" s="15"/>
    </row>
    <row r="311" spans="1:17" customFormat="1" ht="15" x14ac:dyDescent="0.25">
      <c r="A311" s="48"/>
      <c r="B311" s="13" t="s">
        <v>327</v>
      </c>
      <c r="C311" s="10">
        <f>H203</f>
        <v>4</v>
      </c>
      <c r="D311" s="13"/>
      <c r="E311" s="14"/>
      <c r="F311" s="14"/>
      <c r="G311" s="14"/>
      <c r="H311" s="14"/>
      <c r="I311" s="14"/>
      <c r="J311" s="14"/>
      <c r="K311" s="13"/>
      <c r="L311" s="15"/>
      <c r="M311" s="15"/>
      <c r="N311" s="15"/>
      <c r="O311" s="15"/>
      <c r="P311" s="15"/>
    </row>
    <row r="312" spans="1:17" ht="15" x14ac:dyDescent="0.25">
      <c r="B312" s="13" t="s">
        <v>209</v>
      </c>
      <c r="C312" s="59">
        <f>SUM(H50:H51)+H204</f>
        <v>7</v>
      </c>
      <c r="D312"/>
      <c r="E312"/>
      <c r="F312"/>
      <c r="G312"/>
      <c r="I312"/>
      <c r="J312"/>
      <c r="K312"/>
      <c r="L312"/>
      <c r="M312"/>
      <c r="N312"/>
      <c r="O312"/>
      <c r="P312"/>
      <c r="Q312" s="15"/>
    </row>
    <row r="313" spans="1:17" x14ac:dyDescent="0.25">
      <c r="B313" s="13" t="s">
        <v>2006</v>
      </c>
      <c r="C313" s="10">
        <v>0</v>
      </c>
      <c r="D313" s="15"/>
      <c r="E313" s="15"/>
      <c r="F313" s="15"/>
      <c r="G313" s="15"/>
      <c r="I313" s="15"/>
      <c r="J313" s="15"/>
      <c r="K313" s="15"/>
      <c r="Q313" s="15"/>
    </row>
    <row r="314" spans="1:17" x14ac:dyDescent="0.25">
      <c r="B314" s="13" t="s">
        <v>64</v>
      </c>
      <c r="C314" s="10">
        <f>SUM(H52:H55)+H205</f>
        <v>9</v>
      </c>
      <c r="D314" s="15"/>
      <c r="E314" s="15"/>
      <c r="F314" s="15"/>
      <c r="G314" s="15"/>
      <c r="I314" s="15"/>
      <c r="J314" s="15"/>
      <c r="K314" s="15"/>
      <c r="Q314" s="15"/>
    </row>
    <row r="315" spans="1:17" x14ac:dyDescent="0.25">
      <c r="B315" s="13" t="s">
        <v>261</v>
      </c>
      <c r="C315" s="10">
        <f>H229</f>
        <v>2</v>
      </c>
      <c r="D315" s="15"/>
      <c r="E315" s="15"/>
      <c r="F315" s="15"/>
      <c r="G315" s="15"/>
      <c r="I315" s="15"/>
      <c r="J315" s="15"/>
      <c r="K315" s="15"/>
      <c r="Q315" s="15"/>
    </row>
    <row r="316" spans="1:17" x14ac:dyDescent="0.25">
      <c r="B316" s="13" t="s">
        <v>1346</v>
      </c>
      <c r="C316" s="10">
        <v>0</v>
      </c>
      <c r="D316" s="15"/>
      <c r="E316" s="15"/>
      <c r="F316" s="15"/>
      <c r="G316" s="15"/>
      <c r="I316" s="15"/>
      <c r="J316" s="15"/>
      <c r="K316" s="15"/>
      <c r="Q316" s="15"/>
    </row>
    <row r="317" spans="1:17" x14ac:dyDescent="0.25">
      <c r="A317" s="15"/>
      <c r="B317" s="13" t="s">
        <v>705</v>
      </c>
      <c r="C317" s="10">
        <f>H56</f>
        <v>1</v>
      </c>
      <c r="D317" s="15"/>
      <c r="E317" s="15"/>
      <c r="F317" s="15"/>
      <c r="G317" s="15"/>
      <c r="I317" s="15"/>
      <c r="J317" s="15"/>
      <c r="K317" s="15"/>
      <c r="Q317" s="15"/>
    </row>
    <row r="318" spans="1:17" x14ac:dyDescent="0.25">
      <c r="A318" s="15"/>
      <c r="B318" s="13" t="s">
        <v>283</v>
      </c>
      <c r="C318" s="10">
        <f>H57</f>
        <v>1</v>
      </c>
      <c r="D318" s="15"/>
      <c r="E318" s="15"/>
      <c r="F318" s="15"/>
      <c r="G318" s="15"/>
      <c r="I318" s="15"/>
      <c r="J318" s="15"/>
      <c r="K318" s="15"/>
      <c r="Q318" s="15"/>
    </row>
    <row r="319" spans="1:17" x14ac:dyDescent="0.25">
      <c r="A319" s="15"/>
      <c r="B319" s="13" t="s">
        <v>430</v>
      </c>
      <c r="C319" s="10">
        <v>0</v>
      </c>
      <c r="D319" s="15"/>
      <c r="E319" s="15"/>
      <c r="F319" s="15"/>
      <c r="G319" s="15"/>
      <c r="I319" s="15"/>
      <c r="J319" s="15"/>
      <c r="K319" s="15"/>
      <c r="Q319" s="15"/>
    </row>
    <row r="320" spans="1:17" x14ac:dyDescent="0.25">
      <c r="A320" s="15"/>
      <c r="B320" s="13" t="s">
        <v>1933</v>
      </c>
      <c r="C320" s="10">
        <v>0</v>
      </c>
      <c r="D320" s="15"/>
      <c r="E320" s="15"/>
      <c r="F320" s="15"/>
      <c r="G320" s="15"/>
      <c r="I320" s="15"/>
      <c r="J320" s="15"/>
      <c r="K320" s="15"/>
      <c r="Q320" s="15"/>
    </row>
    <row r="321" spans="1:17" x14ac:dyDescent="0.25">
      <c r="A321" s="15"/>
      <c r="B321" s="13" t="s">
        <v>328</v>
      </c>
      <c r="C321" s="10">
        <f>H58+SUM(H206:H207)</f>
        <v>3</v>
      </c>
      <c r="D321" s="15"/>
      <c r="E321" s="15"/>
      <c r="F321" s="15"/>
      <c r="G321" s="15"/>
      <c r="I321" s="15"/>
      <c r="J321" s="15"/>
      <c r="K321" s="15"/>
      <c r="Q321" s="15"/>
    </row>
    <row r="322" spans="1:17" x14ac:dyDescent="0.25">
      <c r="A322" s="15"/>
      <c r="B322" s="13" t="s">
        <v>2391</v>
      </c>
      <c r="C322" s="10">
        <f>H59</f>
        <v>1</v>
      </c>
      <c r="D322" s="15"/>
      <c r="E322" s="15"/>
      <c r="F322" s="15"/>
      <c r="G322" s="15"/>
      <c r="I322" s="15"/>
      <c r="J322" s="15"/>
      <c r="K322" s="15"/>
      <c r="Q322" s="15"/>
    </row>
    <row r="323" spans="1:17" x14ac:dyDescent="0.25">
      <c r="A323" s="15"/>
      <c r="B323" s="13" t="s">
        <v>483</v>
      </c>
      <c r="C323" s="10">
        <v>0</v>
      </c>
      <c r="D323" s="15"/>
      <c r="E323" s="15"/>
      <c r="F323" s="15"/>
      <c r="G323" s="15"/>
      <c r="I323" s="15"/>
      <c r="J323" s="15"/>
      <c r="K323" s="15"/>
      <c r="Q323" s="15"/>
    </row>
    <row r="324" spans="1:17" x14ac:dyDescent="0.25">
      <c r="A324" s="15"/>
      <c r="B324" s="13" t="s">
        <v>2091</v>
      </c>
      <c r="C324" s="10">
        <v>0</v>
      </c>
      <c r="D324" s="15"/>
      <c r="E324" s="15"/>
      <c r="F324" s="15"/>
      <c r="G324" s="15"/>
      <c r="I324" s="15"/>
      <c r="J324" s="15"/>
      <c r="K324" s="15"/>
      <c r="Q324" s="15"/>
    </row>
    <row r="325" spans="1:17" x14ac:dyDescent="0.25">
      <c r="A325" s="15"/>
      <c r="B325" s="13" t="s">
        <v>78</v>
      </c>
      <c r="C325" s="10">
        <f>SUM(H60:H62)</f>
        <v>6</v>
      </c>
      <c r="D325" s="15"/>
      <c r="E325" s="15"/>
      <c r="F325" s="15"/>
      <c r="G325" s="15"/>
      <c r="I325" s="15"/>
      <c r="J325" s="15"/>
      <c r="K325" s="15"/>
      <c r="Q325" s="15"/>
    </row>
    <row r="326" spans="1:17" x14ac:dyDescent="0.25">
      <c r="A326" s="15"/>
      <c r="B326" s="13" t="s">
        <v>206</v>
      </c>
      <c r="C326" s="10">
        <f>SUM(H63:H66)+H208</f>
        <v>25</v>
      </c>
      <c r="D326" s="15"/>
      <c r="E326" s="15"/>
      <c r="F326" s="15"/>
      <c r="G326" s="15"/>
      <c r="I326" s="15"/>
      <c r="J326" s="15"/>
      <c r="K326" s="15"/>
      <c r="Q326" s="15"/>
    </row>
    <row r="327" spans="1:17" x14ac:dyDescent="0.25">
      <c r="A327" s="15"/>
      <c r="B327" s="13" t="s">
        <v>46</v>
      </c>
      <c r="C327" s="10">
        <f>SUM(H67:H68)+H211</f>
        <v>6</v>
      </c>
      <c r="D327" s="15"/>
      <c r="E327" s="15"/>
      <c r="F327" s="15"/>
      <c r="G327" s="15"/>
      <c r="I327" s="15"/>
      <c r="J327" s="15"/>
      <c r="K327" s="15"/>
      <c r="Q327" s="15"/>
    </row>
    <row r="328" spans="1:17" x14ac:dyDescent="0.25">
      <c r="A328" s="15"/>
      <c r="B328" s="13" t="s">
        <v>2617</v>
      </c>
      <c r="C328" s="10">
        <f>SUM(H209:H210)/2</f>
        <v>1</v>
      </c>
      <c r="D328" s="15"/>
      <c r="E328" s="15"/>
      <c r="F328" s="15"/>
      <c r="G328" s="15"/>
      <c r="I328" s="15"/>
      <c r="J328" s="15"/>
      <c r="K328" s="15"/>
      <c r="Q328" s="15"/>
    </row>
    <row r="329" spans="1:17" x14ac:dyDescent="0.25">
      <c r="A329" s="15"/>
      <c r="B329" s="13" t="s">
        <v>62</v>
      </c>
      <c r="C329" s="10">
        <f>SUM(H69:H79)+SUM(H209:H210)/2+H212</f>
        <v>23</v>
      </c>
      <c r="D329" s="15"/>
      <c r="E329" s="15"/>
      <c r="F329" s="15"/>
      <c r="G329" s="15"/>
      <c r="I329" s="15"/>
      <c r="J329" s="15"/>
      <c r="K329" s="15"/>
      <c r="Q329" s="15"/>
    </row>
    <row r="330" spans="1:17" x14ac:dyDescent="0.25">
      <c r="A330" s="15"/>
      <c r="B330" s="13" t="s">
        <v>82</v>
      </c>
      <c r="C330" s="10">
        <v>0</v>
      </c>
      <c r="D330" s="15"/>
      <c r="E330" s="15"/>
      <c r="F330" s="15"/>
      <c r="G330" s="15"/>
      <c r="I330" s="15"/>
      <c r="J330" s="15"/>
      <c r="K330" s="15"/>
      <c r="Q330" s="15"/>
    </row>
    <row r="331" spans="1:17" x14ac:dyDescent="0.25">
      <c r="A331" s="15"/>
      <c r="B331" s="13" t="s">
        <v>22</v>
      </c>
      <c r="C331" s="10">
        <f>SUM(H80:H81)+H213+H217</f>
        <v>13</v>
      </c>
      <c r="D331" s="15"/>
      <c r="E331" s="15"/>
      <c r="F331" s="15"/>
      <c r="G331" s="15"/>
      <c r="I331" s="15"/>
      <c r="J331" s="15"/>
      <c r="K331" s="15"/>
      <c r="Q331" s="15"/>
    </row>
    <row r="332" spans="1:17" x14ac:dyDescent="0.25">
      <c r="A332" s="15"/>
      <c r="B332" s="13" t="s">
        <v>446</v>
      </c>
      <c r="C332" s="10">
        <v>0</v>
      </c>
      <c r="D332" s="15"/>
      <c r="E332" s="15"/>
      <c r="F332" s="15"/>
      <c r="G332" s="15"/>
      <c r="I332" s="15"/>
      <c r="J332" s="15"/>
      <c r="K332" s="15"/>
      <c r="Q332" s="15"/>
    </row>
    <row r="333" spans="1:17" x14ac:dyDescent="0.25">
      <c r="A333" s="15"/>
      <c r="B333" s="13" t="s">
        <v>609</v>
      </c>
      <c r="C333" s="10">
        <f>H82</f>
        <v>1</v>
      </c>
      <c r="D333" s="15"/>
      <c r="E333" s="15"/>
      <c r="F333" s="15"/>
      <c r="G333" s="15"/>
      <c r="I333" s="15"/>
      <c r="J333" s="15"/>
      <c r="K333" s="15"/>
      <c r="Q333" s="15"/>
    </row>
    <row r="334" spans="1:17" x14ac:dyDescent="0.25">
      <c r="A334" s="15"/>
      <c r="B334" s="13" t="s">
        <v>699</v>
      </c>
      <c r="C334" s="10">
        <f>H83</f>
        <v>1</v>
      </c>
      <c r="D334" s="15"/>
      <c r="E334" s="15"/>
      <c r="F334" s="15"/>
      <c r="G334" s="15"/>
      <c r="I334" s="15"/>
      <c r="J334" s="15"/>
      <c r="K334" s="15"/>
      <c r="Q334" s="15"/>
    </row>
    <row r="335" spans="1:17" x14ac:dyDescent="0.25">
      <c r="A335" s="15"/>
      <c r="B335" s="13" t="s">
        <v>93</v>
      </c>
      <c r="C335" s="10">
        <f>SUM(H84:H89)+SUM(H218:H219)</f>
        <v>11</v>
      </c>
      <c r="D335" s="15"/>
      <c r="E335" s="15"/>
      <c r="F335" s="15"/>
      <c r="G335" s="15"/>
      <c r="I335" s="15"/>
      <c r="J335" s="15"/>
      <c r="K335" s="15"/>
      <c r="Q335" s="15"/>
    </row>
    <row r="336" spans="1:17" x14ac:dyDescent="0.25">
      <c r="A336" s="15"/>
      <c r="B336" s="13" t="s">
        <v>1731</v>
      </c>
      <c r="C336" s="10">
        <v>0</v>
      </c>
      <c r="D336" s="15"/>
      <c r="E336" s="15"/>
      <c r="F336" s="15"/>
      <c r="G336" s="15"/>
      <c r="I336" s="15"/>
      <c r="J336" s="15"/>
      <c r="K336" s="15"/>
      <c r="Q336" s="15"/>
    </row>
    <row r="337" spans="1:17" x14ac:dyDescent="0.25">
      <c r="A337" s="15"/>
      <c r="B337" s="13" t="s">
        <v>50</v>
      </c>
      <c r="C337" s="10">
        <v>0</v>
      </c>
      <c r="D337" s="15"/>
      <c r="E337" s="15"/>
      <c r="F337" s="15"/>
      <c r="G337" s="15"/>
      <c r="I337" s="15"/>
      <c r="J337" s="15"/>
      <c r="K337" s="15"/>
      <c r="Q337" s="15"/>
    </row>
    <row r="338" spans="1:17" x14ac:dyDescent="0.25">
      <c r="A338" s="15"/>
      <c r="B338" s="13" t="s">
        <v>24</v>
      </c>
      <c r="C338" s="10">
        <f>SUM(H90:H109)+SUM(H220:H221)</f>
        <v>98</v>
      </c>
      <c r="D338" s="15"/>
      <c r="E338" s="15"/>
      <c r="F338" s="15"/>
      <c r="G338" s="15"/>
      <c r="I338" s="15"/>
      <c r="J338" s="15"/>
      <c r="K338" s="15"/>
      <c r="Q338" s="15"/>
    </row>
    <row r="339" spans="1:17" x14ac:dyDescent="0.25">
      <c r="A339" s="15"/>
      <c r="B339" s="13" t="s">
        <v>139</v>
      </c>
      <c r="C339" s="10">
        <f>H110+H225</f>
        <v>5</v>
      </c>
      <c r="D339" s="15"/>
      <c r="E339" s="15"/>
      <c r="F339" s="15"/>
      <c r="G339" s="15"/>
      <c r="H339" s="15"/>
      <c r="I339" s="15"/>
      <c r="J339" s="15"/>
      <c r="K339" s="15"/>
      <c r="Q339" s="15"/>
    </row>
    <row r="340" spans="1:17" x14ac:dyDescent="0.25">
      <c r="A340" s="15"/>
      <c r="B340" s="13" t="s">
        <v>269</v>
      </c>
      <c r="C340" s="10">
        <f>SUM(H111:H113)+SUM(H226:H227)</f>
        <v>9</v>
      </c>
      <c r="D340" s="15"/>
      <c r="E340" s="15"/>
      <c r="F340" s="15"/>
      <c r="G340" s="15"/>
      <c r="H340" s="15"/>
      <c r="I340" s="15"/>
      <c r="J340" s="15"/>
      <c r="K340" s="15"/>
      <c r="Q340" s="15"/>
    </row>
    <row r="341" spans="1:17" x14ac:dyDescent="0.25">
      <c r="A341" s="15"/>
      <c r="B341" s="13" t="s">
        <v>2384</v>
      </c>
      <c r="C341" s="10">
        <f>H114+H228</f>
        <v>2</v>
      </c>
      <c r="D341" s="15"/>
      <c r="E341" s="15"/>
      <c r="F341" s="15"/>
      <c r="G341" s="15"/>
      <c r="H341" s="15"/>
      <c r="I341" s="15"/>
      <c r="J341" s="15"/>
      <c r="K341" s="15"/>
      <c r="Q341" s="15"/>
    </row>
    <row r="342" spans="1:17" x14ac:dyDescent="0.25">
      <c r="A342" s="15"/>
      <c r="B342" s="13" t="s">
        <v>2079</v>
      </c>
      <c r="C342" s="10">
        <v>0</v>
      </c>
      <c r="D342" s="15"/>
      <c r="E342" s="15"/>
      <c r="F342" s="15"/>
      <c r="G342" s="15"/>
      <c r="H342" s="15"/>
      <c r="I342" s="15"/>
      <c r="J342" s="15"/>
      <c r="K342" s="15"/>
      <c r="Q342" s="15"/>
    </row>
    <row r="343" spans="1:17" x14ac:dyDescent="0.25">
      <c r="A343" s="15"/>
      <c r="B343" s="13" t="s">
        <v>1347</v>
      </c>
      <c r="C343" s="10">
        <v>0</v>
      </c>
      <c r="D343" s="15"/>
      <c r="E343" s="15"/>
      <c r="F343" s="15"/>
      <c r="G343" s="15"/>
      <c r="H343" s="15"/>
      <c r="I343" s="15"/>
      <c r="J343" s="15"/>
      <c r="K343" s="15"/>
      <c r="Q343" s="15"/>
    </row>
    <row r="344" spans="1:17" x14ac:dyDescent="0.25">
      <c r="A344" s="15"/>
      <c r="B344" s="13" t="s">
        <v>718</v>
      </c>
      <c r="C344" s="10">
        <v>0</v>
      </c>
      <c r="D344" s="15"/>
      <c r="E344" s="15"/>
      <c r="F344" s="15"/>
      <c r="G344" s="15"/>
      <c r="H344" s="15"/>
      <c r="I344" s="15"/>
      <c r="J344" s="15"/>
      <c r="K344" s="15"/>
      <c r="Q344" s="15"/>
    </row>
    <row r="345" spans="1:17" x14ac:dyDescent="0.25">
      <c r="A345" s="15"/>
      <c r="B345" s="13" t="s">
        <v>1682</v>
      </c>
      <c r="C345" s="10">
        <f>H247</f>
        <v>1</v>
      </c>
      <c r="D345" s="15"/>
      <c r="E345" s="15"/>
      <c r="F345" s="15"/>
      <c r="G345" s="15"/>
      <c r="H345" s="15"/>
      <c r="I345" s="15"/>
      <c r="J345" s="15"/>
      <c r="K345" s="15"/>
      <c r="Q345" s="15"/>
    </row>
    <row r="346" spans="1:17" x14ac:dyDescent="0.25">
      <c r="A346" s="15"/>
      <c r="B346" s="13" t="s">
        <v>742</v>
      </c>
      <c r="C346" s="10">
        <f>H115+H248+SUM(H249/2)</f>
        <v>3.5</v>
      </c>
      <c r="D346" s="15"/>
      <c r="E346" s="15"/>
      <c r="F346" s="15"/>
      <c r="G346" s="15"/>
      <c r="H346" s="15"/>
      <c r="I346" s="15"/>
      <c r="J346" s="15"/>
      <c r="K346" s="15"/>
      <c r="Q346" s="15"/>
    </row>
    <row r="347" spans="1:17" x14ac:dyDescent="0.25">
      <c r="A347" s="15"/>
      <c r="C347" s="10">
        <f>SUM(C298:C346)</f>
        <v>433</v>
      </c>
      <c r="D347" s="15"/>
      <c r="E347" s="15"/>
      <c r="F347" s="15"/>
      <c r="G347" s="15"/>
      <c r="H347" s="15"/>
      <c r="I347" s="15"/>
      <c r="J347" s="15"/>
      <c r="K347" s="15"/>
      <c r="Q347" s="15"/>
    </row>
    <row r="348" spans="1:17" x14ac:dyDescent="0.25">
      <c r="A348" s="15"/>
      <c r="B348" s="12" t="s">
        <v>11</v>
      </c>
      <c r="C348" s="10">
        <f>SUM(H176:H177)+SUM(H237:H238)+SUM(C349:C353)</f>
        <v>610</v>
      </c>
      <c r="D348" s="15"/>
      <c r="E348" s="15"/>
      <c r="F348" s="15"/>
      <c r="G348" s="15"/>
      <c r="H348" s="15"/>
      <c r="I348" s="15"/>
      <c r="J348" s="15"/>
      <c r="K348" s="15"/>
      <c r="Q348" s="15"/>
    </row>
    <row r="349" spans="1:17" x14ac:dyDescent="0.25">
      <c r="A349" s="15"/>
      <c r="B349" s="13" t="s">
        <v>663</v>
      </c>
      <c r="C349" s="10">
        <f>H224+H230+SUM(H240/2)+SUM(H241/2)+C304+C321+C327+C339+C340</f>
        <v>44.5</v>
      </c>
      <c r="D349" s="15"/>
      <c r="E349" s="15"/>
      <c r="F349" s="15"/>
      <c r="G349" s="15"/>
      <c r="H349" s="15"/>
      <c r="I349" s="15"/>
      <c r="J349" s="15"/>
      <c r="K349" s="15"/>
      <c r="Q349" s="15"/>
    </row>
    <row r="350" spans="1:17" x14ac:dyDescent="0.25">
      <c r="A350" s="15"/>
      <c r="B350" s="13" t="s">
        <v>664</v>
      </c>
      <c r="C350" s="10">
        <f>H239+SUM(H240/2)+C306</f>
        <v>18.5</v>
      </c>
      <c r="D350" s="15"/>
      <c r="E350" s="15"/>
      <c r="F350" s="15"/>
      <c r="G350" s="15"/>
      <c r="H350" s="15"/>
      <c r="I350" s="15"/>
      <c r="J350" s="15"/>
      <c r="K350" s="15"/>
      <c r="Q350" s="15"/>
    </row>
    <row r="351" spans="1:17" x14ac:dyDescent="0.25">
      <c r="A351" s="15"/>
      <c r="B351" s="13" t="s">
        <v>271</v>
      </c>
      <c r="C351" s="10">
        <f>H180+SUM(H222:H223)/2+H231+H236+SUM(H241/2)+SUM(H243:H245)/2+SUM(H252:H255)+C311+C312+C315+C317+C318+C322+C325+C333+C334+C335</f>
        <v>101</v>
      </c>
      <c r="D351" s="15"/>
      <c r="E351" s="15"/>
      <c r="F351" s="15"/>
      <c r="G351" s="15"/>
      <c r="H351" s="15"/>
      <c r="I351" s="15"/>
      <c r="J351" s="15"/>
      <c r="K351" s="15"/>
      <c r="Q351" s="15"/>
    </row>
    <row r="352" spans="1:17" x14ac:dyDescent="0.25">
      <c r="A352" s="15"/>
      <c r="B352" s="13" t="s">
        <v>144</v>
      </c>
      <c r="C352" s="10">
        <f>H179+SUM(H222:H223)/2+SUM(H243:H245)/2+H253+H254+SUM(H256/2)+H257+C305+C308+C309+C314+C331+C338+C346+C345</f>
        <v>300</v>
      </c>
      <c r="D352" s="15"/>
      <c r="E352" s="15"/>
      <c r="F352" s="15"/>
      <c r="G352" s="15"/>
      <c r="H352" s="15"/>
      <c r="I352" s="15"/>
      <c r="J352" s="15"/>
      <c r="K352" s="15"/>
      <c r="Q352" s="15"/>
    </row>
    <row r="353" spans="1:17" x14ac:dyDescent="0.25">
      <c r="A353" s="15"/>
      <c r="B353" s="13" t="s">
        <v>666</v>
      </c>
      <c r="C353" s="10">
        <f>H242+H250+C299+C302+C307+C326+C329+C328+C341</f>
        <v>119</v>
      </c>
      <c r="D353" s="15"/>
      <c r="E353" s="15"/>
      <c r="F353" s="15"/>
      <c r="G353" s="15"/>
      <c r="H353" s="15"/>
      <c r="I353" s="15"/>
      <c r="J353" s="15"/>
      <c r="K353" s="15"/>
      <c r="Q353" s="15"/>
    </row>
    <row r="354" spans="1:17" x14ac:dyDescent="0.25">
      <c r="D354" s="15"/>
      <c r="E354" s="15"/>
      <c r="F354" s="15"/>
      <c r="G354" s="15"/>
      <c r="H354" s="15"/>
      <c r="I354" s="15"/>
      <c r="J354" s="15"/>
      <c r="K354" s="15"/>
      <c r="Q354" s="15"/>
    </row>
    <row r="355" spans="1:17" x14ac:dyDescent="0.25">
      <c r="B355" s="13" t="s">
        <v>231</v>
      </c>
      <c r="C355" s="10">
        <f>SUM(H116:H117)</f>
        <v>3</v>
      </c>
      <c r="D355" s="15"/>
      <c r="E355" s="15"/>
      <c r="F355" s="15"/>
      <c r="G355" s="15"/>
      <c r="H355" s="15"/>
      <c r="I355" s="15"/>
      <c r="J355" s="15"/>
      <c r="K355" s="15"/>
      <c r="Q355" s="15"/>
    </row>
    <row r="356" spans="1:17" x14ac:dyDescent="0.25">
      <c r="B356" s="13" t="s">
        <v>995</v>
      </c>
      <c r="C356" s="10">
        <v>0</v>
      </c>
      <c r="D356" s="15"/>
      <c r="E356" s="15"/>
      <c r="F356" s="15"/>
      <c r="G356" s="15"/>
      <c r="H356" s="15"/>
      <c r="I356" s="15"/>
      <c r="J356" s="15"/>
      <c r="K356" s="15"/>
      <c r="Q356" s="15"/>
    </row>
    <row r="357" spans="1:17" x14ac:dyDescent="0.25">
      <c r="B357" s="13" t="s">
        <v>953</v>
      </c>
      <c r="C357" s="10">
        <f>H118+H272</f>
        <v>2</v>
      </c>
      <c r="D357" s="15"/>
      <c r="E357" s="15"/>
      <c r="F357" s="15"/>
      <c r="G357" s="15"/>
      <c r="H357" s="15"/>
      <c r="I357" s="15"/>
      <c r="J357" s="15"/>
      <c r="K357" s="15"/>
      <c r="Q357" s="15"/>
    </row>
    <row r="358" spans="1:17" x14ac:dyDescent="0.25">
      <c r="B358" s="13" t="s">
        <v>394</v>
      </c>
      <c r="C358" s="10">
        <v>0</v>
      </c>
      <c r="D358" s="15"/>
      <c r="E358" s="15"/>
      <c r="F358" s="15"/>
      <c r="G358" s="15"/>
      <c r="H358" s="15"/>
      <c r="I358" s="15"/>
      <c r="J358" s="15"/>
      <c r="K358" s="15"/>
      <c r="Q358" s="15"/>
    </row>
    <row r="359" spans="1:17" x14ac:dyDescent="0.25">
      <c r="B359" s="13" t="s">
        <v>238</v>
      </c>
      <c r="C359" s="10">
        <v>0</v>
      </c>
      <c r="D359" s="15"/>
      <c r="E359" s="15"/>
      <c r="F359" s="15"/>
      <c r="G359" s="15"/>
      <c r="H359" s="15"/>
      <c r="I359" s="15"/>
      <c r="J359" s="15"/>
      <c r="K359" s="15"/>
      <c r="Q359" s="15"/>
    </row>
    <row r="360" spans="1:17" customFormat="1" ht="15" x14ac:dyDescent="0.25">
      <c r="A360" s="48"/>
      <c r="B360" s="13" t="s">
        <v>226</v>
      </c>
      <c r="C360" s="10">
        <v>0</v>
      </c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7" customFormat="1" ht="15" x14ac:dyDescent="0.25">
      <c r="A361" s="48"/>
      <c r="B361" s="13" t="s">
        <v>1641</v>
      </c>
      <c r="C361" s="59">
        <v>0</v>
      </c>
      <c r="H361" s="15"/>
    </row>
    <row r="362" spans="1:17" customFormat="1" ht="15" x14ac:dyDescent="0.25">
      <c r="A362" s="48"/>
      <c r="B362" s="13" t="s">
        <v>998</v>
      </c>
      <c r="C362" s="59">
        <v>0</v>
      </c>
      <c r="H362" s="15"/>
    </row>
    <row r="363" spans="1:17" ht="15" x14ac:dyDescent="0.25">
      <c r="B363" s="13" t="s">
        <v>407</v>
      </c>
      <c r="C363" s="59">
        <f>H119</f>
        <v>1</v>
      </c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5"/>
    </row>
    <row r="364" spans="1:17" ht="15" x14ac:dyDescent="0.25">
      <c r="B364" s="13" t="s">
        <v>1612</v>
      </c>
      <c r="C364" s="10">
        <v>0</v>
      </c>
      <c r="D364" s="15"/>
      <c r="E364" s="15"/>
      <c r="F364" s="15"/>
      <c r="G364" s="15"/>
      <c r="H364"/>
      <c r="I364" s="15"/>
      <c r="J364" s="15"/>
      <c r="K364" s="15"/>
      <c r="Q364" s="15"/>
    </row>
    <row r="365" spans="1:17" ht="15" x14ac:dyDescent="0.25">
      <c r="B365" s="13" t="s">
        <v>86</v>
      </c>
      <c r="C365" s="10">
        <v>0</v>
      </c>
      <c r="D365" s="15"/>
      <c r="E365" s="15"/>
      <c r="F365" s="15"/>
      <c r="G365" s="15"/>
      <c r="H365"/>
      <c r="I365" s="15"/>
      <c r="J365" s="15"/>
      <c r="K365" s="15"/>
      <c r="Q365" s="15"/>
    </row>
    <row r="366" spans="1:17" x14ac:dyDescent="0.25">
      <c r="B366" s="13" t="s">
        <v>676</v>
      </c>
      <c r="C366" s="10">
        <f>H120+H273</f>
        <v>4</v>
      </c>
      <c r="D366" s="15"/>
      <c r="E366" s="15"/>
      <c r="F366" s="15"/>
      <c r="G366" s="15"/>
      <c r="H366" s="15"/>
      <c r="I366" s="15"/>
      <c r="J366" s="15"/>
      <c r="K366" s="15"/>
      <c r="Q366" s="15"/>
    </row>
    <row r="367" spans="1:17" x14ac:dyDescent="0.25">
      <c r="B367" s="13" t="s">
        <v>975</v>
      </c>
      <c r="C367" s="10">
        <v>0</v>
      </c>
      <c r="D367" s="15"/>
      <c r="E367" s="15"/>
      <c r="F367" s="15"/>
      <c r="G367" s="15"/>
      <c r="H367" s="15"/>
      <c r="I367" s="15"/>
      <c r="J367" s="15"/>
      <c r="K367" s="15"/>
      <c r="Q367" s="15"/>
    </row>
    <row r="368" spans="1:17" x14ac:dyDescent="0.25">
      <c r="B368" s="13" t="s">
        <v>249</v>
      </c>
      <c r="C368" s="10">
        <f>H274</f>
        <v>1</v>
      </c>
      <c r="D368" s="15"/>
      <c r="E368" s="15"/>
      <c r="F368" s="15"/>
      <c r="G368" s="15"/>
      <c r="H368" s="15"/>
      <c r="I368" s="15"/>
      <c r="J368" s="15"/>
      <c r="K368" s="15"/>
      <c r="Q368" s="15"/>
    </row>
    <row r="369" spans="1:17" x14ac:dyDescent="0.25">
      <c r="B369" s="13" t="s">
        <v>1709</v>
      </c>
      <c r="C369" s="10">
        <v>0</v>
      </c>
      <c r="D369" s="15"/>
      <c r="E369" s="15"/>
      <c r="F369" s="15"/>
      <c r="G369" s="15"/>
      <c r="H369" s="15"/>
      <c r="I369" s="15"/>
      <c r="J369" s="15"/>
      <c r="K369" s="15"/>
      <c r="Q369" s="15"/>
    </row>
    <row r="370" spans="1:17" x14ac:dyDescent="0.25">
      <c r="A370" s="15"/>
      <c r="B370" s="13" t="s">
        <v>426</v>
      </c>
      <c r="C370" s="10">
        <v>0</v>
      </c>
      <c r="D370" s="15"/>
      <c r="E370" s="15"/>
      <c r="F370" s="15"/>
      <c r="G370" s="15"/>
      <c r="H370" s="15"/>
      <c r="I370" s="15"/>
      <c r="J370" s="15"/>
      <c r="K370" s="15"/>
      <c r="Q370" s="15"/>
    </row>
    <row r="371" spans="1:17" x14ac:dyDescent="0.25">
      <c r="A371" s="15"/>
      <c r="B371" s="13" t="s">
        <v>34</v>
      </c>
      <c r="C371" s="10">
        <f>SUM(H121:H135)+H275</f>
        <v>105</v>
      </c>
      <c r="D371" s="15"/>
      <c r="E371" s="15"/>
      <c r="F371" s="15"/>
      <c r="G371" s="15"/>
      <c r="H371" s="15"/>
      <c r="I371" s="15"/>
      <c r="J371" s="15"/>
      <c r="K371" s="15"/>
      <c r="Q371" s="15"/>
    </row>
    <row r="372" spans="1:17" x14ac:dyDescent="0.25">
      <c r="A372" s="15"/>
      <c r="B372" s="13" t="s">
        <v>99</v>
      </c>
      <c r="C372" s="10">
        <v>0</v>
      </c>
      <c r="D372" s="15"/>
      <c r="E372" s="15"/>
      <c r="F372" s="15"/>
      <c r="G372" s="15"/>
      <c r="H372" s="15"/>
      <c r="I372" s="15"/>
      <c r="J372" s="15"/>
      <c r="K372" s="15"/>
      <c r="Q372" s="15"/>
    </row>
    <row r="373" spans="1:17" x14ac:dyDescent="0.25">
      <c r="A373" s="15"/>
      <c r="B373" s="13" t="s">
        <v>170</v>
      </c>
      <c r="C373" s="10">
        <f>H136</f>
        <v>1</v>
      </c>
      <c r="D373" s="15"/>
      <c r="E373" s="15"/>
      <c r="F373" s="15"/>
      <c r="G373" s="15"/>
      <c r="H373" s="15"/>
      <c r="I373" s="15"/>
      <c r="J373" s="15"/>
      <c r="K373" s="15"/>
      <c r="Q373" s="15"/>
    </row>
    <row r="374" spans="1:17" x14ac:dyDescent="0.25">
      <c r="A374" s="15"/>
      <c r="B374" s="13" t="s">
        <v>1694</v>
      </c>
      <c r="C374" s="10">
        <v>0</v>
      </c>
      <c r="D374" s="15"/>
      <c r="E374" s="15"/>
      <c r="F374" s="15"/>
      <c r="G374" s="15"/>
      <c r="H374" s="15"/>
      <c r="I374" s="15"/>
      <c r="J374" s="15"/>
      <c r="K374" s="15"/>
      <c r="Q374" s="15"/>
    </row>
    <row r="375" spans="1:17" x14ac:dyDescent="0.25">
      <c r="A375" s="15"/>
      <c r="B375" s="13" t="s">
        <v>1031</v>
      </c>
      <c r="C375" s="10">
        <f>H137</f>
        <v>2</v>
      </c>
      <c r="D375" s="15"/>
      <c r="E375" s="15"/>
      <c r="F375" s="15"/>
      <c r="G375" s="15"/>
      <c r="H375" s="15"/>
      <c r="I375" s="15"/>
      <c r="J375" s="15"/>
      <c r="K375" s="15"/>
      <c r="Q375" s="15"/>
    </row>
    <row r="376" spans="1:17" x14ac:dyDescent="0.25">
      <c r="A376" s="15"/>
      <c r="B376" s="13" t="s">
        <v>319</v>
      </c>
      <c r="C376" s="10">
        <f>H138+H276</f>
        <v>2</v>
      </c>
      <c r="D376" s="15"/>
      <c r="E376" s="15"/>
      <c r="F376" s="15"/>
      <c r="G376" s="15"/>
      <c r="H376" s="15"/>
      <c r="I376" s="15"/>
      <c r="J376" s="15"/>
      <c r="K376" s="15"/>
      <c r="Q376" s="15"/>
    </row>
    <row r="377" spans="1:17" x14ac:dyDescent="0.25">
      <c r="A377" s="15"/>
      <c r="B377" s="13" t="s">
        <v>1606</v>
      </c>
      <c r="C377" s="10">
        <v>0</v>
      </c>
      <c r="D377" s="15"/>
      <c r="E377" s="15"/>
      <c r="F377" s="15"/>
      <c r="G377" s="15"/>
      <c r="H377" s="15"/>
      <c r="I377" s="15"/>
      <c r="J377" s="15"/>
      <c r="K377" s="15"/>
      <c r="Q377" s="15"/>
    </row>
    <row r="378" spans="1:17" x14ac:dyDescent="0.25">
      <c r="A378" s="15"/>
      <c r="B378" s="13" t="s">
        <v>1610</v>
      </c>
      <c r="C378" s="10">
        <v>0</v>
      </c>
      <c r="D378" s="15"/>
      <c r="E378" s="15"/>
      <c r="F378" s="15"/>
      <c r="G378" s="15"/>
      <c r="H378" s="15"/>
      <c r="I378" s="15"/>
      <c r="J378" s="15"/>
      <c r="K378" s="15"/>
      <c r="Q378" s="15"/>
    </row>
    <row r="379" spans="1:17" x14ac:dyDescent="0.25">
      <c r="A379" s="15"/>
      <c r="B379" s="13" t="s">
        <v>709</v>
      </c>
      <c r="C379" s="10">
        <v>0</v>
      </c>
      <c r="D379" s="15"/>
      <c r="E379" s="15"/>
      <c r="F379" s="15"/>
      <c r="G379" s="15"/>
      <c r="H379" s="15"/>
      <c r="I379" s="15"/>
      <c r="J379" s="15"/>
      <c r="K379" s="15"/>
      <c r="Q379" s="15"/>
    </row>
    <row r="380" spans="1:17" x14ac:dyDescent="0.25">
      <c r="A380" s="15"/>
      <c r="B380" s="13" t="s">
        <v>743</v>
      </c>
      <c r="C380" s="10">
        <v>0</v>
      </c>
      <c r="D380" s="15"/>
      <c r="E380" s="15"/>
      <c r="F380" s="15"/>
      <c r="G380" s="15"/>
      <c r="H380" s="15"/>
      <c r="I380" s="15"/>
      <c r="J380" s="15"/>
      <c r="K380" s="15"/>
      <c r="Q380" s="15"/>
    </row>
    <row r="381" spans="1:17" x14ac:dyDescent="0.25">
      <c r="A381" s="15"/>
      <c r="B381" s="13" t="s">
        <v>167</v>
      </c>
      <c r="C381" s="10">
        <v>0</v>
      </c>
      <c r="D381" s="15"/>
      <c r="E381" s="15"/>
      <c r="F381" s="15"/>
      <c r="G381" s="15"/>
      <c r="H381" s="15"/>
      <c r="I381" s="15"/>
      <c r="J381" s="15"/>
      <c r="K381" s="15"/>
      <c r="Q381" s="15"/>
    </row>
    <row r="382" spans="1:17" x14ac:dyDescent="0.25">
      <c r="A382" s="15"/>
      <c r="B382" s="13" t="s">
        <v>522</v>
      </c>
      <c r="C382" s="10">
        <v>0</v>
      </c>
      <c r="D382" s="15"/>
      <c r="E382" s="15"/>
      <c r="F382" s="15"/>
      <c r="G382" s="15"/>
      <c r="H382" s="15"/>
      <c r="I382" s="15"/>
      <c r="J382" s="15"/>
      <c r="K382" s="15"/>
      <c r="Q382" s="15"/>
    </row>
    <row r="383" spans="1:17" x14ac:dyDescent="0.25">
      <c r="A383" s="15"/>
      <c r="B383" s="13" t="s">
        <v>1594</v>
      </c>
      <c r="C383" s="10">
        <v>0</v>
      </c>
      <c r="D383" s="15"/>
      <c r="E383" s="15"/>
      <c r="F383" s="15"/>
      <c r="G383" s="15"/>
      <c r="H383" s="15"/>
      <c r="I383" s="15"/>
      <c r="J383" s="15"/>
      <c r="K383" s="15"/>
      <c r="Q383" s="15"/>
    </row>
    <row r="384" spans="1:17" x14ac:dyDescent="0.25">
      <c r="A384" s="15"/>
      <c r="B384" s="13" t="s">
        <v>1347</v>
      </c>
      <c r="C384" s="10">
        <v>0</v>
      </c>
      <c r="D384" s="15"/>
      <c r="E384" s="15"/>
      <c r="F384" s="15"/>
      <c r="G384" s="15"/>
      <c r="H384" s="15"/>
      <c r="I384" s="15"/>
      <c r="J384" s="15"/>
      <c r="K384" s="15"/>
      <c r="Q384" s="15"/>
    </row>
    <row r="385" spans="1:17" x14ac:dyDescent="0.25">
      <c r="A385" s="15"/>
      <c r="B385" s="12" t="s">
        <v>35</v>
      </c>
      <c r="C385" s="10">
        <f>H264+SUM(C386:C390)</f>
        <v>152</v>
      </c>
      <c r="D385" s="15"/>
      <c r="E385" s="15"/>
      <c r="F385" s="15"/>
      <c r="G385" s="15"/>
      <c r="H385" s="15"/>
      <c r="I385" s="15"/>
      <c r="J385" s="15"/>
      <c r="K385" s="15"/>
      <c r="Q385" s="15"/>
    </row>
    <row r="386" spans="1:17" x14ac:dyDescent="0.25">
      <c r="A386" s="15"/>
      <c r="B386" s="13" t="s">
        <v>667</v>
      </c>
      <c r="C386" s="10">
        <f>H181+H265+H268+C355+C366+C371+C375+C376</f>
        <v>124</v>
      </c>
      <c r="D386" s="15"/>
      <c r="E386" s="15"/>
      <c r="F386" s="15"/>
      <c r="G386" s="15"/>
      <c r="H386" s="15"/>
      <c r="I386" s="15"/>
      <c r="J386" s="15"/>
      <c r="K386" s="15"/>
      <c r="Q386" s="15"/>
    </row>
    <row r="387" spans="1:17" x14ac:dyDescent="0.25">
      <c r="A387" s="15"/>
      <c r="B387" s="13" t="s">
        <v>668</v>
      </c>
      <c r="C387" s="10">
        <f>H270</f>
        <v>2</v>
      </c>
      <c r="D387" s="15"/>
      <c r="E387" s="15"/>
      <c r="F387" s="15"/>
      <c r="G387" s="15"/>
      <c r="H387" s="15"/>
      <c r="I387" s="15"/>
      <c r="J387" s="15"/>
      <c r="K387" s="15"/>
      <c r="Q387" s="15"/>
    </row>
    <row r="388" spans="1:17" x14ac:dyDescent="0.25">
      <c r="A388" s="15"/>
      <c r="B388" s="13" t="s">
        <v>669</v>
      </c>
      <c r="C388" s="10">
        <f>H269+C363+C368</f>
        <v>4</v>
      </c>
      <c r="D388" s="15"/>
      <c r="E388" s="15"/>
      <c r="F388" s="15"/>
      <c r="G388" s="15"/>
      <c r="H388" s="15"/>
      <c r="I388" s="15"/>
      <c r="J388" s="15"/>
      <c r="K388" s="15"/>
      <c r="Q388" s="15"/>
    </row>
    <row r="389" spans="1:17" x14ac:dyDescent="0.25">
      <c r="A389" s="15"/>
      <c r="B389" s="13" t="s">
        <v>670</v>
      </c>
      <c r="C389" s="10">
        <f>SUM(H266:H267)+C357</f>
        <v>8</v>
      </c>
      <c r="D389" s="15"/>
      <c r="E389" s="15"/>
      <c r="F389" s="15"/>
      <c r="G389" s="15"/>
      <c r="H389" s="15"/>
      <c r="I389" s="15"/>
      <c r="J389" s="15"/>
      <c r="K389" s="15"/>
      <c r="Q389" s="15"/>
    </row>
    <row r="390" spans="1:17" x14ac:dyDescent="0.25">
      <c r="A390" s="15"/>
      <c r="B390" s="13" t="s">
        <v>666</v>
      </c>
      <c r="C390" s="10">
        <f>H271+C373</f>
        <v>2</v>
      </c>
      <c r="D390" s="15"/>
      <c r="E390" s="15"/>
      <c r="F390" s="15"/>
      <c r="G390" s="15"/>
      <c r="H390" s="15"/>
      <c r="I390" s="15"/>
      <c r="J390" s="15"/>
      <c r="K390" s="15"/>
      <c r="Q390" s="15"/>
    </row>
    <row r="391" spans="1:17" x14ac:dyDescent="0.25">
      <c r="A391" s="15"/>
      <c r="D391" s="15"/>
      <c r="E391" s="15"/>
      <c r="F391" s="15"/>
      <c r="G391" s="15"/>
      <c r="H391" s="15"/>
      <c r="I391" s="15"/>
      <c r="J391" s="15"/>
      <c r="K391" s="15"/>
      <c r="Q391" s="15"/>
    </row>
    <row r="392" spans="1:17" x14ac:dyDescent="0.25">
      <c r="A392" s="15"/>
      <c r="B392" s="13" t="s">
        <v>163</v>
      </c>
      <c r="C392" s="10">
        <f>H139</f>
        <v>3</v>
      </c>
      <c r="D392" s="15"/>
      <c r="E392" s="15"/>
      <c r="F392" s="15"/>
      <c r="G392" s="15"/>
      <c r="H392" s="15"/>
      <c r="I392" s="15"/>
      <c r="J392" s="15"/>
      <c r="K392" s="15"/>
      <c r="Q392" s="15"/>
    </row>
    <row r="393" spans="1:17" x14ac:dyDescent="0.25">
      <c r="A393" s="15"/>
      <c r="B393" s="13" t="s">
        <v>186</v>
      </c>
      <c r="C393" s="10">
        <v>0</v>
      </c>
      <c r="D393" s="15"/>
      <c r="E393" s="15"/>
      <c r="F393" s="15"/>
      <c r="G393" s="15"/>
      <c r="H393" s="15"/>
      <c r="I393" s="15"/>
      <c r="J393" s="15"/>
      <c r="K393" s="15"/>
      <c r="Q393" s="15"/>
    </row>
    <row r="394" spans="1:17" x14ac:dyDescent="0.25">
      <c r="A394" s="15"/>
      <c r="B394" s="13" t="s">
        <v>55</v>
      </c>
      <c r="C394" s="10">
        <f>SUM(H140:H143)</f>
        <v>14</v>
      </c>
      <c r="D394" s="15"/>
      <c r="E394" s="15"/>
      <c r="F394" s="15"/>
      <c r="G394" s="15"/>
      <c r="H394" s="15"/>
      <c r="I394" s="15"/>
      <c r="J394" s="15"/>
      <c r="K394" s="15"/>
      <c r="Q394" s="15"/>
    </row>
    <row r="395" spans="1:17" x14ac:dyDescent="0.25">
      <c r="A395" s="15"/>
      <c r="B395" s="13" t="s">
        <v>593</v>
      </c>
      <c r="C395" s="10">
        <v>0</v>
      </c>
      <c r="D395" s="15"/>
      <c r="E395" s="15"/>
      <c r="F395" s="15"/>
      <c r="G395" s="15"/>
      <c r="H395" s="15"/>
      <c r="I395" s="15"/>
      <c r="J395" s="15"/>
      <c r="K395" s="15"/>
      <c r="Q395" s="15"/>
    </row>
    <row r="396" spans="1:17" x14ac:dyDescent="0.25">
      <c r="A396" s="15"/>
      <c r="B396" s="13" t="s">
        <v>161</v>
      </c>
      <c r="C396" s="10">
        <f>H144</f>
        <v>2</v>
      </c>
      <c r="D396" s="15"/>
      <c r="E396" s="15"/>
      <c r="F396" s="15"/>
      <c r="G396" s="15"/>
      <c r="H396" s="15"/>
      <c r="I396" s="15"/>
      <c r="J396" s="15"/>
      <c r="K396" s="15"/>
      <c r="Q396" s="15"/>
    </row>
    <row r="397" spans="1:17" x14ac:dyDescent="0.25">
      <c r="A397" s="15"/>
      <c r="B397" s="13" t="s">
        <v>66</v>
      </c>
      <c r="C397" s="10">
        <f>SUM(H145:H146)</f>
        <v>3</v>
      </c>
      <c r="D397" s="15"/>
      <c r="E397" s="15"/>
      <c r="F397" s="15"/>
      <c r="G397" s="15"/>
      <c r="H397" s="15"/>
      <c r="I397" s="15"/>
      <c r="J397" s="15"/>
      <c r="K397" s="15"/>
      <c r="Q397" s="15"/>
    </row>
    <row r="398" spans="1:17" x14ac:dyDescent="0.25">
      <c r="A398" s="15"/>
      <c r="B398" s="13" t="s">
        <v>1347</v>
      </c>
      <c r="C398" s="10">
        <v>0</v>
      </c>
      <c r="D398" s="15"/>
      <c r="E398" s="15"/>
      <c r="F398" s="15"/>
      <c r="G398" s="15"/>
      <c r="H398" s="15"/>
      <c r="I398" s="15"/>
      <c r="J398" s="15"/>
      <c r="K398" s="15"/>
      <c r="Q398" s="15"/>
    </row>
    <row r="399" spans="1:17" x14ac:dyDescent="0.25">
      <c r="A399" s="15"/>
      <c r="B399" s="12" t="s">
        <v>56</v>
      </c>
      <c r="C399" s="10">
        <f>SUM(H256/2)+H258+SUM(C400:C404)</f>
        <v>39</v>
      </c>
      <c r="D399" s="15"/>
      <c r="E399" s="15"/>
      <c r="F399" s="15"/>
      <c r="G399" s="15"/>
      <c r="H399" s="15"/>
      <c r="I399" s="15"/>
      <c r="J399" s="15"/>
      <c r="K399" s="15"/>
      <c r="Q399" s="15"/>
    </row>
    <row r="400" spans="1:17" x14ac:dyDescent="0.25">
      <c r="A400" s="15"/>
      <c r="B400" s="13" t="s">
        <v>663</v>
      </c>
      <c r="C400" s="10">
        <f>SUM(H260/2)+SUM(C392/2)</f>
        <v>2.5</v>
      </c>
      <c r="D400" s="15"/>
      <c r="E400" s="15"/>
      <c r="F400" s="15"/>
      <c r="G400" s="15"/>
      <c r="H400" s="15"/>
      <c r="I400" s="15"/>
      <c r="J400" s="15"/>
      <c r="K400" s="15"/>
      <c r="Q400" s="15"/>
    </row>
    <row r="401" spans="1:17" x14ac:dyDescent="0.25">
      <c r="A401" s="15"/>
      <c r="B401" s="13" t="s">
        <v>664</v>
      </c>
      <c r="C401" s="10">
        <f>SUM(H260/2)+SUM(H261/2)+H263+SUM(C392/2)+C396</f>
        <v>6</v>
      </c>
      <c r="D401" s="15"/>
      <c r="E401" s="15"/>
      <c r="F401" s="15"/>
      <c r="G401" s="15"/>
      <c r="H401" s="15"/>
      <c r="I401" s="15"/>
      <c r="J401" s="15"/>
      <c r="K401" s="15"/>
      <c r="Q401" s="15"/>
    </row>
    <row r="402" spans="1:17" x14ac:dyDescent="0.25">
      <c r="A402" s="15"/>
      <c r="B402" s="13" t="s">
        <v>271</v>
      </c>
      <c r="C402" s="10">
        <f>SUM(H259/2)+H262</f>
        <v>2</v>
      </c>
      <c r="D402" s="15"/>
      <c r="E402" s="15"/>
      <c r="F402" s="15"/>
      <c r="G402" s="15"/>
      <c r="H402" s="15"/>
      <c r="I402" s="15"/>
      <c r="J402" s="15"/>
      <c r="K402" s="15"/>
      <c r="Q402" s="15"/>
    </row>
    <row r="403" spans="1:17" x14ac:dyDescent="0.25">
      <c r="A403" s="15"/>
      <c r="B403" s="13" t="s">
        <v>144</v>
      </c>
      <c r="C403" s="10">
        <f>SUM(H259/2)+SUM(H261/2)+C394</f>
        <v>15.5</v>
      </c>
      <c r="D403" s="15"/>
      <c r="E403" s="15"/>
      <c r="F403" s="15"/>
      <c r="G403" s="15"/>
      <c r="H403" s="15"/>
      <c r="I403" s="15"/>
      <c r="J403" s="15"/>
      <c r="K403" s="15"/>
      <c r="Q403" s="15"/>
    </row>
    <row r="404" spans="1:17" x14ac:dyDescent="0.25">
      <c r="A404" s="15"/>
      <c r="B404" s="13" t="s">
        <v>666</v>
      </c>
      <c r="C404" s="10">
        <f>C397</f>
        <v>3</v>
      </c>
      <c r="D404" s="15"/>
      <c r="E404" s="15"/>
      <c r="F404" s="15"/>
      <c r="G404" s="15"/>
      <c r="H404" s="15"/>
      <c r="I404" s="15"/>
      <c r="J404" s="15"/>
      <c r="K404" s="15"/>
      <c r="Q404" s="15"/>
    </row>
    <row r="405" spans="1:17" x14ac:dyDescent="0.25">
      <c r="A405" s="15"/>
      <c r="D405" s="15"/>
      <c r="E405" s="15"/>
      <c r="F405" s="15"/>
      <c r="G405" s="15"/>
      <c r="H405" s="15"/>
      <c r="I405" s="15"/>
      <c r="J405" s="15"/>
      <c r="K405" s="15"/>
      <c r="Q405" s="15"/>
    </row>
    <row r="406" spans="1:17" x14ac:dyDescent="0.25">
      <c r="B406" s="13" t="s">
        <v>778</v>
      </c>
      <c r="C406" s="10">
        <f>SUM(H147:H149)</f>
        <v>6</v>
      </c>
      <c r="H406" s="15"/>
      <c r="Q406" s="15"/>
    </row>
    <row r="407" spans="1:17" x14ac:dyDescent="0.25">
      <c r="B407" s="13" t="s">
        <v>1444</v>
      </c>
      <c r="C407" s="10">
        <v>0</v>
      </c>
      <c r="H407" s="15"/>
      <c r="Q407" s="15"/>
    </row>
    <row r="408" spans="1:17" x14ac:dyDescent="0.25">
      <c r="B408" s="13" t="s">
        <v>1631</v>
      </c>
      <c r="C408" s="10">
        <v>0</v>
      </c>
      <c r="Q408" s="15"/>
    </row>
    <row r="409" spans="1:17" x14ac:dyDescent="0.25">
      <c r="B409" s="13" t="s">
        <v>1968</v>
      </c>
      <c r="C409" s="10">
        <f>H150</f>
        <v>2</v>
      </c>
      <c r="Q409" s="15"/>
    </row>
    <row r="410" spans="1:17" x14ac:dyDescent="0.25">
      <c r="B410" s="13" t="s">
        <v>1099</v>
      </c>
      <c r="C410" s="10">
        <v>0</v>
      </c>
      <c r="Q410" s="15"/>
    </row>
    <row r="411" spans="1:17" x14ac:dyDescent="0.25">
      <c r="B411" s="13" t="s">
        <v>2114</v>
      </c>
      <c r="C411" s="10">
        <f>H151</f>
        <v>1</v>
      </c>
      <c r="Q411" s="15"/>
    </row>
    <row r="412" spans="1:17" x14ac:dyDescent="0.25">
      <c r="B412" s="13" t="s">
        <v>1264</v>
      </c>
      <c r="C412" s="10">
        <f>SUM(H152:H153)</f>
        <v>7</v>
      </c>
      <c r="Q412" s="15"/>
    </row>
    <row r="413" spans="1:17" x14ac:dyDescent="0.25">
      <c r="B413" s="13" t="s">
        <v>980</v>
      </c>
      <c r="C413" s="10">
        <f>H280</f>
        <v>1</v>
      </c>
      <c r="Q413" s="15"/>
    </row>
    <row r="414" spans="1:17" x14ac:dyDescent="0.25">
      <c r="B414" s="13" t="s">
        <v>1157</v>
      </c>
      <c r="C414" s="10">
        <f>H281</f>
        <v>1</v>
      </c>
      <c r="Q414" s="15"/>
    </row>
    <row r="415" spans="1:17" x14ac:dyDescent="0.25">
      <c r="B415" s="13" t="s">
        <v>1248</v>
      </c>
      <c r="C415" s="10">
        <f>SUM(H154:H156)+H282</f>
        <v>9</v>
      </c>
      <c r="Q415" s="15"/>
    </row>
    <row r="416" spans="1:17" x14ac:dyDescent="0.25">
      <c r="B416" s="13" t="s">
        <v>1688</v>
      </c>
      <c r="C416" s="10">
        <v>0</v>
      </c>
      <c r="Q416" s="15"/>
    </row>
    <row r="417" spans="1:17" x14ac:dyDescent="0.25">
      <c r="B417" s="13" t="s">
        <v>793</v>
      </c>
      <c r="C417" s="10">
        <f>H157</f>
        <v>1</v>
      </c>
      <c r="Q417" s="15"/>
    </row>
    <row r="418" spans="1:17" x14ac:dyDescent="0.25">
      <c r="B418" s="13" t="s">
        <v>1666</v>
      </c>
      <c r="C418" s="10">
        <v>0</v>
      </c>
      <c r="Q418" s="15"/>
    </row>
    <row r="419" spans="1:17" x14ac:dyDescent="0.25">
      <c r="B419" s="13" t="s">
        <v>878</v>
      </c>
      <c r="C419" s="10">
        <f>H158+H283</f>
        <v>2</v>
      </c>
      <c r="Q419" s="15"/>
    </row>
    <row r="420" spans="1:17" x14ac:dyDescent="0.25">
      <c r="B420" s="13" t="s">
        <v>1977</v>
      </c>
      <c r="C420" s="10">
        <f>SUM(H159:H160)</f>
        <v>2</v>
      </c>
      <c r="Q420" s="15"/>
    </row>
    <row r="421" spans="1:17" x14ac:dyDescent="0.25">
      <c r="A421" s="15"/>
      <c r="B421" s="13" t="s">
        <v>2120</v>
      </c>
      <c r="C421" s="10">
        <v>0</v>
      </c>
      <c r="D421" s="15"/>
      <c r="E421" s="15"/>
      <c r="F421" s="15"/>
      <c r="G421" s="15"/>
      <c r="H421" s="15"/>
      <c r="I421" s="15"/>
      <c r="J421" s="15"/>
      <c r="K421" s="15"/>
      <c r="Q421" s="15"/>
    </row>
    <row r="422" spans="1:17" x14ac:dyDescent="0.25">
      <c r="A422" s="15"/>
      <c r="B422" s="13" t="s">
        <v>1691</v>
      </c>
      <c r="C422" s="10">
        <f>H284</f>
        <v>1</v>
      </c>
      <c r="D422" s="15"/>
      <c r="E422" s="15"/>
      <c r="F422" s="15"/>
      <c r="G422" s="15"/>
      <c r="H422" s="15"/>
      <c r="I422" s="15"/>
      <c r="J422" s="15"/>
      <c r="K422" s="15"/>
      <c r="Q422" s="15"/>
    </row>
    <row r="423" spans="1:17" x14ac:dyDescent="0.25">
      <c r="A423" s="15"/>
      <c r="B423" s="13" t="s">
        <v>804</v>
      </c>
      <c r="C423" s="10">
        <f>H161</f>
        <v>1</v>
      </c>
      <c r="D423" s="15"/>
      <c r="E423" s="15"/>
      <c r="F423" s="15"/>
      <c r="G423" s="15"/>
      <c r="H423" s="15"/>
      <c r="I423" s="15"/>
      <c r="J423" s="15"/>
      <c r="K423" s="15"/>
      <c r="Q423" s="15"/>
    </row>
    <row r="424" spans="1:17" x14ac:dyDescent="0.25">
      <c r="A424" s="15" t="s">
        <v>2457</v>
      </c>
      <c r="B424" s="13" t="s">
        <v>2456</v>
      </c>
      <c r="C424" s="10">
        <f>H162</f>
        <v>1</v>
      </c>
      <c r="D424" s="15"/>
      <c r="E424" s="15"/>
      <c r="F424" s="15"/>
      <c r="G424" s="15"/>
      <c r="H424" s="15"/>
      <c r="I424" s="15"/>
      <c r="J424" s="15"/>
      <c r="K424" s="15"/>
      <c r="Q424" s="15"/>
    </row>
    <row r="425" spans="1:17" x14ac:dyDescent="0.25">
      <c r="A425" s="15"/>
      <c r="B425" s="13" t="s">
        <v>984</v>
      </c>
      <c r="C425" s="10">
        <v>0</v>
      </c>
      <c r="D425" s="15"/>
      <c r="E425" s="15"/>
      <c r="F425" s="15"/>
      <c r="G425" s="15"/>
      <c r="H425" s="15"/>
      <c r="I425" s="15"/>
      <c r="J425" s="15"/>
      <c r="K425" s="15"/>
      <c r="Q425" s="15"/>
    </row>
    <row r="426" spans="1:17" x14ac:dyDescent="0.25">
      <c r="A426" s="15"/>
      <c r="B426" s="13" t="s">
        <v>785</v>
      </c>
      <c r="C426" s="10">
        <f>SUM(H163:H167)+H285</f>
        <v>8</v>
      </c>
      <c r="D426" s="15"/>
      <c r="E426" s="15"/>
      <c r="F426" s="15"/>
      <c r="G426" s="15"/>
      <c r="H426" s="15"/>
      <c r="I426" s="15"/>
      <c r="J426" s="15"/>
      <c r="K426" s="15"/>
      <c r="Q426" s="15"/>
    </row>
    <row r="427" spans="1:17" x14ac:dyDescent="0.25">
      <c r="A427" s="15"/>
      <c r="B427" s="13" t="s">
        <v>795</v>
      </c>
      <c r="C427" s="10">
        <f>SUM(H168:H172)+H286</f>
        <v>21</v>
      </c>
      <c r="D427" s="15"/>
      <c r="E427" s="15"/>
      <c r="F427" s="15"/>
      <c r="G427" s="15"/>
      <c r="H427" s="15"/>
      <c r="I427" s="15"/>
      <c r="J427" s="15"/>
      <c r="K427" s="15"/>
      <c r="Q427" s="15"/>
    </row>
    <row r="428" spans="1:17" x14ac:dyDescent="0.25">
      <c r="A428" s="15"/>
      <c r="B428" s="13" t="s">
        <v>989</v>
      </c>
      <c r="C428" s="10">
        <v>0</v>
      </c>
      <c r="D428" s="15"/>
      <c r="E428" s="15"/>
      <c r="F428" s="15"/>
      <c r="G428" s="15"/>
      <c r="H428" s="15"/>
      <c r="I428" s="15"/>
      <c r="J428" s="15"/>
      <c r="K428" s="15"/>
      <c r="Q428" s="15"/>
    </row>
    <row r="429" spans="1:17" x14ac:dyDescent="0.25">
      <c r="A429" s="15"/>
      <c r="B429" s="13" t="s">
        <v>1677</v>
      </c>
      <c r="C429" s="10">
        <v>0</v>
      </c>
      <c r="D429" s="15"/>
      <c r="E429" s="15"/>
      <c r="F429" s="15"/>
      <c r="G429" s="15"/>
      <c r="H429" s="15"/>
      <c r="I429" s="15"/>
      <c r="J429" s="15"/>
      <c r="K429" s="15"/>
      <c r="Q429" s="15"/>
    </row>
    <row r="430" spans="1:17" x14ac:dyDescent="0.25">
      <c r="A430" s="15"/>
      <c r="B430" s="13" t="s">
        <v>772</v>
      </c>
      <c r="C430" s="10">
        <f>H173</f>
        <v>3</v>
      </c>
      <c r="D430" s="15"/>
      <c r="E430" s="15"/>
      <c r="F430" s="15"/>
      <c r="G430" s="15"/>
      <c r="H430" s="15"/>
      <c r="I430" s="15"/>
      <c r="J430" s="15"/>
      <c r="K430" s="15"/>
      <c r="Q430" s="15"/>
    </row>
    <row r="431" spans="1:17" x14ac:dyDescent="0.25">
      <c r="A431" s="15"/>
      <c r="B431" s="13" t="s">
        <v>1245</v>
      </c>
      <c r="C431" s="10">
        <v>0</v>
      </c>
      <c r="D431" s="15"/>
      <c r="E431" s="15"/>
      <c r="F431" s="15"/>
      <c r="G431" s="15"/>
      <c r="H431" s="15"/>
      <c r="I431" s="15"/>
      <c r="J431" s="15"/>
      <c r="K431" s="15"/>
      <c r="Q431" s="15"/>
    </row>
    <row r="432" spans="1:17" x14ac:dyDescent="0.25">
      <c r="A432" s="15"/>
      <c r="B432" s="13" t="s">
        <v>789</v>
      </c>
      <c r="C432" s="10">
        <v>0</v>
      </c>
      <c r="D432" s="15"/>
      <c r="E432" s="15"/>
      <c r="F432" s="15"/>
      <c r="G432" s="15"/>
      <c r="H432" s="15"/>
      <c r="I432" s="15"/>
      <c r="J432" s="15"/>
      <c r="K432" s="15"/>
      <c r="Q432" s="15"/>
    </row>
    <row r="433" spans="1:17" x14ac:dyDescent="0.25">
      <c r="A433" s="15"/>
      <c r="B433" s="13" t="s">
        <v>875</v>
      </c>
      <c r="C433" s="10">
        <f>SUM(H294:H295)</f>
        <v>3</v>
      </c>
      <c r="D433" s="15"/>
      <c r="E433" s="15"/>
      <c r="F433" s="15"/>
      <c r="G433" s="15"/>
      <c r="H433" s="15"/>
      <c r="I433" s="15"/>
      <c r="J433" s="15"/>
      <c r="K433" s="15"/>
      <c r="Q433" s="15"/>
    </row>
    <row r="434" spans="1:17" x14ac:dyDescent="0.25">
      <c r="A434" s="15"/>
      <c r="B434" s="13" t="s">
        <v>1347</v>
      </c>
      <c r="C434" s="10">
        <v>0</v>
      </c>
      <c r="D434" s="15"/>
      <c r="E434" s="15"/>
      <c r="F434" s="15"/>
      <c r="G434" s="15"/>
      <c r="H434" s="15"/>
      <c r="I434" s="15"/>
      <c r="J434" s="15"/>
      <c r="K434" s="15"/>
      <c r="Q434" s="15"/>
    </row>
    <row r="435" spans="1:17" x14ac:dyDescent="0.25">
      <c r="A435" s="15"/>
      <c r="B435" s="12" t="s">
        <v>771</v>
      </c>
      <c r="C435" s="10">
        <f>H277+H293+C436+C442</f>
        <v>126</v>
      </c>
      <c r="D435" s="15"/>
      <c r="E435" s="15"/>
      <c r="F435" s="15"/>
      <c r="G435" s="15"/>
      <c r="H435" s="15"/>
      <c r="I435" s="15"/>
      <c r="J435" s="15"/>
      <c r="K435" s="15"/>
      <c r="Q435" s="15"/>
    </row>
    <row r="436" spans="1:17" x14ac:dyDescent="0.25">
      <c r="A436" s="15"/>
      <c r="B436" s="13" t="s">
        <v>2251</v>
      </c>
      <c r="C436" s="10">
        <f>H278+SUM(H290:H291)+SUM(H287/3)+SUM(C406:C412)</f>
        <v>27</v>
      </c>
      <c r="D436" s="15"/>
      <c r="E436" s="15"/>
      <c r="F436" s="15"/>
      <c r="G436" s="15"/>
      <c r="H436" s="15"/>
      <c r="I436" s="15"/>
      <c r="J436" s="15"/>
      <c r="K436" s="15"/>
      <c r="Q436" s="15"/>
    </row>
    <row r="437" spans="1:17" x14ac:dyDescent="0.25">
      <c r="A437" s="15"/>
      <c r="B437" s="13" t="s">
        <v>1351</v>
      </c>
      <c r="C437" s="10">
        <f>SUM(H287/3)+C417+C427</f>
        <v>23</v>
      </c>
      <c r="D437" s="15"/>
      <c r="E437" s="15"/>
      <c r="F437" s="15"/>
      <c r="G437" s="15"/>
      <c r="H437" s="15"/>
      <c r="I437" s="15"/>
      <c r="J437" s="15"/>
      <c r="K437" s="15"/>
      <c r="Q437" s="15"/>
    </row>
    <row r="438" spans="1:17" x14ac:dyDescent="0.25">
      <c r="A438" s="15"/>
      <c r="B438" s="13" t="s">
        <v>1352</v>
      </c>
      <c r="C438" s="10">
        <f>SUM(H279/2)+C422+C426+C430</f>
        <v>12.5</v>
      </c>
      <c r="D438" s="15"/>
      <c r="E438" s="15"/>
      <c r="F438" s="15"/>
      <c r="G438" s="15"/>
      <c r="H438" s="15"/>
      <c r="I438" s="15"/>
      <c r="J438" s="15"/>
      <c r="K438" s="15"/>
      <c r="Q438" s="15"/>
    </row>
    <row r="439" spans="1:17" x14ac:dyDescent="0.25">
      <c r="A439" s="15"/>
      <c r="B439" s="13" t="s">
        <v>1353</v>
      </c>
      <c r="C439" s="10">
        <f>SUM(H287/3)+SUM(H288/2)+C413+C433</f>
        <v>6</v>
      </c>
      <c r="D439" s="15"/>
      <c r="E439" s="15"/>
      <c r="F439" s="15"/>
      <c r="G439" s="15"/>
      <c r="H439" s="15"/>
      <c r="I439" s="15"/>
      <c r="J439" s="15"/>
      <c r="K439" s="15"/>
      <c r="Q439" s="15"/>
    </row>
    <row r="440" spans="1:17" x14ac:dyDescent="0.25">
      <c r="A440" s="15"/>
      <c r="B440" s="13" t="s">
        <v>1354</v>
      </c>
      <c r="C440" s="10">
        <f>SUM(H279/2)+SUM(H288/2)+H289+C414+C415+C419+C423</f>
        <v>17.5</v>
      </c>
      <c r="D440" s="15"/>
      <c r="E440" s="15"/>
      <c r="F440" s="15"/>
      <c r="G440" s="15"/>
      <c r="H440" s="15"/>
      <c r="I440" s="15"/>
      <c r="J440" s="15"/>
      <c r="K440" s="15"/>
      <c r="Q440" s="15"/>
    </row>
    <row r="441" spans="1:17" x14ac:dyDescent="0.25">
      <c r="A441" s="15"/>
      <c r="B441" s="13" t="s">
        <v>1355</v>
      </c>
      <c r="C441" s="10">
        <f>C424</f>
        <v>1</v>
      </c>
      <c r="D441" s="15"/>
      <c r="E441" s="15"/>
      <c r="F441" s="15"/>
      <c r="G441" s="15"/>
      <c r="H441" s="15"/>
      <c r="I441" s="15"/>
      <c r="J441" s="15"/>
      <c r="K441" s="15"/>
      <c r="Q441" s="15"/>
    </row>
    <row r="442" spans="1:17" x14ac:dyDescent="0.25">
      <c r="A442" s="15"/>
      <c r="B442" s="13" t="s">
        <v>2250</v>
      </c>
      <c r="C442" s="10">
        <f>H292+SUM(C437:C441)</f>
        <v>61</v>
      </c>
      <c r="D442" s="15"/>
      <c r="E442" s="15"/>
      <c r="F442" s="15"/>
      <c r="G442" s="15"/>
      <c r="H442" s="15"/>
      <c r="I442" s="15"/>
      <c r="J442" s="15"/>
      <c r="K442" s="15"/>
      <c r="Q442" s="15"/>
    </row>
    <row r="443" spans="1:17" x14ac:dyDescent="0.25">
      <c r="A443" s="15"/>
      <c r="D443" s="15"/>
      <c r="E443" s="15"/>
      <c r="F443" s="15"/>
      <c r="G443" s="15"/>
      <c r="H443" s="15"/>
      <c r="I443" s="15"/>
      <c r="J443" s="15"/>
      <c r="K443" s="15"/>
      <c r="Q443" s="15"/>
    </row>
    <row r="444" spans="1:17" x14ac:dyDescent="0.25">
      <c r="A444" s="15"/>
      <c r="B444" s="52" t="s">
        <v>2252</v>
      </c>
      <c r="C444" s="10">
        <f>SUM(H174:H175)+H178+H182+H246</f>
        <v>53</v>
      </c>
      <c r="D444" s="15"/>
      <c r="E444" s="15"/>
      <c r="F444" s="15"/>
      <c r="G444" s="15"/>
      <c r="H444" s="15"/>
      <c r="I444" s="15"/>
      <c r="J444" s="15"/>
      <c r="K444" s="15"/>
      <c r="Q444" s="15"/>
    </row>
    <row r="445" spans="1:17" x14ac:dyDescent="0.25">
      <c r="A445" s="15"/>
      <c r="B445" s="52"/>
      <c r="D445" s="15"/>
      <c r="E445" s="15"/>
      <c r="F445" s="15"/>
      <c r="G445" s="15"/>
      <c r="H445" s="15"/>
      <c r="I445" s="15"/>
      <c r="J445" s="15"/>
      <c r="K445" s="15"/>
      <c r="Q445" s="15"/>
    </row>
    <row r="446" spans="1:17" x14ac:dyDescent="0.25">
      <c r="A446" s="15"/>
      <c r="B446" s="12" t="s">
        <v>2253</v>
      </c>
      <c r="C446" s="10">
        <f>C348+C385+C399+C435+C444</f>
        <v>980</v>
      </c>
      <c r="D446" s="15"/>
      <c r="E446" s="15"/>
      <c r="F446" s="15"/>
      <c r="G446" s="15"/>
      <c r="H446" s="15"/>
      <c r="I446" s="15"/>
      <c r="J446" s="15"/>
      <c r="K446" s="15"/>
      <c r="Q446" s="15"/>
    </row>
    <row r="447" spans="1:17" x14ac:dyDescent="0.25">
      <c r="A447" s="15"/>
      <c r="D447" s="15"/>
      <c r="E447" s="15"/>
      <c r="F447" s="15"/>
      <c r="G447" s="15"/>
      <c r="H447" s="15"/>
      <c r="I447" s="15"/>
      <c r="J447" s="15"/>
      <c r="K447" s="15"/>
      <c r="Q447" s="15"/>
    </row>
    <row r="448" spans="1:17" x14ac:dyDescent="0.25">
      <c r="A448" s="15"/>
      <c r="D448" s="15"/>
      <c r="E448" s="15"/>
      <c r="F448" s="15"/>
      <c r="G448" s="15"/>
      <c r="H448" s="15"/>
      <c r="I448" s="15"/>
      <c r="J448" s="15"/>
      <c r="K448" s="15"/>
      <c r="Q448" s="15"/>
    </row>
    <row r="449" spans="1:17" x14ac:dyDescent="0.25">
      <c r="A449" s="15"/>
      <c r="B449" s="13" t="s">
        <v>5756</v>
      </c>
      <c r="C449" s="10">
        <f>C304+C306+C310+C327+C340</f>
        <v>35</v>
      </c>
      <c r="D449" s="15"/>
      <c r="E449" s="15"/>
      <c r="F449" s="15"/>
      <c r="G449" s="15"/>
      <c r="H449" s="15"/>
      <c r="I449" s="15"/>
      <c r="J449" s="15"/>
      <c r="K449" s="15"/>
      <c r="Q449" s="15"/>
    </row>
    <row r="450" spans="1:17" x14ac:dyDescent="0.25">
      <c r="A450" s="15"/>
      <c r="B450" s="13" t="s">
        <v>1272</v>
      </c>
      <c r="C450" s="10">
        <f>C348-C449</f>
        <v>575</v>
      </c>
      <c r="D450" s="15"/>
      <c r="E450" s="15"/>
      <c r="F450" s="15"/>
      <c r="G450" s="15"/>
      <c r="H450" s="15"/>
      <c r="I450" s="15"/>
      <c r="J450" s="15"/>
      <c r="K450" s="15"/>
      <c r="Q450" s="15"/>
    </row>
    <row r="451" spans="1:17" x14ac:dyDescent="0.25">
      <c r="A451" s="15"/>
      <c r="D451" s="15"/>
      <c r="E451" s="15"/>
      <c r="F451" s="15"/>
      <c r="G451" s="15"/>
      <c r="H451" s="15"/>
      <c r="I451" s="15"/>
      <c r="J451" s="15"/>
      <c r="K451" s="15"/>
      <c r="Q451" s="15"/>
    </row>
    <row r="452" spans="1:17" x14ac:dyDescent="0.25">
      <c r="A452" s="15"/>
      <c r="B452" s="13" t="s">
        <v>5756</v>
      </c>
      <c r="C452" s="10">
        <f>C449</f>
        <v>35</v>
      </c>
      <c r="D452" s="15"/>
      <c r="E452" s="15"/>
      <c r="F452" s="15"/>
      <c r="G452" s="15"/>
      <c r="H452" s="15"/>
      <c r="I452" s="15"/>
      <c r="J452" s="15"/>
      <c r="K452" s="15"/>
      <c r="Q452" s="15"/>
    </row>
    <row r="453" spans="1:17" x14ac:dyDescent="0.25">
      <c r="A453" s="15"/>
      <c r="B453" s="13" t="s">
        <v>1891</v>
      </c>
      <c r="C453" s="10">
        <f>C446-C449</f>
        <v>945</v>
      </c>
      <c r="D453" s="15"/>
      <c r="E453" s="15"/>
      <c r="F453" s="15"/>
      <c r="G453" s="15"/>
      <c r="H453" s="15"/>
      <c r="I453" s="15"/>
      <c r="J453" s="15"/>
      <c r="K453" s="15"/>
      <c r="Q453" s="15"/>
    </row>
    <row r="454" spans="1:17" x14ac:dyDescent="0.25">
      <c r="A454" s="15"/>
      <c r="D454" s="15"/>
      <c r="E454" s="15"/>
      <c r="F454" s="15"/>
      <c r="G454" s="15"/>
      <c r="H454" s="15"/>
      <c r="I454" s="15"/>
      <c r="J454" s="15"/>
      <c r="K454" s="15"/>
      <c r="Q454" s="15"/>
    </row>
    <row r="455" spans="1:17" x14ac:dyDescent="0.25">
      <c r="A455" s="15"/>
      <c r="B455" s="13" t="s">
        <v>11</v>
      </c>
      <c r="C455" s="10">
        <f>C348</f>
        <v>610</v>
      </c>
      <c r="D455" s="15"/>
      <c r="E455" s="15"/>
      <c r="F455" s="15"/>
      <c r="G455" s="15"/>
      <c r="H455" s="15"/>
      <c r="I455" s="15"/>
      <c r="J455" s="15"/>
      <c r="K455" s="15"/>
      <c r="Q455" s="15"/>
    </row>
    <row r="456" spans="1:17" x14ac:dyDescent="0.25">
      <c r="A456" s="15"/>
      <c r="B456" s="13" t="s">
        <v>35</v>
      </c>
      <c r="C456" s="10">
        <f>C385</f>
        <v>152</v>
      </c>
      <c r="D456" s="15"/>
      <c r="E456" s="15"/>
      <c r="F456" s="15"/>
      <c r="G456" s="15"/>
      <c r="H456" s="15"/>
      <c r="I456" s="15"/>
      <c r="J456" s="15"/>
      <c r="K456" s="15"/>
      <c r="Q456" s="15"/>
    </row>
    <row r="457" spans="1:17" x14ac:dyDescent="0.25">
      <c r="A457" s="15"/>
      <c r="B457" s="13" t="s">
        <v>56</v>
      </c>
      <c r="C457" s="10">
        <f>C399</f>
        <v>39</v>
      </c>
      <c r="D457" s="15"/>
      <c r="E457" s="15"/>
      <c r="F457" s="15"/>
      <c r="G457" s="15"/>
      <c r="H457" s="15"/>
      <c r="I457" s="15"/>
      <c r="J457" s="15"/>
      <c r="K457" s="15"/>
      <c r="Q457" s="15"/>
    </row>
    <row r="458" spans="1:17" x14ac:dyDescent="0.25">
      <c r="A458" s="15"/>
      <c r="B458" s="13" t="s">
        <v>771</v>
      </c>
      <c r="C458" s="10">
        <f>C435</f>
        <v>126</v>
      </c>
      <c r="D458" s="15"/>
      <c r="E458" s="15"/>
      <c r="F458" s="15"/>
      <c r="G458" s="15"/>
      <c r="H458" s="15"/>
      <c r="I458" s="15"/>
      <c r="J458" s="15"/>
      <c r="K458" s="15"/>
      <c r="Q458" s="15"/>
    </row>
    <row r="461" spans="1:17" ht="13.5" thickBot="1" x14ac:dyDescent="0.3"/>
    <row r="462" spans="1:17" x14ac:dyDescent="0.25">
      <c r="B462" s="85" t="s">
        <v>5449</v>
      </c>
      <c r="C462" s="88">
        <v>44.5</v>
      </c>
    </row>
    <row r="463" spans="1:17" x14ac:dyDescent="0.25">
      <c r="B463" s="86" t="s">
        <v>5450</v>
      </c>
      <c r="C463" s="89">
        <v>18.5</v>
      </c>
    </row>
    <row r="464" spans="1:17" x14ac:dyDescent="0.25">
      <c r="B464" s="86" t="s">
        <v>5451</v>
      </c>
      <c r="C464" s="89">
        <v>101</v>
      </c>
    </row>
    <row r="465" spans="2:3" x14ac:dyDescent="0.25">
      <c r="B465" s="86" t="s">
        <v>5452</v>
      </c>
      <c r="C465" s="89">
        <v>300</v>
      </c>
    </row>
    <row r="466" spans="2:3" ht="13.5" thickBot="1" x14ac:dyDescent="0.3">
      <c r="B466" s="87" t="s">
        <v>5453</v>
      </c>
      <c r="C466" s="90">
        <v>119</v>
      </c>
    </row>
    <row r="467" spans="2:3" x14ac:dyDescent="0.25">
      <c r="B467" s="85" t="s">
        <v>5454</v>
      </c>
      <c r="C467" s="88">
        <v>124</v>
      </c>
    </row>
    <row r="468" spans="2:3" x14ac:dyDescent="0.25">
      <c r="B468" s="86" t="s">
        <v>5455</v>
      </c>
      <c r="C468" s="89">
        <v>2</v>
      </c>
    </row>
    <row r="469" spans="2:3" x14ac:dyDescent="0.25">
      <c r="B469" s="86" t="s">
        <v>5456</v>
      </c>
      <c r="C469" s="89">
        <v>4</v>
      </c>
    </row>
    <row r="470" spans="2:3" x14ac:dyDescent="0.25">
      <c r="B470" s="86" t="s">
        <v>5457</v>
      </c>
      <c r="C470" s="89">
        <v>8</v>
      </c>
    </row>
    <row r="471" spans="2:3" ht="13.5" thickBot="1" x14ac:dyDescent="0.3">
      <c r="B471" s="87" t="s">
        <v>5458</v>
      </c>
      <c r="C471" s="90">
        <v>2</v>
      </c>
    </row>
    <row r="472" spans="2:3" x14ac:dyDescent="0.25">
      <c r="B472" s="85" t="s">
        <v>923</v>
      </c>
      <c r="C472" s="88">
        <v>2.5</v>
      </c>
    </row>
    <row r="473" spans="2:3" x14ac:dyDescent="0.25">
      <c r="B473" s="86" t="s">
        <v>924</v>
      </c>
      <c r="C473" s="89">
        <v>6</v>
      </c>
    </row>
    <row r="474" spans="2:3" x14ac:dyDescent="0.25">
      <c r="B474" s="86" t="s">
        <v>925</v>
      </c>
      <c r="C474" s="89">
        <v>2</v>
      </c>
    </row>
    <row r="475" spans="2:3" x14ac:dyDescent="0.25">
      <c r="B475" s="86" t="s">
        <v>926</v>
      </c>
      <c r="C475" s="89">
        <v>15.5</v>
      </c>
    </row>
    <row r="476" spans="2:3" ht="13.5" thickBot="1" x14ac:dyDescent="0.3">
      <c r="B476" s="87" t="s">
        <v>629</v>
      </c>
      <c r="C476" s="90">
        <v>3</v>
      </c>
    </row>
    <row r="477" spans="2:3" x14ac:dyDescent="0.25">
      <c r="B477" s="85" t="s">
        <v>776</v>
      </c>
      <c r="C477" s="88">
        <v>27</v>
      </c>
    </row>
    <row r="478" spans="2:3" x14ac:dyDescent="0.25">
      <c r="B478" s="86" t="s">
        <v>1351</v>
      </c>
      <c r="C478" s="89">
        <v>23</v>
      </c>
    </row>
    <row r="479" spans="2:3" x14ac:dyDescent="0.25">
      <c r="B479" s="86" t="s">
        <v>1352</v>
      </c>
      <c r="C479" s="89">
        <v>12.5</v>
      </c>
    </row>
    <row r="480" spans="2:3" x14ac:dyDescent="0.25">
      <c r="B480" s="86" t="s">
        <v>1353</v>
      </c>
      <c r="C480" s="89">
        <v>6</v>
      </c>
    </row>
    <row r="481" spans="2:3" x14ac:dyDescent="0.25">
      <c r="B481" s="86" t="s">
        <v>1354</v>
      </c>
      <c r="C481" s="89">
        <v>17.5</v>
      </c>
    </row>
    <row r="482" spans="2:3" ht="13.5" thickBot="1" x14ac:dyDescent="0.3">
      <c r="B482" s="87" t="s">
        <v>1880</v>
      </c>
      <c r="C482" s="90">
        <v>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75"/>
  <sheetViews>
    <sheetView zoomScale="86" zoomScaleNormal="108" workbookViewId="0">
      <pane ySplit="1" topLeftCell="A752" activePane="bottomLeft" state="frozen"/>
      <selection pane="bottomLeft" activeCell="K748" sqref="K748"/>
    </sheetView>
  </sheetViews>
  <sheetFormatPr defaultRowHeight="11.25" x14ac:dyDescent="0.25"/>
  <cols>
    <col min="1" max="1" width="13.28515625" style="11" customWidth="1"/>
    <col min="2" max="2" width="17.140625" style="13" customWidth="1"/>
    <col min="3" max="3" width="19.140625" style="62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4" customWidth="1"/>
    <col min="13" max="13" width="6.85546875" style="14" customWidth="1"/>
    <col min="14" max="14" width="6.5703125" style="14" customWidth="1"/>
    <col min="15" max="16" width="9.140625" style="14"/>
    <col min="17" max="17" width="13.85546875" style="13" customWidth="1"/>
    <col min="18" max="16384" width="9.140625" style="14"/>
  </cols>
  <sheetData>
    <row r="1" spans="1:19" s="11" customFormat="1" ht="54.75" customHeight="1" x14ac:dyDescent="0.25">
      <c r="A1" s="11" t="s">
        <v>1267</v>
      </c>
      <c r="B1" s="12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s="11" customFormat="1" ht="25.5" customHeight="1" x14ac:dyDescent="0.25">
      <c r="A2" s="11" t="s">
        <v>2684</v>
      </c>
      <c r="B2" s="13" t="s">
        <v>532</v>
      </c>
      <c r="C2" s="61" t="s">
        <v>2970</v>
      </c>
      <c r="D2" s="13" t="s">
        <v>1153</v>
      </c>
      <c r="E2" s="14" t="s">
        <v>534</v>
      </c>
      <c r="F2" s="14" t="s">
        <v>11</v>
      </c>
      <c r="G2" s="13"/>
      <c r="H2" s="14">
        <f t="shared" ref="H2:H33" si="0">G2+I2</f>
        <v>2</v>
      </c>
      <c r="I2" s="13">
        <v>2</v>
      </c>
      <c r="J2" s="13">
        <v>1</v>
      </c>
      <c r="K2" s="13" t="s">
        <v>1521</v>
      </c>
      <c r="L2" s="14" t="s">
        <v>119</v>
      </c>
      <c r="M2" s="14">
        <v>60034</v>
      </c>
      <c r="N2" s="14">
        <v>63276</v>
      </c>
      <c r="O2" s="14">
        <v>360034</v>
      </c>
      <c r="P2" s="14">
        <v>163276</v>
      </c>
      <c r="R2" s="14"/>
      <c r="S2" s="14"/>
    </row>
    <row r="3" spans="1:19" s="11" customFormat="1" ht="25.5" customHeight="1" x14ac:dyDescent="0.25">
      <c r="A3" s="11" t="s">
        <v>2684</v>
      </c>
      <c r="B3" s="13" t="s">
        <v>532</v>
      </c>
      <c r="C3" s="61" t="s">
        <v>2965</v>
      </c>
      <c r="D3" s="13" t="s">
        <v>2964</v>
      </c>
      <c r="E3" s="14" t="s">
        <v>534</v>
      </c>
      <c r="F3" s="14" t="s">
        <v>11</v>
      </c>
      <c r="G3" s="13"/>
      <c r="H3" s="14">
        <f t="shared" si="0"/>
        <v>7</v>
      </c>
      <c r="I3" s="13">
        <v>7</v>
      </c>
      <c r="J3" s="13">
        <v>3</v>
      </c>
      <c r="K3" s="13" t="s">
        <v>2971</v>
      </c>
      <c r="L3" s="14" t="s">
        <v>119</v>
      </c>
      <c r="M3" s="14">
        <v>60034</v>
      </c>
      <c r="N3" s="14">
        <v>63276</v>
      </c>
      <c r="O3" s="14">
        <v>360034</v>
      </c>
      <c r="P3" s="14">
        <v>163276</v>
      </c>
      <c r="R3" s="14"/>
      <c r="S3" s="14"/>
    </row>
    <row r="4" spans="1:19" s="11" customFormat="1" ht="25.5" customHeight="1" x14ac:dyDescent="0.25">
      <c r="A4" s="11" t="s">
        <v>2684</v>
      </c>
      <c r="B4" s="13" t="s">
        <v>532</v>
      </c>
      <c r="C4" s="61" t="s">
        <v>2966</v>
      </c>
      <c r="D4" s="13" t="s">
        <v>2964</v>
      </c>
      <c r="E4" s="14" t="s">
        <v>534</v>
      </c>
      <c r="F4" s="14" t="s">
        <v>11</v>
      </c>
      <c r="G4" s="13"/>
      <c r="H4" s="14">
        <f t="shared" si="0"/>
        <v>3</v>
      </c>
      <c r="I4" s="13">
        <v>3</v>
      </c>
      <c r="J4" s="13">
        <v>2</v>
      </c>
      <c r="K4" s="13" t="s">
        <v>2968</v>
      </c>
      <c r="L4" s="14" t="s">
        <v>119</v>
      </c>
      <c r="M4" s="14">
        <v>60034</v>
      </c>
      <c r="N4" s="14">
        <v>63276</v>
      </c>
      <c r="O4" s="14">
        <v>360034</v>
      </c>
      <c r="P4" s="14">
        <v>163276</v>
      </c>
      <c r="R4" s="14"/>
      <c r="S4" s="14"/>
    </row>
    <row r="5" spans="1:19" s="11" customFormat="1" ht="25.5" customHeight="1" x14ac:dyDescent="0.25">
      <c r="A5" s="11" t="s">
        <v>2684</v>
      </c>
      <c r="B5" s="13" t="s">
        <v>532</v>
      </c>
      <c r="C5" s="61" t="s">
        <v>2969</v>
      </c>
      <c r="D5" s="13" t="s">
        <v>8</v>
      </c>
      <c r="E5" s="14" t="s">
        <v>534</v>
      </c>
      <c r="F5" s="14" t="s">
        <v>11</v>
      </c>
      <c r="G5" s="13"/>
      <c r="H5" s="14">
        <f t="shared" si="0"/>
        <v>3</v>
      </c>
      <c r="I5" s="13">
        <v>3</v>
      </c>
      <c r="J5" s="13">
        <v>3</v>
      </c>
      <c r="K5" s="13" t="s">
        <v>2971</v>
      </c>
      <c r="L5" s="14" t="s">
        <v>119</v>
      </c>
      <c r="M5" s="14">
        <v>60034</v>
      </c>
      <c r="N5" s="14">
        <v>63276</v>
      </c>
      <c r="O5" s="14">
        <v>360034</v>
      </c>
      <c r="P5" s="14">
        <v>163276</v>
      </c>
      <c r="R5" s="14"/>
      <c r="S5" s="14"/>
    </row>
    <row r="6" spans="1:19" s="11" customFormat="1" ht="25.5" customHeight="1" x14ac:dyDescent="0.25">
      <c r="A6" s="11" t="s">
        <v>2684</v>
      </c>
      <c r="B6" s="13" t="s">
        <v>532</v>
      </c>
      <c r="C6" s="61" t="s">
        <v>2967</v>
      </c>
      <c r="D6" s="13" t="s">
        <v>1151</v>
      </c>
      <c r="E6" s="14" t="s">
        <v>534</v>
      </c>
      <c r="F6" s="14" t="s">
        <v>11</v>
      </c>
      <c r="G6" s="13"/>
      <c r="H6" s="14">
        <f t="shared" si="0"/>
        <v>3</v>
      </c>
      <c r="I6" s="13">
        <v>3</v>
      </c>
      <c r="J6" s="13">
        <v>3</v>
      </c>
      <c r="K6" s="13" t="s">
        <v>2971</v>
      </c>
      <c r="L6" s="14" t="s">
        <v>119</v>
      </c>
      <c r="M6" s="14">
        <v>60034</v>
      </c>
      <c r="N6" s="14">
        <v>63276</v>
      </c>
      <c r="O6" s="14">
        <v>360034</v>
      </c>
      <c r="P6" s="14">
        <v>163276</v>
      </c>
      <c r="R6" s="14"/>
      <c r="S6" s="14"/>
    </row>
    <row r="7" spans="1:19" s="11" customFormat="1" ht="25.5" customHeight="1" x14ac:dyDescent="0.25">
      <c r="A7" s="11" t="s">
        <v>2684</v>
      </c>
      <c r="B7" s="13" t="s">
        <v>532</v>
      </c>
      <c r="C7" s="62" t="s">
        <v>724</v>
      </c>
      <c r="D7" s="13" t="s">
        <v>26</v>
      </c>
      <c r="E7" s="14" t="s">
        <v>725</v>
      </c>
      <c r="F7" s="14" t="s">
        <v>11</v>
      </c>
      <c r="G7" s="13"/>
      <c r="H7" s="14">
        <f t="shared" si="0"/>
        <v>1</v>
      </c>
      <c r="I7" s="13">
        <v>1</v>
      </c>
      <c r="J7" s="13">
        <v>1</v>
      </c>
      <c r="K7" s="13" t="s">
        <v>476</v>
      </c>
      <c r="L7" s="14" t="s">
        <v>119</v>
      </c>
      <c r="M7" s="14">
        <v>735</v>
      </c>
      <c r="N7" s="14">
        <v>572</v>
      </c>
      <c r="O7" s="14">
        <v>373500</v>
      </c>
      <c r="P7" s="14">
        <v>157200</v>
      </c>
      <c r="Q7" s="13"/>
      <c r="R7" s="14"/>
      <c r="S7" s="14"/>
    </row>
    <row r="8" spans="1:19" s="11" customFormat="1" ht="25.5" customHeight="1" x14ac:dyDescent="0.25">
      <c r="A8" s="11" t="s">
        <v>2684</v>
      </c>
      <c r="B8" s="13" t="s">
        <v>411</v>
      </c>
      <c r="C8" s="62" t="s">
        <v>704</v>
      </c>
      <c r="D8" s="13" t="s">
        <v>92</v>
      </c>
      <c r="E8" s="13" t="s">
        <v>606</v>
      </c>
      <c r="F8" s="14" t="s">
        <v>11</v>
      </c>
      <c r="G8" s="13"/>
      <c r="H8" s="14">
        <f t="shared" si="0"/>
        <v>1</v>
      </c>
      <c r="I8" s="13">
        <v>1</v>
      </c>
      <c r="J8" s="13">
        <v>1</v>
      </c>
      <c r="K8" s="13" t="s">
        <v>224</v>
      </c>
      <c r="L8" s="14" t="s">
        <v>111</v>
      </c>
      <c r="M8" s="14">
        <v>9966</v>
      </c>
      <c r="N8" s="14">
        <v>2247</v>
      </c>
      <c r="O8" s="14">
        <v>499660</v>
      </c>
      <c r="P8" s="14">
        <v>222470</v>
      </c>
      <c r="R8" s="14"/>
      <c r="S8" s="14"/>
    </row>
    <row r="9" spans="1:19" ht="25.5" customHeight="1" x14ac:dyDescent="0.25">
      <c r="A9" s="11" t="s">
        <v>2684</v>
      </c>
      <c r="B9" s="13" t="s">
        <v>411</v>
      </c>
      <c r="C9" s="62" t="s">
        <v>412</v>
      </c>
      <c r="D9" s="13" t="s">
        <v>18</v>
      </c>
      <c r="E9" s="14" t="s">
        <v>413</v>
      </c>
      <c r="F9" s="14" t="s">
        <v>11</v>
      </c>
      <c r="G9" s="13"/>
      <c r="H9" s="14">
        <f t="shared" si="0"/>
        <v>1</v>
      </c>
      <c r="I9" s="13">
        <v>1</v>
      </c>
      <c r="J9" s="13">
        <v>1</v>
      </c>
      <c r="K9" s="13" t="s">
        <v>590</v>
      </c>
      <c r="L9" s="14" t="s">
        <v>177</v>
      </c>
      <c r="M9" s="14">
        <v>615</v>
      </c>
      <c r="N9" s="14">
        <v>2460</v>
      </c>
      <c r="O9" s="14">
        <v>506150</v>
      </c>
      <c r="P9" s="14">
        <v>224600</v>
      </c>
      <c r="Q9" s="14"/>
    </row>
    <row r="10" spans="1:19" ht="25.5" customHeight="1" x14ac:dyDescent="0.25">
      <c r="A10" s="11" t="s">
        <v>2684</v>
      </c>
      <c r="B10" s="13" t="s">
        <v>297</v>
      </c>
      <c r="C10" s="62" t="s">
        <v>2917</v>
      </c>
      <c r="D10" s="13" t="s">
        <v>2918</v>
      </c>
      <c r="E10" s="14" t="s">
        <v>311</v>
      </c>
      <c r="F10" s="14" t="s">
        <v>11</v>
      </c>
      <c r="G10" s="13"/>
      <c r="H10" s="14">
        <f t="shared" si="0"/>
        <v>1</v>
      </c>
      <c r="I10" s="13">
        <v>1</v>
      </c>
      <c r="J10" s="13">
        <v>1</v>
      </c>
      <c r="K10" s="13" t="s">
        <v>1252</v>
      </c>
      <c r="L10" s="14" t="s">
        <v>110</v>
      </c>
      <c r="M10" s="14">
        <v>4676</v>
      </c>
      <c r="N10" s="14">
        <v>7862</v>
      </c>
      <c r="O10" s="14">
        <v>446760</v>
      </c>
      <c r="P10" s="14">
        <v>178620</v>
      </c>
      <c r="Q10" s="14"/>
    </row>
    <row r="11" spans="1:19" ht="22.5" x14ac:dyDescent="0.25">
      <c r="A11" s="11" t="s">
        <v>2684</v>
      </c>
      <c r="B11" s="13" t="s">
        <v>76</v>
      </c>
      <c r="C11" s="62" t="s">
        <v>2919</v>
      </c>
      <c r="D11" s="13" t="s">
        <v>2918</v>
      </c>
      <c r="E11" s="13" t="s">
        <v>178</v>
      </c>
      <c r="F11" s="14" t="s">
        <v>11</v>
      </c>
      <c r="G11" s="13"/>
      <c r="H11" s="14">
        <f t="shared" si="0"/>
        <v>1</v>
      </c>
      <c r="I11" s="13">
        <v>1</v>
      </c>
      <c r="J11" s="13">
        <v>1</v>
      </c>
      <c r="K11" s="13" t="s">
        <v>1252</v>
      </c>
      <c r="L11" s="14" t="s">
        <v>177</v>
      </c>
      <c r="M11" s="14">
        <v>6616</v>
      </c>
      <c r="N11" s="14">
        <v>7105</v>
      </c>
      <c r="O11" s="14">
        <v>566160</v>
      </c>
      <c r="P11" s="14">
        <v>271050</v>
      </c>
      <c r="Q11" s="14"/>
    </row>
    <row r="12" spans="1:19" ht="22.5" x14ac:dyDescent="0.25">
      <c r="A12" s="11" t="s">
        <v>2684</v>
      </c>
      <c r="B12" s="13" t="s">
        <v>76</v>
      </c>
      <c r="C12" s="62" t="s">
        <v>2920</v>
      </c>
      <c r="D12" s="13" t="s">
        <v>2918</v>
      </c>
      <c r="E12" s="13" t="s">
        <v>178</v>
      </c>
      <c r="F12" s="14" t="s">
        <v>11</v>
      </c>
      <c r="G12" s="13"/>
      <c r="H12" s="14">
        <f t="shared" si="0"/>
        <v>1</v>
      </c>
      <c r="I12" s="13">
        <v>1</v>
      </c>
      <c r="J12" s="13">
        <v>1</v>
      </c>
      <c r="K12" s="13" t="s">
        <v>1252</v>
      </c>
      <c r="L12" s="14" t="s">
        <v>177</v>
      </c>
      <c r="M12" s="14">
        <v>6618</v>
      </c>
      <c r="N12" s="14">
        <v>7135</v>
      </c>
      <c r="O12" s="14">
        <v>566180</v>
      </c>
      <c r="P12" s="14">
        <v>271350</v>
      </c>
      <c r="Q12" s="14"/>
    </row>
    <row r="13" spans="1:19" ht="22.5" x14ac:dyDescent="0.25">
      <c r="A13" s="11" t="s">
        <v>2684</v>
      </c>
      <c r="B13" s="13" t="s">
        <v>76</v>
      </c>
      <c r="C13" s="62" t="s">
        <v>2818</v>
      </c>
      <c r="D13" s="13" t="s">
        <v>18</v>
      </c>
      <c r="E13" s="13" t="s">
        <v>176</v>
      </c>
      <c r="F13" s="14" t="s">
        <v>11</v>
      </c>
      <c r="G13" s="13"/>
      <c r="H13" s="14">
        <f t="shared" si="0"/>
        <v>1</v>
      </c>
      <c r="I13" s="14">
        <v>1</v>
      </c>
      <c r="J13" s="14">
        <v>1</v>
      </c>
      <c r="K13" s="13" t="s">
        <v>1396</v>
      </c>
      <c r="L13" s="14" t="s">
        <v>175</v>
      </c>
      <c r="M13" s="14">
        <v>1180</v>
      </c>
      <c r="N13" s="14">
        <v>830</v>
      </c>
      <c r="O13" s="14">
        <v>511800</v>
      </c>
      <c r="P13" s="14">
        <v>308300</v>
      </c>
    </row>
    <row r="14" spans="1:19" ht="22.5" x14ac:dyDescent="0.25">
      <c r="A14" s="11" t="s">
        <v>2684</v>
      </c>
      <c r="B14" s="13" t="s">
        <v>76</v>
      </c>
      <c r="C14" s="62" t="s">
        <v>2819</v>
      </c>
      <c r="D14" s="13" t="s">
        <v>18</v>
      </c>
      <c r="E14" s="13" t="s">
        <v>176</v>
      </c>
      <c r="F14" s="14" t="s">
        <v>11</v>
      </c>
      <c r="G14" s="13"/>
      <c r="H14" s="14">
        <f t="shared" si="0"/>
        <v>1</v>
      </c>
      <c r="I14" s="14">
        <v>1</v>
      </c>
      <c r="J14" s="14">
        <v>1</v>
      </c>
      <c r="K14" s="13" t="s">
        <v>1396</v>
      </c>
      <c r="L14" s="14" t="s">
        <v>175</v>
      </c>
      <c r="M14" s="14">
        <v>1180</v>
      </c>
      <c r="N14" s="14">
        <v>830</v>
      </c>
      <c r="O14" s="14">
        <v>511800</v>
      </c>
      <c r="P14" s="14">
        <v>308300</v>
      </c>
    </row>
    <row r="15" spans="1:19" x14ac:dyDescent="0.25">
      <c r="A15" s="11" t="s">
        <v>2684</v>
      </c>
      <c r="B15" s="13" t="s">
        <v>76</v>
      </c>
      <c r="C15" s="62" t="s">
        <v>2821</v>
      </c>
      <c r="D15" s="13" t="s">
        <v>18</v>
      </c>
      <c r="E15" s="13" t="s">
        <v>2822</v>
      </c>
      <c r="F15" s="14" t="s">
        <v>11</v>
      </c>
      <c r="G15" s="13"/>
      <c r="H15" s="14">
        <f t="shared" si="0"/>
        <v>1</v>
      </c>
      <c r="I15" s="14">
        <v>1</v>
      </c>
      <c r="J15" s="14">
        <v>1</v>
      </c>
      <c r="K15" s="13" t="s">
        <v>1396</v>
      </c>
      <c r="L15" s="14" t="s">
        <v>140</v>
      </c>
      <c r="M15" s="14">
        <v>3200</v>
      </c>
      <c r="N15" s="14">
        <v>4505</v>
      </c>
      <c r="O15" s="14">
        <v>632000</v>
      </c>
      <c r="P15" s="14">
        <v>245050</v>
      </c>
    </row>
    <row r="16" spans="1:19" ht="22.5" x14ac:dyDescent="0.25">
      <c r="A16" s="11" t="s">
        <v>2684</v>
      </c>
      <c r="B16" s="13" t="s">
        <v>76</v>
      </c>
      <c r="C16" s="62" t="s">
        <v>2820</v>
      </c>
      <c r="D16" s="13" t="s">
        <v>18</v>
      </c>
      <c r="E16" s="13" t="s">
        <v>176</v>
      </c>
      <c r="F16" s="14" t="s">
        <v>11</v>
      </c>
      <c r="G16" s="13"/>
      <c r="H16" s="14">
        <f t="shared" si="0"/>
        <v>1</v>
      </c>
      <c r="I16" s="14">
        <v>1</v>
      </c>
      <c r="J16" s="14">
        <v>1</v>
      </c>
      <c r="K16" s="13" t="s">
        <v>1396</v>
      </c>
      <c r="L16" s="14" t="s">
        <v>175</v>
      </c>
      <c r="M16" s="14">
        <v>662</v>
      </c>
      <c r="N16" s="14">
        <v>90</v>
      </c>
      <c r="O16" s="14">
        <v>506620</v>
      </c>
      <c r="P16" s="14">
        <v>300900</v>
      </c>
    </row>
    <row r="17" spans="1:17" ht="22.5" x14ac:dyDescent="0.25">
      <c r="A17" s="11" t="s">
        <v>2684</v>
      </c>
      <c r="B17" s="13" t="s">
        <v>1424</v>
      </c>
      <c r="C17" s="62" t="s">
        <v>2702</v>
      </c>
      <c r="D17" s="13" t="s">
        <v>41</v>
      </c>
      <c r="E17" s="13" t="s">
        <v>2703</v>
      </c>
      <c r="F17" s="14" t="s">
        <v>11</v>
      </c>
      <c r="G17" s="13"/>
      <c r="H17" s="14">
        <f t="shared" si="0"/>
        <v>1</v>
      </c>
      <c r="I17" s="14">
        <v>1</v>
      </c>
      <c r="J17" s="14">
        <v>1</v>
      </c>
      <c r="K17" s="13" t="s">
        <v>476</v>
      </c>
      <c r="L17" s="14" t="s">
        <v>189</v>
      </c>
      <c r="M17" s="14">
        <v>9061</v>
      </c>
      <c r="N17" s="14">
        <v>6218</v>
      </c>
      <c r="O17" s="14">
        <v>390610</v>
      </c>
      <c r="P17" s="14">
        <v>362180</v>
      </c>
      <c r="Q17" s="14"/>
    </row>
    <row r="18" spans="1:17" ht="22.5" x14ac:dyDescent="0.25">
      <c r="A18" s="11" t="s">
        <v>2684</v>
      </c>
      <c r="B18" s="13" t="s">
        <v>42</v>
      </c>
      <c r="C18" s="62" t="s">
        <v>2885</v>
      </c>
      <c r="D18" s="13" t="s">
        <v>540</v>
      </c>
      <c r="E18" s="14" t="s">
        <v>300</v>
      </c>
      <c r="F18" s="14" t="s">
        <v>11</v>
      </c>
      <c r="G18" s="13"/>
      <c r="H18" s="14">
        <f t="shared" si="0"/>
        <v>1</v>
      </c>
      <c r="I18" s="14">
        <v>1</v>
      </c>
      <c r="J18" s="14">
        <v>1</v>
      </c>
      <c r="K18" s="13" t="s">
        <v>2886</v>
      </c>
      <c r="L18" s="14" t="s">
        <v>520</v>
      </c>
      <c r="M18" s="14">
        <v>159</v>
      </c>
      <c r="N18" s="14">
        <v>619</v>
      </c>
      <c r="O18" s="14">
        <v>215900</v>
      </c>
      <c r="P18" s="14">
        <v>61900</v>
      </c>
      <c r="Q18" s="14"/>
    </row>
    <row r="19" spans="1:17" x14ac:dyDescent="0.25">
      <c r="A19" s="11" t="s">
        <v>2684</v>
      </c>
      <c r="B19" s="13" t="s">
        <v>42</v>
      </c>
      <c r="C19" s="62" t="s">
        <v>142</v>
      </c>
      <c r="D19" s="13" t="s">
        <v>39</v>
      </c>
      <c r="E19" s="14" t="s">
        <v>143</v>
      </c>
      <c r="F19" s="14" t="s">
        <v>11</v>
      </c>
      <c r="G19" s="13"/>
      <c r="H19" s="14">
        <f t="shared" si="0"/>
        <v>1</v>
      </c>
      <c r="I19" s="14">
        <v>1</v>
      </c>
      <c r="J19" s="14">
        <v>1</v>
      </c>
      <c r="K19" s="13" t="s">
        <v>958</v>
      </c>
      <c r="L19" s="14" t="s">
        <v>144</v>
      </c>
      <c r="M19" s="14">
        <v>685</v>
      </c>
      <c r="N19" s="14">
        <v>407</v>
      </c>
      <c r="O19" s="14">
        <v>168500</v>
      </c>
      <c r="P19" s="14">
        <v>40700</v>
      </c>
      <c r="Q19" s="14"/>
    </row>
    <row r="20" spans="1:17" x14ac:dyDescent="0.25">
      <c r="A20" s="11" t="s">
        <v>2684</v>
      </c>
      <c r="B20" s="13" t="s">
        <v>42</v>
      </c>
      <c r="C20" s="62" t="s">
        <v>2753</v>
      </c>
      <c r="D20" s="13" t="s">
        <v>2433</v>
      </c>
      <c r="E20" s="14" t="s">
        <v>2754</v>
      </c>
      <c r="F20" s="14" t="s">
        <v>11</v>
      </c>
      <c r="G20" s="13"/>
      <c r="H20" s="14">
        <f t="shared" si="0"/>
        <v>1</v>
      </c>
      <c r="I20" s="14">
        <v>1</v>
      </c>
      <c r="J20" s="14">
        <v>1</v>
      </c>
      <c r="K20" s="13" t="s">
        <v>2752</v>
      </c>
      <c r="L20" s="14" t="s">
        <v>520</v>
      </c>
      <c r="M20" s="14">
        <v>311</v>
      </c>
      <c r="N20" s="14">
        <v>6274</v>
      </c>
      <c r="O20" s="14">
        <v>203110</v>
      </c>
      <c r="P20" s="14">
        <v>62740</v>
      </c>
      <c r="Q20" s="14"/>
    </row>
    <row r="21" spans="1:17" x14ac:dyDescent="0.25">
      <c r="A21" s="11" t="s">
        <v>2684</v>
      </c>
      <c r="B21" s="13" t="s">
        <v>42</v>
      </c>
      <c r="C21" s="62" t="s">
        <v>2755</v>
      </c>
      <c r="D21" s="13" t="s">
        <v>2433</v>
      </c>
      <c r="E21" s="14" t="s">
        <v>2756</v>
      </c>
      <c r="F21" s="14" t="s">
        <v>11</v>
      </c>
      <c r="G21" s="13"/>
      <c r="H21" s="14">
        <f t="shared" si="0"/>
        <v>1</v>
      </c>
      <c r="I21" s="14">
        <v>1</v>
      </c>
      <c r="J21" s="14">
        <v>1</v>
      </c>
      <c r="K21" s="13" t="s">
        <v>2752</v>
      </c>
      <c r="L21" s="14" t="s">
        <v>520</v>
      </c>
      <c r="M21" s="14">
        <v>3708</v>
      </c>
      <c r="N21" s="14">
        <v>6854</v>
      </c>
      <c r="O21" s="14">
        <v>237080</v>
      </c>
      <c r="P21" s="14">
        <v>68540</v>
      </c>
      <c r="Q21" s="14"/>
    </row>
    <row r="22" spans="1:17" ht="22.5" x14ac:dyDescent="0.25">
      <c r="A22" s="11" t="s">
        <v>2684</v>
      </c>
      <c r="B22" s="13" t="s">
        <v>42</v>
      </c>
      <c r="C22" s="62" t="s">
        <v>2926</v>
      </c>
      <c r="D22" s="13" t="s">
        <v>2927</v>
      </c>
      <c r="E22" s="14" t="s">
        <v>2926</v>
      </c>
      <c r="F22" s="14" t="s">
        <v>11</v>
      </c>
      <c r="G22" s="13"/>
      <c r="H22" s="14">
        <f t="shared" si="0"/>
        <v>1</v>
      </c>
      <c r="I22" s="14">
        <v>1</v>
      </c>
      <c r="J22" s="14">
        <v>1</v>
      </c>
      <c r="K22" s="13" t="s">
        <v>1252</v>
      </c>
      <c r="L22" s="14" t="s">
        <v>520</v>
      </c>
      <c r="M22" s="14">
        <v>1467</v>
      </c>
      <c r="N22" s="14">
        <v>8811</v>
      </c>
      <c r="O22" s="14">
        <v>214670</v>
      </c>
      <c r="P22" s="14">
        <v>88110</v>
      </c>
      <c r="Q22" s="14"/>
    </row>
    <row r="23" spans="1:17" x14ac:dyDescent="0.25">
      <c r="A23" s="11" t="s">
        <v>2684</v>
      </c>
      <c r="B23" s="13" t="s">
        <v>42</v>
      </c>
      <c r="C23" s="62" t="s">
        <v>573</v>
      </c>
      <c r="D23" s="13" t="s">
        <v>90</v>
      </c>
      <c r="E23" s="14" t="s">
        <v>43</v>
      </c>
      <c r="F23" s="14" t="s">
        <v>11</v>
      </c>
      <c r="G23" s="13"/>
      <c r="H23" s="14">
        <f t="shared" si="0"/>
        <v>2</v>
      </c>
      <c r="I23" s="14">
        <v>2</v>
      </c>
      <c r="J23" s="14">
        <v>1</v>
      </c>
      <c r="K23" s="13" t="s">
        <v>1035</v>
      </c>
      <c r="L23" s="14" t="s">
        <v>144</v>
      </c>
      <c r="M23" s="14">
        <v>601</v>
      </c>
      <c r="N23" s="14">
        <v>395</v>
      </c>
      <c r="O23" s="14">
        <v>160100</v>
      </c>
      <c r="P23" s="14">
        <v>39500</v>
      </c>
      <c r="Q23" s="14"/>
    </row>
    <row r="24" spans="1:17" x14ac:dyDescent="0.25">
      <c r="A24" s="11" t="s">
        <v>2684</v>
      </c>
      <c r="B24" s="13" t="s">
        <v>42</v>
      </c>
      <c r="C24" s="62" t="s">
        <v>535</v>
      </c>
      <c r="D24" s="13" t="s">
        <v>8</v>
      </c>
      <c r="E24" s="14" t="s">
        <v>43</v>
      </c>
      <c r="F24" s="14" t="s">
        <v>11</v>
      </c>
      <c r="G24" s="13"/>
      <c r="H24" s="14">
        <f t="shared" si="0"/>
        <v>1</v>
      </c>
      <c r="I24" s="14">
        <v>1</v>
      </c>
      <c r="J24" s="14">
        <v>1</v>
      </c>
      <c r="K24" s="13" t="s">
        <v>1521</v>
      </c>
      <c r="L24" s="14" t="s">
        <v>520</v>
      </c>
      <c r="M24" s="14">
        <v>25825</v>
      </c>
      <c r="N24" s="14">
        <v>71393</v>
      </c>
      <c r="O24" s="14">
        <v>225825</v>
      </c>
      <c r="P24" s="14">
        <v>71393</v>
      </c>
      <c r="Q24" s="14"/>
    </row>
    <row r="25" spans="1:17" x14ac:dyDescent="0.25">
      <c r="A25" s="11" t="s">
        <v>2684</v>
      </c>
      <c r="B25" s="13" t="s">
        <v>42</v>
      </c>
      <c r="C25" s="62" t="s">
        <v>518</v>
      </c>
      <c r="D25" s="13" t="s">
        <v>8</v>
      </c>
      <c r="E25" s="14" t="s">
        <v>363</v>
      </c>
      <c r="F25" s="14" t="s">
        <v>11</v>
      </c>
      <c r="G25" s="13"/>
      <c r="H25" s="14">
        <f t="shared" si="0"/>
        <v>1</v>
      </c>
      <c r="I25" s="14">
        <v>1</v>
      </c>
      <c r="J25" s="14">
        <v>1</v>
      </c>
      <c r="K25" s="13" t="s">
        <v>3084</v>
      </c>
      <c r="L25" s="14" t="s">
        <v>144</v>
      </c>
      <c r="M25" s="14">
        <v>4327</v>
      </c>
      <c r="N25" s="14">
        <v>2450</v>
      </c>
      <c r="O25" s="14">
        <v>143270</v>
      </c>
      <c r="P25" s="14">
        <v>24500</v>
      </c>
      <c r="Q25" s="14"/>
    </row>
    <row r="26" spans="1:17" x14ac:dyDescent="0.25">
      <c r="A26" s="11" t="s">
        <v>2684</v>
      </c>
      <c r="B26" s="13" t="s">
        <v>42</v>
      </c>
      <c r="C26" s="62" t="s">
        <v>1827</v>
      </c>
      <c r="D26" s="13" t="s">
        <v>8</v>
      </c>
      <c r="E26" s="14" t="s">
        <v>2978</v>
      </c>
      <c r="F26" s="14" t="s">
        <v>11</v>
      </c>
      <c r="G26" s="13"/>
      <c r="H26" s="14">
        <f t="shared" si="0"/>
        <v>1</v>
      </c>
      <c r="I26" s="14">
        <v>1</v>
      </c>
      <c r="J26" s="14">
        <v>1</v>
      </c>
      <c r="K26" s="13" t="s">
        <v>1521</v>
      </c>
      <c r="L26" s="14" t="s">
        <v>144</v>
      </c>
      <c r="M26" s="14">
        <v>4342</v>
      </c>
      <c r="N26" s="14">
        <v>3513</v>
      </c>
      <c r="O26" s="14">
        <v>143420</v>
      </c>
      <c r="P26" s="14">
        <v>35130</v>
      </c>
      <c r="Q26" s="14"/>
    </row>
    <row r="27" spans="1:17" x14ac:dyDescent="0.25">
      <c r="A27" s="11" t="s">
        <v>2684</v>
      </c>
      <c r="B27" s="13" t="s">
        <v>42</v>
      </c>
      <c r="C27" s="62" t="s">
        <v>1827</v>
      </c>
      <c r="D27" s="13" t="s">
        <v>121</v>
      </c>
      <c r="E27" s="14" t="s">
        <v>1828</v>
      </c>
      <c r="F27" s="14" t="s">
        <v>11</v>
      </c>
      <c r="G27" s="13"/>
      <c r="H27" s="14">
        <f t="shared" si="0"/>
        <v>1</v>
      </c>
      <c r="I27" s="14">
        <v>1</v>
      </c>
      <c r="J27" s="14">
        <v>1</v>
      </c>
      <c r="K27" s="13" t="s">
        <v>1552</v>
      </c>
      <c r="L27" s="14" t="s">
        <v>144</v>
      </c>
      <c r="M27" s="14">
        <v>936</v>
      </c>
      <c r="N27" s="14">
        <v>675</v>
      </c>
      <c r="O27" s="14">
        <v>193600</v>
      </c>
      <c r="P27" s="14">
        <v>67500</v>
      </c>
      <c r="Q27" s="14"/>
    </row>
    <row r="28" spans="1:17" x14ac:dyDescent="0.25">
      <c r="A28" s="11" t="s">
        <v>2684</v>
      </c>
      <c r="B28" s="13" t="s">
        <v>42</v>
      </c>
      <c r="C28" s="62" t="s">
        <v>2989</v>
      </c>
      <c r="D28" s="13" t="s">
        <v>8</v>
      </c>
      <c r="E28" s="14" t="s">
        <v>2990</v>
      </c>
      <c r="F28" s="14" t="s">
        <v>11</v>
      </c>
      <c r="G28" s="13"/>
      <c r="H28" s="14">
        <f t="shared" si="0"/>
        <v>1</v>
      </c>
      <c r="I28" s="14">
        <v>1</v>
      </c>
      <c r="J28" s="14">
        <v>1</v>
      </c>
      <c r="K28" s="13" t="s">
        <v>1322</v>
      </c>
      <c r="L28" s="14" t="s">
        <v>520</v>
      </c>
      <c r="M28" s="14">
        <v>1447</v>
      </c>
      <c r="N28" s="14">
        <v>7998</v>
      </c>
      <c r="O28" s="14">
        <v>214470</v>
      </c>
      <c r="P28" s="14">
        <v>79980</v>
      </c>
      <c r="Q28" s="14"/>
    </row>
    <row r="29" spans="1:17" x14ac:dyDescent="0.25">
      <c r="A29" s="11" t="s">
        <v>2684</v>
      </c>
      <c r="B29" s="13" t="s">
        <v>42</v>
      </c>
      <c r="C29" s="62" t="s">
        <v>2987</v>
      </c>
      <c r="D29" s="13" t="s">
        <v>8</v>
      </c>
      <c r="E29" s="14" t="s">
        <v>2988</v>
      </c>
      <c r="F29" s="14" t="s">
        <v>11</v>
      </c>
      <c r="G29" s="13"/>
      <c r="H29" s="14">
        <f t="shared" si="0"/>
        <v>2</v>
      </c>
      <c r="I29" s="14">
        <v>2</v>
      </c>
      <c r="J29" s="14">
        <v>2</v>
      </c>
      <c r="K29" s="13" t="s">
        <v>1319</v>
      </c>
      <c r="L29" s="14" t="s">
        <v>144</v>
      </c>
      <c r="M29" s="14">
        <v>1257</v>
      </c>
      <c r="N29" s="14">
        <v>8001</v>
      </c>
      <c r="O29" s="14">
        <v>212570</v>
      </c>
      <c r="P29" s="14">
        <v>80010</v>
      </c>
      <c r="Q29" s="14"/>
    </row>
    <row r="30" spans="1:17" ht="22.5" x14ac:dyDescent="0.25">
      <c r="A30" s="11" t="s">
        <v>2684</v>
      </c>
      <c r="B30" s="13" t="s">
        <v>42</v>
      </c>
      <c r="C30" s="62" t="s">
        <v>1821</v>
      </c>
      <c r="D30" s="13" t="s">
        <v>1822</v>
      </c>
      <c r="E30" s="14" t="s">
        <v>1823</v>
      </c>
      <c r="F30" s="14" t="s">
        <v>11</v>
      </c>
      <c r="G30" s="13"/>
      <c r="H30" s="14">
        <f t="shared" si="0"/>
        <v>1</v>
      </c>
      <c r="I30" s="14">
        <v>1</v>
      </c>
      <c r="J30" s="14">
        <v>1</v>
      </c>
      <c r="K30" s="13" t="s">
        <v>2752</v>
      </c>
      <c r="L30" s="14" t="s">
        <v>520</v>
      </c>
      <c r="M30" s="14">
        <v>1437</v>
      </c>
      <c r="N30" s="14">
        <v>7521</v>
      </c>
      <c r="O30" s="14">
        <v>214370</v>
      </c>
      <c r="P30" s="14">
        <v>75210</v>
      </c>
      <c r="Q30" s="14"/>
    </row>
    <row r="31" spans="1:17" x14ac:dyDescent="0.25">
      <c r="A31" s="11" t="s">
        <v>2684</v>
      </c>
      <c r="B31" s="13" t="s">
        <v>42</v>
      </c>
      <c r="C31" s="62" t="s">
        <v>2979</v>
      </c>
      <c r="D31" s="13" t="s">
        <v>2977</v>
      </c>
      <c r="E31" s="14" t="s">
        <v>363</v>
      </c>
      <c r="F31" s="14" t="s">
        <v>11</v>
      </c>
      <c r="G31" s="13"/>
      <c r="H31" s="14">
        <f t="shared" si="0"/>
        <v>1</v>
      </c>
      <c r="I31" s="14">
        <v>1</v>
      </c>
      <c r="J31" s="14">
        <v>1</v>
      </c>
      <c r="K31" s="13" t="s">
        <v>1521</v>
      </c>
      <c r="L31" s="14" t="s">
        <v>144</v>
      </c>
      <c r="M31" s="14">
        <v>3861</v>
      </c>
      <c r="N31" s="14">
        <v>3238</v>
      </c>
      <c r="O31" s="14">
        <v>138610</v>
      </c>
      <c r="P31" s="14">
        <v>32380</v>
      </c>
      <c r="Q31" s="14"/>
    </row>
    <row r="32" spans="1:17" ht="22.5" x14ac:dyDescent="0.25">
      <c r="A32" s="11" t="s">
        <v>2684</v>
      </c>
      <c r="B32" s="13" t="s">
        <v>42</v>
      </c>
      <c r="C32" s="62" t="s">
        <v>2921</v>
      </c>
      <c r="D32" s="13" t="s">
        <v>2918</v>
      </c>
      <c r="E32" s="14" t="s">
        <v>2922</v>
      </c>
      <c r="F32" s="14" t="s">
        <v>11</v>
      </c>
      <c r="G32" s="13"/>
      <c r="H32" s="14">
        <f t="shared" si="0"/>
        <v>1</v>
      </c>
      <c r="I32" s="14">
        <v>1</v>
      </c>
      <c r="J32" s="14">
        <v>1</v>
      </c>
      <c r="K32" s="13" t="s">
        <v>1252</v>
      </c>
      <c r="L32" s="14" t="s">
        <v>520</v>
      </c>
      <c r="M32" s="14">
        <v>2001</v>
      </c>
      <c r="N32" s="14">
        <v>8674</v>
      </c>
      <c r="O32" s="14">
        <v>220010</v>
      </c>
      <c r="P32" s="14">
        <v>86740</v>
      </c>
      <c r="Q32" s="14"/>
    </row>
    <row r="33" spans="1:17" x14ac:dyDescent="0.25">
      <c r="A33" s="11" t="s">
        <v>2684</v>
      </c>
      <c r="B33" s="13" t="s">
        <v>42</v>
      </c>
      <c r="C33" s="62" t="s">
        <v>3085</v>
      </c>
      <c r="D33" s="13" t="s">
        <v>1153</v>
      </c>
      <c r="E33" s="14" t="s">
        <v>363</v>
      </c>
      <c r="F33" s="14" t="s">
        <v>11</v>
      </c>
      <c r="G33" s="13"/>
      <c r="H33" s="14">
        <f t="shared" si="0"/>
        <v>1</v>
      </c>
      <c r="I33" s="14">
        <v>1</v>
      </c>
      <c r="J33" s="14">
        <v>1</v>
      </c>
      <c r="K33" s="13" t="s">
        <v>3084</v>
      </c>
      <c r="L33" s="14" t="s">
        <v>144</v>
      </c>
      <c r="M33" s="14">
        <v>4418</v>
      </c>
      <c r="N33" s="14">
        <v>2787</v>
      </c>
      <c r="O33" s="14">
        <v>144180</v>
      </c>
      <c r="P33" s="14">
        <v>27870</v>
      </c>
      <c r="Q33" s="14"/>
    </row>
    <row r="34" spans="1:17" x14ac:dyDescent="0.25">
      <c r="A34" s="11" t="s">
        <v>2684</v>
      </c>
      <c r="B34" s="13" t="s">
        <v>42</v>
      </c>
      <c r="C34" s="62" t="s">
        <v>2594</v>
      </c>
      <c r="D34" s="13" t="s">
        <v>220</v>
      </c>
      <c r="E34" s="14" t="s">
        <v>2595</v>
      </c>
      <c r="F34" s="14" t="s">
        <v>11</v>
      </c>
      <c r="G34" s="13"/>
      <c r="H34" s="14">
        <f t="shared" ref="H34:H65" si="1">G34+I34</f>
        <v>1</v>
      </c>
      <c r="I34" s="14">
        <v>1</v>
      </c>
      <c r="J34" s="14">
        <v>1</v>
      </c>
      <c r="K34" s="13" t="s">
        <v>1365</v>
      </c>
      <c r="L34" s="14" t="s">
        <v>520</v>
      </c>
      <c r="M34" s="14">
        <v>2593</v>
      </c>
      <c r="N34" s="14">
        <v>6881</v>
      </c>
      <c r="O34" s="14">
        <v>225930</v>
      </c>
      <c r="P34" s="14">
        <v>68810</v>
      </c>
      <c r="Q34" s="14"/>
    </row>
    <row r="35" spans="1:17" x14ac:dyDescent="0.25">
      <c r="A35" s="11" t="s">
        <v>2684</v>
      </c>
      <c r="B35" s="13" t="s">
        <v>10</v>
      </c>
      <c r="C35" s="61" t="s">
        <v>2778</v>
      </c>
      <c r="D35" s="13" t="s">
        <v>2433</v>
      </c>
      <c r="E35" s="14" t="s">
        <v>716</v>
      </c>
      <c r="F35" s="14" t="s">
        <v>11</v>
      </c>
      <c r="G35" s="13"/>
      <c r="H35" s="14">
        <f t="shared" si="1"/>
        <v>1</v>
      </c>
      <c r="I35" s="14">
        <v>1</v>
      </c>
      <c r="J35" s="14">
        <v>1</v>
      </c>
      <c r="K35" s="13" t="s">
        <v>1391</v>
      </c>
      <c r="L35" s="14" t="s">
        <v>166</v>
      </c>
      <c r="M35" s="14">
        <v>5484</v>
      </c>
      <c r="N35" s="14">
        <v>4659</v>
      </c>
      <c r="O35" s="14">
        <v>354840</v>
      </c>
      <c r="P35" s="14">
        <v>546590</v>
      </c>
      <c r="Q35" s="14"/>
    </row>
    <row r="36" spans="1:17" x14ac:dyDescent="0.25">
      <c r="A36" s="11" t="s">
        <v>2684</v>
      </c>
      <c r="B36" s="13" t="s">
        <v>10</v>
      </c>
      <c r="C36" s="62" t="s">
        <v>3035</v>
      </c>
      <c r="D36" s="13" t="s">
        <v>8</v>
      </c>
      <c r="E36" s="14" t="s">
        <v>9</v>
      </c>
      <c r="F36" s="14" t="s">
        <v>11</v>
      </c>
      <c r="G36" s="13"/>
      <c r="H36" s="14">
        <f t="shared" si="1"/>
        <v>1</v>
      </c>
      <c r="I36" s="14">
        <v>1</v>
      </c>
      <c r="J36" s="14">
        <v>1</v>
      </c>
      <c r="K36" s="13" t="s">
        <v>3022</v>
      </c>
      <c r="L36" s="14" t="s">
        <v>166</v>
      </c>
      <c r="M36" s="14">
        <v>2913</v>
      </c>
      <c r="N36" s="14">
        <v>2363</v>
      </c>
      <c r="O36" s="14">
        <v>329130</v>
      </c>
      <c r="P36" s="14">
        <v>523630</v>
      </c>
      <c r="Q36" s="14"/>
    </row>
    <row r="37" spans="1:17" x14ac:dyDescent="0.25">
      <c r="A37" s="11" t="s">
        <v>2684</v>
      </c>
      <c r="B37" s="13" t="s">
        <v>10</v>
      </c>
      <c r="C37" s="62" t="s">
        <v>3038</v>
      </c>
      <c r="D37" s="13" t="s">
        <v>8</v>
      </c>
      <c r="E37" s="14" t="s">
        <v>9</v>
      </c>
      <c r="F37" s="14" t="s">
        <v>11</v>
      </c>
      <c r="G37" s="13"/>
      <c r="H37" s="14">
        <f t="shared" si="1"/>
        <v>1</v>
      </c>
      <c r="I37" s="14">
        <v>1</v>
      </c>
      <c r="J37" s="14">
        <v>1</v>
      </c>
      <c r="K37" s="13" t="s">
        <v>3022</v>
      </c>
      <c r="L37" s="14" t="s">
        <v>166</v>
      </c>
      <c r="M37" s="14">
        <v>176</v>
      </c>
      <c r="N37" s="14">
        <v>317</v>
      </c>
      <c r="O37" s="14">
        <v>317600</v>
      </c>
      <c r="P37" s="14">
        <v>531700</v>
      </c>
      <c r="Q37" s="14"/>
    </row>
    <row r="38" spans="1:17" x14ac:dyDescent="0.25">
      <c r="A38" s="11" t="s">
        <v>2684</v>
      </c>
      <c r="B38" s="13" t="s">
        <v>10</v>
      </c>
      <c r="C38" s="62" t="s">
        <v>3042</v>
      </c>
      <c r="D38" s="13" t="s">
        <v>2977</v>
      </c>
      <c r="E38" s="14" t="s">
        <v>9</v>
      </c>
      <c r="F38" s="14" t="s">
        <v>11</v>
      </c>
      <c r="G38" s="13"/>
      <c r="H38" s="14">
        <f t="shared" si="1"/>
        <v>1</v>
      </c>
      <c r="I38" s="14">
        <v>1</v>
      </c>
      <c r="J38" s="14">
        <v>1</v>
      </c>
      <c r="K38" s="13" t="s">
        <v>3022</v>
      </c>
      <c r="L38" s="14" t="s">
        <v>166</v>
      </c>
      <c r="M38" s="14">
        <v>1730</v>
      </c>
      <c r="N38" s="14">
        <v>237</v>
      </c>
      <c r="O38" s="14">
        <v>317300</v>
      </c>
      <c r="P38" s="14">
        <v>502370</v>
      </c>
      <c r="Q38" s="14"/>
    </row>
    <row r="39" spans="1:17" x14ac:dyDescent="0.25">
      <c r="A39" s="11" t="s">
        <v>2684</v>
      </c>
      <c r="B39" s="13" t="s">
        <v>10</v>
      </c>
      <c r="C39" s="62" t="s">
        <v>3039</v>
      </c>
      <c r="D39" s="13" t="s">
        <v>8</v>
      </c>
      <c r="E39" s="14" t="s">
        <v>3040</v>
      </c>
      <c r="F39" s="14" t="s">
        <v>11</v>
      </c>
      <c r="G39" s="13"/>
      <c r="H39" s="14">
        <f t="shared" si="1"/>
        <v>1</v>
      </c>
      <c r="I39" s="14">
        <v>1</v>
      </c>
      <c r="J39" s="14">
        <v>1</v>
      </c>
      <c r="K39" s="13" t="s">
        <v>3022</v>
      </c>
      <c r="L39" s="14" t="s">
        <v>166</v>
      </c>
      <c r="M39" s="14">
        <v>640</v>
      </c>
      <c r="N39" s="14">
        <v>82</v>
      </c>
      <c r="O39" s="14">
        <v>364000</v>
      </c>
      <c r="P39" s="14">
        <v>508200</v>
      </c>
      <c r="Q39" s="14"/>
    </row>
    <row r="40" spans="1:17" ht="22.5" x14ac:dyDescent="0.25">
      <c r="A40" s="11" t="s">
        <v>2684</v>
      </c>
      <c r="B40" s="13" t="s">
        <v>10</v>
      </c>
      <c r="C40" s="62" t="s">
        <v>165</v>
      </c>
      <c r="D40" s="13" t="s">
        <v>825</v>
      </c>
      <c r="E40" s="14" t="s">
        <v>12</v>
      </c>
      <c r="F40" s="14" t="s">
        <v>11</v>
      </c>
      <c r="G40" s="13">
        <v>2</v>
      </c>
      <c r="H40" s="14">
        <f t="shared" si="1"/>
        <v>2</v>
      </c>
      <c r="J40" s="14">
        <v>1</v>
      </c>
      <c r="K40" s="13" t="s">
        <v>2643</v>
      </c>
      <c r="L40" s="14" t="s">
        <v>166</v>
      </c>
      <c r="M40" s="14">
        <v>274</v>
      </c>
      <c r="N40" s="14">
        <v>72</v>
      </c>
      <c r="O40" s="14">
        <v>327400</v>
      </c>
      <c r="P40" s="14">
        <v>507200</v>
      </c>
      <c r="Q40" s="14"/>
    </row>
    <row r="41" spans="1:17" x14ac:dyDescent="0.25">
      <c r="A41" s="11" t="s">
        <v>2684</v>
      </c>
      <c r="B41" s="13" t="s">
        <v>10</v>
      </c>
      <c r="C41" s="62" t="s">
        <v>3036</v>
      </c>
      <c r="D41" s="13" t="s">
        <v>8</v>
      </c>
      <c r="E41" s="14" t="s">
        <v>3037</v>
      </c>
      <c r="F41" s="14" t="s">
        <v>11</v>
      </c>
      <c r="G41" s="13"/>
      <c r="H41" s="14">
        <f t="shared" si="1"/>
        <v>1</v>
      </c>
      <c r="I41" s="14">
        <v>1</v>
      </c>
      <c r="J41" s="14">
        <v>1</v>
      </c>
      <c r="K41" s="13" t="s">
        <v>3022</v>
      </c>
      <c r="L41" s="14" t="s">
        <v>166</v>
      </c>
      <c r="M41" s="14">
        <v>334</v>
      </c>
      <c r="N41" s="14">
        <v>238</v>
      </c>
      <c r="O41" s="14">
        <v>303340</v>
      </c>
      <c r="P41" s="14">
        <v>502380</v>
      </c>
      <c r="Q41" s="14"/>
    </row>
    <row r="42" spans="1:17" x14ac:dyDescent="0.25">
      <c r="A42" s="11" t="s">
        <v>2684</v>
      </c>
      <c r="B42" s="13" t="s">
        <v>10</v>
      </c>
      <c r="C42" s="61" t="s">
        <v>2432</v>
      </c>
      <c r="D42" s="13" t="s">
        <v>2433</v>
      </c>
      <c r="E42" s="14" t="s">
        <v>9</v>
      </c>
      <c r="F42" s="14" t="s">
        <v>11</v>
      </c>
      <c r="G42" s="13"/>
      <c r="H42" s="14">
        <f t="shared" si="1"/>
        <v>2</v>
      </c>
      <c r="I42" s="14">
        <v>2</v>
      </c>
      <c r="J42" s="14">
        <v>1</v>
      </c>
      <c r="K42" s="13" t="s">
        <v>1391</v>
      </c>
      <c r="L42" s="14" t="s">
        <v>166</v>
      </c>
      <c r="M42" s="14">
        <v>523</v>
      </c>
      <c r="N42" s="14">
        <v>283</v>
      </c>
      <c r="O42" s="14">
        <v>352300</v>
      </c>
      <c r="P42" s="14">
        <v>528300</v>
      </c>
      <c r="Q42" s="14"/>
    </row>
    <row r="43" spans="1:17" x14ac:dyDescent="0.25">
      <c r="A43" s="11" t="s">
        <v>2684</v>
      </c>
      <c r="B43" s="13" t="s">
        <v>10</v>
      </c>
      <c r="C43" s="62" t="s">
        <v>3043</v>
      </c>
      <c r="D43" s="13" t="s">
        <v>2977</v>
      </c>
      <c r="E43" s="14" t="s">
        <v>12</v>
      </c>
      <c r="F43" s="14" t="s">
        <v>11</v>
      </c>
      <c r="G43" s="13"/>
      <c r="H43" s="14">
        <f t="shared" si="1"/>
        <v>1</v>
      </c>
      <c r="I43" s="14">
        <v>1</v>
      </c>
      <c r="J43" s="14">
        <v>1</v>
      </c>
      <c r="K43" s="13" t="s">
        <v>3022</v>
      </c>
      <c r="L43" s="14" t="s">
        <v>431</v>
      </c>
      <c r="M43" s="14">
        <v>149</v>
      </c>
      <c r="N43" s="14">
        <v>810</v>
      </c>
      <c r="O43" s="14">
        <v>314900</v>
      </c>
      <c r="P43" s="14">
        <v>481000</v>
      </c>
      <c r="Q43" s="14"/>
    </row>
    <row r="44" spans="1:17" x14ac:dyDescent="0.25">
      <c r="A44" s="11" t="s">
        <v>2684</v>
      </c>
      <c r="B44" s="13" t="s">
        <v>10</v>
      </c>
      <c r="C44" s="61" t="s">
        <v>2783</v>
      </c>
      <c r="D44" s="13" t="s">
        <v>2433</v>
      </c>
      <c r="E44" s="14" t="s">
        <v>9</v>
      </c>
      <c r="F44" s="14" t="s">
        <v>11</v>
      </c>
      <c r="G44" s="13"/>
      <c r="H44" s="14">
        <f t="shared" si="1"/>
        <v>1</v>
      </c>
      <c r="I44" s="14">
        <v>1</v>
      </c>
      <c r="J44" s="14">
        <v>1</v>
      </c>
      <c r="K44" s="13" t="s">
        <v>846</v>
      </c>
      <c r="L44" s="14" t="s">
        <v>166</v>
      </c>
      <c r="M44" s="14">
        <v>5240</v>
      </c>
      <c r="N44" s="14">
        <v>2818</v>
      </c>
      <c r="O44" s="14">
        <v>352400</v>
      </c>
      <c r="P44" s="14">
        <v>528180</v>
      </c>
      <c r="Q44" s="14"/>
    </row>
    <row r="45" spans="1:17" x14ac:dyDescent="0.25">
      <c r="A45" s="11" t="s">
        <v>2684</v>
      </c>
      <c r="B45" s="13" t="s">
        <v>10</v>
      </c>
      <c r="C45" s="61" t="s">
        <v>3034</v>
      </c>
      <c r="D45" s="13" t="s">
        <v>8</v>
      </c>
      <c r="E45" s="14" t="s">
        <v>9</v>
      </c>
      <c r="F45" s="14" t="s">
        <v>11</v>
      </c>
      <c r="G45" s="13"/>
      <c r="H45" s="14">
        <f t="shared" si="1"/>
        <v>2</v>
      </c>
      <c r="I45" s="14">
        <v>2</v>
      </c>
      <c r="J45" s="14">
        <v>2</v>
      </c>
      <c r="K45" s="13" t="s">
        <v>3033</v>
      </c>
      <c r="L45" s="14" t="s">
        <v>166</v>
      </c>
      <c r="M45" s="14">
        <v>570</v>
      </c>
      <c r="N45" s="14">
        <v>372</v>
      </c>
      <c r="O45" s="14">
        <v>357000</v>
      </c>
      <c r="P45" s="14">
        <v>537200</v>
      </c>
      <c r="Q45" s="14"/>
    </row>
    <row r="46" spans="1:17" x14ac:dyDescent="0.25">
      <c r="A46" s="11" t="s">
        <v>2684</v>
      </c>
      <c r="B46" s="13" t="s">
        <v>10</v>
      </c>
      <c r="C46" s="61" t="s">
        <v>1134</v>
      </c>
      <c r="D46" s="13" t="s">
        <v>1153</v>
      </c>
      <c r="E46" s="14" t="s">
        <v>9</v>
      </c>
      <c r="F46" s="14" t="s">
        <v>11</v>
      </c>
      <c r="G46" s="13"/>
      <c r="H46" s="14">
        <f t="shared" si="1"/>
        <v>2</v>
      </c>
      <c r="I46" s="14">
        <v>2</v>
      </c>
      <c r="J46" s="14">
        <v>2</v>
      </c>
      <c r="K46" s="13" t="s">
        <v>3033</v>
      </c>
      <c r="L46" s="14" t="s">
        <v>166</v>
      </c>
      <c r="M46" s="14">
        <v>571</v>
      </c>
      <c r="N46" s="14">
        <v>372</v>
      </c>
      <c r="O46" s="14">
        <v>357100</v>
      </c>
      <c r="P46" s="14">
        <v>537200</v>
      </c>
      <c r="Q46" s="14"/>
    </row>
    <row r="47" spans="1:17" ht="22.5" x14ac:dyDescent="0.25">
      <c r="A47" s="11" t="s">
        <v>2684</v>
      </c>
      <c r="B47" s="13" t="s">
        <v>10</v>
      </c>
      <c r="C47" s="61" t="s">
        <v>3032</v>
      </c>
      <c r="D47" s="13" t="s">
        <v>8</v>
      </c>
      <c r="E47" s="14" t="s">
        <v>9</v>
      </c>
      <c r="F47" s="14" t="s">
        <v>11</v>
      </c>
      <c r="G47" s="13"/>
      <c r="H47" s="14">
        <f t="shared" si="1"/>
        <v>2</v>
      </c>
      <c r="I47" s="14">
        <v>2</v>
      </c>
      <c r="J47" s="14">
        <v>2</v>
      </c>
      <c r="K47" s="13" t="s">
        <v>3033</v>
      </c>
      <c r="L47" s="14" t="s">
        <v>166</v>
      </c>
      <c r="M47" s="14">
        <v>571</v>
      </c>
      <c r="N47" s="14">
        <v>372</v>
      </c>
      <c r="O47" s="14">
        <v>357100</v>
      </c>
      <c r="P47" s="14">
        <v>537200</v>
      </c>
      <c r="Q47" s="14"/>
    </row>
    <row r="48" spans="1:17" ht="22.5" x14ac:dyDescent="0.25">
      <c r="A48" s="11" t="s">
        <v>2684</v>
      </c>
      <c r="B48" s="13" t="s">
        <v>10</v>
      </c>
      <c r="C48" s="62" t="s">
        <v>2067</v>
      </c>
      <c r="D48" s="13" t="s">
        <v>2068</v>
      </c>
      <c r="E48" s="14" t="s">
        <v>9</v>
      </c>
      <c r="F48" s="14" t="s">
        <v>11</v>
      </c>
      <c r="G48" s="13"/>
      <c r="H48" s="14">
        <f t="shared" si="1"/>
        <v>3</v>
      </c>
      <c r="I48" s="14">
        <v>3</v>
      </c>
      <c r="J48" s="14">
        <v>2</v>
      </c>
      <c r="K48" s="13" t="s">
        <v>2777</v>
      </c>
      <c r="L48" s="14" t="s">
        <v>166</v>
      </c>
      <c r="M48" s="14">
        <v>519</v>
      </c>
      <c r="N48" s="14">
        <v>284</v>
      </c>
      <c r="O48" s="14">
        <v>351900</v>
      </c>
      <c r="P48" s="14">
        <v>528400</v>
      </c>
      <c r="Q48" s="14"/>
    </row>
    <row r="49" spans="1:17" x14ac:dyDescent="0.25">
      <c r="A49" s="11" t="s">
        <v>2684</v>
      </c>
      <c r="B49" s="13" t="s">
        <v>10</v>
      </c>
      <c r="C49" s="62" t="s">
        <v>2071</v>
      </c>
      <c r="D49" s="13" t="s">
        <v>1279</v>
      </c>
      <c r="E49" s="14" t="s">
        <v>9</v>
      </c>
      <c r="F49" s="14" t="s">
        <v>11</v>
      </c>
      <c r="G49" s="13"/>
      <c r="H49" s="14">
        <f t="shared" si="1"/>
        <v>4</v>
      </c>
      <c r="I49" s="14">
        <v>4</v>
      </c>
      <c r="J49" s="14">
        <v>1</v>
      </c>
      <c r="K49" s="13" t="s">
        <v>3022</v>
      </c>
      <c r="L49" s="14" t="s">
        <v>166</v>
      </c>
      <c r="M49" s="14">
        <v>563</v>
      </c>
      <c r="N49" s="14">
        <v>151</v>
      </c>
      <c r="O49" s="14">
        <v>356300</v>
      </c>
      <c r="P49" s="14">
        <v>515100</v>
      </c>
      <c r="Q49" s="14"/>
    </row>
    <row r="50" spans="1:17" x14ac:dyDescent="0.25">
      <c r="A50" s="11" t="s">
        <v>2684</v>
      </c>
      <c r="B50" s="13" t="s">
        <v>10</v>
      </c>
      <c r="C50" s="62" t="s">
        <v>3041</v>
      </c>
      <c r="D50" s="13" t="s">
        <v>1153</v>
      </c>
      <c r="E50" s="14" t="s">
        <v>9</v>
      </c>
      <c r="F50" s="14" t="s">
        <v>11</v>
      </c>
      <c r="G50" s="13"/>
      <c r="H50" s="14">
        <f t="shared" si="1"/>
        <v>1</v>
      </c>
      <c r="I50" s="14">
        <v>1</v>
      </c>
      <c r="J50" s="14">
        <v>1</v>
      </c>
      <c r="K50" s="13" t="s">
        <v>3022</v>
      </c>
      <c r="L50" s="14" t="s">
        <v>166</v>
      </c>
      <c r="M50" s="14">
        <v>563</v>
      </c>
      <c r="N50" s="14">
        <v>151</v>
      </c>
      <c r="O50" s="14">
        <v>356300</v>
      </c>
      <c r="P50" s="14">
        <v>515100</v>
      </c>
      <c r="Q50" s="14"/>
    </row>
    <row r="51" spans="1:17" x14ac:dyDescent="0.25">
      <c r="A51" s="11" t="s">
        <v>2684</v>
      </c>
      <c r="B51" s="13" t="s">
        <v>10</v>
      </c>
      <c r="C51" s="62" t="s">
        <v>1136</v>
      </c>
      <c r="D51" s="13" t="s">
        <v>8</v>
      </c>
      <c r="E51" s="14" t="s">
        <v>12</v>
      </c>
      <c r="F51" s="14" t="s">
        <v>11</v>
      </c>
      <c r="G51" s="13"/>
      <c r="H51" s="14">
        <f t="shared" si="1"/>
        <v>1</v>
      </c>
      <c r="I51" s="14">
        <v>1</v>
      </c>
      <c r="J51" s="14">
        <v>1</v>
      </c>
      <c r="K51" s="13" t="s">
        <v>3022</v>
      </c>
      <c r="L51" s="14" t="s">
        <v>431</v>
      </c>
      <c r="M51" s="14">
        <v>172</v>
      </c>
      <c r="N51" s="14">
        <v>881</v>
      </c>
      <c r="O51" s="14">
        <v>317200</v>
      </c>
      <c r="P51" s="14">
        <v>488100</v>
      </c>
      <c r="Q51" s="14"/>
    </row>
    <row r="52" spans="1:17" ht="22.5" x14ac:dyDescent="0.25">
      <c r="A52" s="11" t="s">
        <v>2684</v>
      </c>
      <c r="B52" s="13" t="s">
        <v>10</v>
      </c>
      <c r="C52" s="62" t="s">
        <v>2664</v>
      </c>
      <c r="D52" s="13" t="s">
        <v>2948</v>
      </c>
      <c r="E52" s="13" t="s">
        <v>2665</v>
      </c>
      <c r="F52" s="14" t="s">
        <v>11</v>
      </c>
      <c r="G52" s="13"/>
      <c r="H52" s="14">
        <f t="shared" si="1"/>
        <v>2</v>
      </c>
      <c r="I52" s="14">
        <v>2</v>
      </c>
      <c r="J52" s="14">
        <v>2</v>
      </c>
      <c r="K52" s="13" t="s">
        <v>2949</v>
      </c>
      <c r="L52" s="14" t="s">
        <v>166</v>
      </c>
      <c r="M52" s="14">
        <v>5850</v>
      </c>
      <c r="N52" s="14">
        <v>7401</v>
      </c>
      <c r="O52" s="14">
        <v>358500</v>
      </c>
      <c r="P52" s="14">
        <v>774010</v>
      </c>
      <c r="Q52" s="14"/>
    </row>
    <row r="53" spans="1:17" ht="22.5" x14ac:dyDescent="0.25">
      <c r="A53" s="11" t="s">
        <v>2684</v>
      </c>
      <c r="B53" s="13" t="s">
        <v>126</v>
      </c>
      <c r="C53" s="62" t="s">
        <v>527</v>
      </c>
      <c r="D53" s="13" t="s">
        <v>528</v>
      </c>
      <c r="E53" s="14" t="s">
        <v>444</v>
      </c>
      <c r="F53" s="14" t="s">
        <v>11</v>
      </c>
      <c r="G53" s="13"/>
      <c r="H53" s="14">
        <f t="shared" si="1"/>
        <v>5</v>
      </c>
      <c r="I53" s="14">
        <v>5</v>
      </c>
      <c r="J53" s="14">
        <v>3</v>
      </c>
      <c r="K53" s="13" t="s">
        <v>2763</v>
      </c>
      <c r="L53" s="14" t="s">
        <v>445</v>
      </c>
      <c r="M53" s="14">
        <v>1603</v>
      </c>
      <c r="N53" s="14">
        <v>6355</v>
      </c>
      <c r="O53" s="14">
        <v>416030</v>
      </c>
      <c r="P53" s="14">
        <v>363550</v>
      </c>
      <c r="Q53" s="14"/>
    </row>
    <row r="54" spans="1:17" ht="22.5" x14ac:dyDescent="0.25">
      <c r="A54" s="11" t="s">
        <v>2684</v>
      </c>
      <c r="B54" s="13" t="s">
        <v>126</v>
      </c>
      <c r="C54" s="62" t="s">
        <v>1747</v>
      </c>
      <c r="D54" s="13" t="s">
        <v>1748</v>
      </c>
      <c r="E54" s="13" t="s">
        <v>1749</v>
      </c>
      <c r="F54" s="14" t="s">
        <v>11</v>
      </c>
      <c r="G54" s="13"/>
      <c r="H54" s="14">
        <f t="shared" si="1"/>
        <v>1</v>
      </c>
      <c r="I54" s="14">
        <v>1</v>
      </c>
      <c r="J54" s="14">
        <v>1</v>
      </c>
      <c r="K54" s="13" t="s">
        <v>1329</v>
      </c>
      <c r="L54" s="4" t="s">
        <v>445</v>
      </c>
      <c r="M54" s="4">
        <v>278</v>
      </c>
      <c r="N54" s="4">
        <v>755</v>
      </c>
      <c r="O54" s="4">
        <v>427800</v>
      </c>
      <c r="P54" s="4">
        <v>375500</v>
      </c>
      <c r="Q54" s="14"/>
    </row>
    <row r="55" spans="1:17" ht="22.5" x14ac:dyDescent="0.25">
      <c r="A55" s="11" t="s">
        <v>2684</v>
      </c>
      <c r="B55" s="13" t="s">
        <v>126</v>
      </c>
      <c r="C55" s="62" t="s">
        <v>2938</v>
      </c>
      <c r="D55" s="13" t="s">
        <v>2943</v>
      </c>
      <c r="E55" s="13" t="s">
        <v>1749</v>
      </c>
      <c r="F55" s="14" t="s">
        <v>11</v>
      </c>
      <c r="G55" s="13"/>
      <c r="H55" s="14">
        <f t="shared" si="1"/>
        <v>2</v>
      </c>
      <c r="I55" s="14">
        <v>2</v>
      </c>
      <c r="J55" s="14">
        <v>1</v>
      </c>
      <c r="K55" s="13" t="s">
        <v>1258</v>
      </c>
      <c r="L55" s="4" t="s">
        <v>445</v>
      </c>
      <c r="M55" s="4">
        <v>2883</v>
      </c>
      <c r="N55" s="4">
        <v>7899</v>
      </c>
      <c r="O55" s="4">
        <v>428830</v>
      </c>
      <c r="P55" s="4">
        <v>378990</v>
      </c>
      <c r="Q55" s="14"/>
    </row>
    <row r="56" spans="1:17" x14ac:dyDescent="0.25">
      <c r="A56" s="11" t="s">
        <v>2684</v>
      </c>
      <c r="B56" s="13" t="s">
        <v>126</v>
      </c>
      <c r="C56" s="62" t="s">
        <v>2766</v>
      </c>
      <c r="D56" s="13" t="s">
        <v>18</v>
      </c>
      <c r="E56" s="14" t="s">
        <v>1378</v>
      </c>
      <c r="F56" s="14" t="s">
        <v>11</v>
      </c>
      <c r="G56" s="13"/>
      <c r="H56" s="14">
        <f t="shared" si="1"/>
        <v>1</v>
      </c>
      <c r="I56" s="14">
        <v>1</v>
      </c>
      <c r="J56" s="14">
        <v>1</v>
      </c>
      <c r="K56" s="13" t="s">
        <v>840</v>
      </c>
      <c r="L56" s="4" t="s">
        <v>445</v>
      </c>
      <c r="M56" s="4">
        <v>7848</v>
      </c>
      <c r="N56" s="4">
        <v>78239</v>
      </c>
      <c r="O56" s="4">
        <v>407848</v>
      </c>
      <c r="P56" s="4">
        <v>378239</v>
      </c>
      <c r="Q56" s="14"/>
    </row>
    <row r="57" spans="1:17" x14ac:dyDescent="0.25">
      <c r="A57" s="11" t="s">
        <v>2684</v>
      </c>
      <c r="B57" s="13" t="s">
        <v>126</v>
      </c>
      <c r="C57" s="62" t="s">
        <v>3023</v>
      </c>
      <c r="D57" s="13" t="s">
        <v>8</v>
      </c>
      <c r="E57" s="14" t="s">
        <v>444</v>
      </c>
      <c r="F57" s="14" t="s">
        <v>11</v>
      </c>
      <c r="G57" s="13"/>
      <c r="H57" s="14">
        <f t="shared" si="1"/>
        <v>1</v>
      </c>
      <c r="I57" s="14">
        <v>1</v>
      </c>
      <c r="J57" s="14">
        <v>1</v>
      </c>
      <c r="K57" s="13" t="s">
        <v>3022</v>
      </c>
      <c r="L57" s="4" t="s">
        <v>445</v>
      </c>
      <c r="M57" s="4">
        <v>2383</v>
      </c>
      <c r="N57" s="4">
        <v>6287</v>
      </c>
      <c r="O57" s="4">
        <v>423830</v>
      </c>
      <c r="P57" s="4">
        <v>362870</v>
      </c>
      <c r="Q57" s="14"/>
    </row>
    <row r="58" spans="1:17" x14ac:dyDescent="0.25">
      <c r="A58" s="11" t="s">
        <v>2684</v>
      </c>
      <c r="B58" s="13" t="s">
        <v>126</v>
      </c>
      <c r="C58" s="62" t="s">
        <v>3021</v>
      </c>
      <c r="D58" s="13" t="s">
        <v>8</v>
      </c>
      <c r="E58" s="14" t="s">
        <v>444</v>
      </c>
      <c r="F58" s="14" t="s">
        <v>11</v>
      </c>
      <c r="G58" s="13"/>
      <c r="H58" s="14">
        <f t="shared" si="1"/>
        <v>1</v>
      </c>
      <c r="I58" s="14">
        <v>1</v>
      </c>
      <c r="J58" s="14">
        <v>1</v>
      </c>
      <c r="K58" s="13" t="s">
        <v>1329</v>
      </c>
      <c r="L58" s="4" t="s">
        <v>445</v>
      </c>
      <c r="M58" s="4">
        <v>2255</v>
      </c>
      <c r="N58" s="4">
        <v>7900</v>
      </c>
      <c r="O58" s="4">
        <v>422550</v>
      </c>
      <c r="P58" s="4">
        <v>379000</v>
      </c>
      <c r="Q58" s="14"/>
    </row>
    <row r="59" spans="1:17" ht="22.5" x14ac:dyDescent="0.25">
      <c r="A59" s="11" t="s">
        <v>2684</v>
      </c>
      <c r="B59" s="13" t="s">
        <v>126</v>
      </c>
      <c r="C59" s="62" t="s">
        <v>2698</v>
      </c>
      <c r="D59" s="13" t="s">
        <v>41</v>
      </c>
      <c r="E59" s="14" t="s">
        <v>444</v>
      </c>
      <c r="F59" s="14" t="s">
        <v>11</v>
      </c>
      <c r="G59" s="13"/>
      <c r="H59" s="14">
        <f t="shared" si="1"/>
        <v>2</v>
      </c>
      <c r="I59" s="14">
        <v>2</v>
      </c>
      <c r="J59" s="14">
        <v>2</v>
      </c>
      <c r="K59" s="13" t="s">
        <v>2701</v>
      </c>
      <c r="L59" s="4" t="s">
        <v>445</v>
      </c>
      <c r="M59" s="4">
        <v>1238</v>
      </c>
      <c r="N59" s="4">
        <v>7104</v>
      </c>
      <c r="O59" s="4">
        <v>412380</v>
      </c>
      <c r="P59" s="4">
        <v>371040</v>
      </c>
      <c r="Q59" s="14"/>
    </row>
    <row r="60" spans="1:17" x14ac:dyDescent="0.25">
      <c r="A60" s="11" t="s">
        <v>2684</v>
      </c>
      <c r="B60" s="13" t="s">
        <v>126</v>
      </c>
      <c r="C60" s="62" t="s">
        <v>3024</v>
      </c>
      <c r="D60" s="13" t="s">
        <v>8</v>
      </c>
      <c r="E60" s="14" t="s">
        <v>444</v>
      </c>
      <c r="F60" s="14" t="s">
        <v>11</v>
      </c>
      <c r="G60" s="13"/>
      <c r="H60" s="14">
        <f t="shared" si="1"/>
        <v>1</v>
      </c>
      <c r="I60" s="14">
        <v>1</v>
      </c>
      <c r="J60" s="14">
        <v>1</v>
      </c>
      <c r="K60" s="13" t="s">
        <v>3022</v>
      </c>
      <c r="L60" s="4" t="s">
        <v>445</v>
      </c>
      <c r="M60" s="4">
        <v>2496</v>
      </c>
      <c r="N60" s="4">
        <v>7679</v>
      </c>
      <c r="O60" s="4">
        <v>424960</v>
      </c>
      <c r="P60" s="4">
        <v>376790</v>
      </c>
      <c r="Q60" s="14"/>
    </row>
    <row r="61" spans="1:17" x14ac:dyDescent="0.25">
      <c r="A61" s="11" t="s">
        <v>2684</v>
      </c>
      <c r="B61" s="13" t="s">
        <v>126</v>
      </c>
      <c r="C61" s="62" t="s">
        <v>2764</v>
      </c>
      <c r="D61" s="13" t="s">
        <v>2765</v>
      </c>
      <c r="E61" s="14" t="s">
        <v>2512</v>
      </c>
      <c r="F61" s="14" t="s">
        <v>11</v>
      </c>
      <c r="G61" s="13"/>
      <c r="H61" s="14">
        <f t="shared" si="1"/>
        <v>2</v>
      </c>
      <c r="I61" s="14">
        <v>2</v>
      </c>
      <c r="J61" s="14">
        <v>1</v>
      </c>
      <c r="K61" s="13" t="s">
        <v>840</v>
      </c>
      <c r="L61" s="4" t="s">
        <v>445</v>
      </c>
      <c r="M61" s="4">
        <v>1587</v>
      </c>
      <c r="N61" s="4">
        <v>6322</v>
      </c>
      <c r="O61" s="4">
        <v>415870</v>
      </c>
      <c r="P61" s="4">
        <v>363220</v>
      </c>
      <c r="Q61" s="14"/>
    </row>
    <row r="62" spans="1:17" x14ac:dyDescent="0.25">
      <c r="A62" s="11" t="s">
        <v>2684</v>
      </c>
      <c r="B62" s="13" t="s">
        <v>126</v>
      </c>
      <c r="C62" s="62" t="s">
        <v>2466</v>
      </c>
      <c r="D62" s="13" t="s">
        <v>90</v>
      </c>
      <c r="E62" s="14" t="s">
        <v>444</v>
      </c>
      <c r="F62" s="14" t="s">
        <v>11</v>
      </c>
      <c r="G62" s="13"/>
      <c r="H62" s="14">
        <f t="shared" si="1"/>
        <v>2</v>
      </c>
      <c r="I62" s="14">
        <v>2</v>
      </c>
      <c r="J62" s="14">
        <v>2</v>
      </c>
      <c r="K62" s="13" t="s">
        <v>2701</v>
      </c>
      <c r="L62" s="4" t="s">
        <v>445</v>
      </c>
      <c r="M62" s="4">
        <v>2315</v>
      </c>
      <c r="N62" s="4">
        <v>5804</v>
      </c>
      <c r="O62" s="4">
        <v>423150</v>
      </c>
      <c r="P62" s="4">
        <v>358040</v>
      </c>
      <c r="Q62" s="14"/>
    </row>
    <row r="63" spans="1:17" x14ac:dyDescent="0.25">
      <c r="A63" s="11" t="s">
        <v>2684</v>
      </c>
      <c r="B63" s="13" t="s">
        <v>126</v>
      </c>
      <c r="C63" s="62" t="s">
        <v>3025</v>
      </c>
      <c r="D63" s="13" t="s">
        <v>8</v>
      </c>
      <c r="E63" s="14" t="s">
        <v>444</v>
      </c>
      <c r="F63" s="14" t="s">
        <v>11</v>
      </c>
      <c r="G63" s="13"/>
      <c r="H63" s="14">
        <f t="shared" si="1"/>
        <v>1</v>
      </c>
      <c r="I63" s="14">
        <v>1</v>
      </c>
      <c r="J63" s="14">
        <v>1</v>
      </c>
      <c r="K63" s="13" t="s">
        <v>3022</v>
      </c>
      <c r="L63" s="4" t="s">
        <v>445</v>
      </c>
      <c r="M63" s="4">
        <v>221</v>
      </c>
      <c r="N63" s="4">
        <v>625</v>
      </c>
      <c r="O63" s="4">
        <v>422100</v>
      </c>
      <c r="P63" s="4">
        <v>362500</v>
      </c>
      <c r="Q63" s="14"/>
    </row>
    <row r="64" spans="1:17" ht="22.5" x14ac:dyDescent="0.25">
      <c r="A64" s="11" t="s">
        <v>2684</v>
      </c>
      <c r="B64" s="13" t="s">
        <v>126</v>
      </c>
      <c r="C64" s="62" t="s">
        <v>2697</v>
      </c>
      <c r="D64" s="13" t="s">
        <v>41</v>
      </c>
      <c r="E64" s="14" t="s">
        <v>2512</v>
      </c>
      <c r="F64" s="14" t="s">
        <v>11</v>
      </c>
      <c r="G64" s="13"/>
      <c r="H64" s="14">
        <f t="shared" si="1"/>
        <v>2</v>
      </c>
      <c r="I64" s="14">
        <v>2</v>
      </c>
      <c r="J64" s="14">
        <v>2</v>
      </c>
      <c r="K64" s="13" t="s">
        <v>2701</v>
      </c>
      <c r="L64" s="4" t="s">
        <v>445</v>
      </c>
      <c r="M64" s="4">
        <v>2093</v>
      </c>
      <c r="N64" s="4">
        <v>5728</v>
      </c>
      <c r="O64" s="4">
        <v>420930</v>
      </c>
      <c r="P64" s="4">
        <v>357280</v>
      </c>
      <c r="Q64" s="14"/>
    </row>
    <row r="65" spans="1:17" x14ac:dyDescent="0.25">
      <c r="A65" s="11" t="s">
        <v>2684</v>
      </c>
      <c r="B65" s="13" t="s">
        <v>126</v>
      </c>
      <c r="C65" s="62" t="s">
        <v>2603</v>
      </c>
      <c r="D65" s="13" t="s">
        <v>8</v>
      </c>
      <c r="E65" s="14" t="s">
        <v>444</v>
      </c>
      <c r="F65" s="14" t="s">
        <v>11</v>
      </c>
      <c r="G65" s="13"/>
      <c r="H65" s="14">
        <f t="shared" si="1"/>
        <v>1</v>
      </c>
      <c r="I65" s="14">
        <v>1</v>
      </c>
      <c r="J65" s="14">
        <v>1</v>
      </c>
      <c r="K65" s="13" t="s">
        <v>3022</v>
      </c>
      <c r="L65" s="14" t="s">
        <v>445</v>
      </c>
      <c r="M65" s="14">
        <v>249</v>
      </c>
      <c r="N65" s="14">
        <v>634</v>
      </c>
      <c r="O65" s="14">
        <v>424900</v>
      </c>
      <c r="P65" s="14">
        <v>363400</v>
      </c>
      <c r="Q65" s="14"/>
    </row>
    <row r="66" spans="1:17" ht="22.5" x14ac:dyDescent="0.25">
      <c r="A66" s="11" t="s">
        <v>2684</v>
      </c>
      <c r="B66" s="13" t="s">
        <v>126</v>
      </c>
      <c r="C66" s="62" t="s">
        <v>1762</v>
      </c>
      <c r="D66" s="13" t="s">
        <v>616</v>
      </c>
      <c r="E66" s="14" t="s">
        <v>1763</v>
      </c>
      <c r="F66" s="14" t="s">
        <v>11</v>
      </c>
      <c r="G66" s="13"/>
      <c r="H66" s="14">
        <f t="shared" ref="H66:H97" si="2">G66+I66</f>
        <v>1</v>
      </c>
      <c r="I66" s="14">
        <v>1</v>
      </c>
      <c r="J66" s="14">
        <v>1</v>
      </c>
      <c r="K66" s="13" t="s">
        <v>1036</v>
      </c>
      <c r="L66" s="4" t="s">
        <v>445</v>
      </c>
      <c r="M66" s="4">
        <v>365</v>
      </c>
      <c r="N66" s="4">
        <v>294</v>
      </c>
      <c r="O66" s="4">
        <v>436500</v>
      </c>
      <c r="P66" s="4">
        <v>329400</v>
      </c>
    </row>
    <row r="67" spans="1:17" ht="22.5" x14ac:dyDescent="0.25">
      <c r="A67" s="11" t="s">
        <v>2684</v>
      </c>
      <c r="B67" s="13" t="s">
        <v>126</v>
      </c>
      <c r="C67" s="62" t="s">
        <v>2667</v>
      </c>
      <c r="D67" s="13" t="s">
        <v>616</v>
      </c>
      <c r="E67" s="14" t="s">
        <v>2668</v>
      </c>
      <c r="F67" s="14" t="s">
        <v>11</v>
      </c>
      <c r="G67" s="13"/>
      <c r="H67" s="14">
        <f t="shared" si="2"/>
        <v>1</v>
      </c>
      <c r="I67" s="14">
        <v>1</v>
      </c>
      <c r="J67" s="14">
        <v>1</v>
      </c>
      <c r="K67" s="13" t="s">
        <v>1036</v>
      </c>
      <c r="L67" s="4" t="s">
        <v>445</v>
      </c>
      <c r="M67" s="4">
        <v>288</v>
      </c>
      <c r="N67" s="4">
        <v>278</v>
      </c>
      <c r="O67" s="4">
        <v>428800</v>
      </c>
      <c r="P67" s="4">
        <v>327800</v>
      </c>
    </row>
    <row r="68" spans="1:17" x14ac:dyDescent="0.25">
      <c r="A68" s="11" t="s">
        <v>2684</v>
      </c>
      <c r="B68" s="13" t="s">
        <v>191</v>
      </c>
      <c r="C68" s="62" t="s">
        <v>3086</v>
      </c>
      <c r="D68" s="13" t="s">
        <v>1153</v>
      </c>
      <c r="E68" s="14" t="s">
        <v>3087</v>
      </c>
      <c r="F68" s="14" t="s">
        <v>11</v>
      </c>
      <c r="G68" s="13"/>
      <c r="H68" s="14">
        <f t="shared" si="2"/>
        <v>1</v>
      </c>
      <c r="I68" s="14">
        <v>1</v>
      </c>
      <c r="J68" s="14">
        <v>1</v>
      </c>
      <c r="K68" s="13" t="s">
        <v>3084</v>
      </c>
      <c r="L68" s="14" t="s">
        <v>520</v>
      </c>
      <c r="M68" s="14">
        <v>596</v>
      </c>
      <c r="N68" s="14">
        <v>796</v>
      </c>
      <c r="O68" s="14">
        <v>259600</v>
      </c>
      <c r="P68" s="14">
        <v>79600</v>
      </c>
    </row>
    <row r="69" spans="1:17" x14ac:dyDescent="0.25">
      <c r="A69" s="11" t="s">
        <v>2684</v>
      </c>
      <c r="B69" s="13" t="s">
        <v>191</v>
      </c>
      <c r="C69" s="62" t="s">
        <v>3100</v>
      </c>
      <c r="D69" s="13" t="s">
        <v>121</v>
      </c>
      <c r="E69" s="14" t="s">
        <v>3101</v>
      </c>
      <c r="F69" s="14" t="s">
        <v>11</v>
      </c>
      <c r="G69" s="13"/>
      <c r="H69" s="14">
        <f t="shared" si="2"/>
        <v>1</v>
      </c>
      <c r="I69" s="14">
        <v>1</v>
      </c>
      <c r="J69" s="14">
        <v>1</v>
      </c>
      <c r="K69" s="13" t="s">
        <v>1552</v>
      </c>
      <c r="L69" s="14" t="s">
        <v>520</v>
      </c>
      <c r="M69" s="14">
        <v>6555</v>
      </c>
      <c r="N69" s="14">
        <v>5970</v>
      </c>
      <c r="O69" s="14">
        <v>265550</v>
      </c>
      <c r="P69" s="14">
        <v>59700</v>
      </c>
    </row>
    <row r="70" spans="1:17" x14ac:dyDescent="0.25">
      <c r="A70" s="11" t="s">
        <v>2684</v>
      </c>
      <c r="B70" s="13" t="s">
        <v>191</v>
      </c>
      <c r="C70" s="62" t="s">
        <v>2976</v>
      </c>
      <c r="D70" s="13" t="s">
        <v>2977</v>
      </c>
      <c r="E70" s="14" t="s">
        <v>43</v>
      </c>
      <c r="F70" s="14" t="s">
        <v>11</v>
      </c>
      <c r="G70" s="13"/>
      <c r="H70" s="14">
        <f t="shared" si="2"/>
        <v>1</v>
      </c>
      <c r="I70" s="14">
        <v>1</v>
      </c>
      <c r="J70" s="14">
        <v>1</v>
      </c>
      <c r="K70" s="13" t="s">
        <v>1521</v>
      </c>
      <c r="L70" s="14" t="s">
        <v>520</v>
      </c>
      <c r="M70" s="14">
        <v>6387</v>
      </c>
      <c r="N70" s="14">
        <v>8313</v>
      </c>
      <c r="O70" s="14">
        <v>263870</v>
      </c>
      <c r="P70" s="14">
        <v>83130</v>
      </c>
    </row>
    <row r="71" spans="1:17" x14ac:dyDescent="0.25">
      <c r="A71" s="11" t="s">
        <v>2684</v>
      </c>
      <c r="B71" s="13" t="s">
        <v>191</v>
      </c>
      <c r="C71" s="62" t="s">
        <v>1439</v>
      </c>
      <c r="D71" s="13" t="s">
        <v>39</v>
      </c>
      <c r="E71" s="14" t="s">
        <v>1440</v>
      </c>
      <c r="F71" s="14" t="s">
        <v>11</v>
      </c>
      <c r="G71" s="13"/>
      <c r="H71" s="14">
        <f t="shared" si="2"/>
        <v>2</v>
      </c>
      <c r="I71" s="14">
        <v>2</v>
      </c>
      <c r="J71" s="14">
        <v>1</v>
      </c>
      <c r="K71" s="13" t="s">
        <v>1005</v>
      </c>
      <c r="L71" s="14" t="s">
        <v>520</v>
      </c>
      <c r="M71" s="14">
        <v>8757</v>
      </c>
      <c r="N71" s="14">
        <v>8607</v>
      </c>
      <c r="O71" s="14">
        <v>287570</v>
      </c>
      <c r="P71" s="14">
        <v>86070</v>
      </c>
    </row>
    <row r="72" spans="1:17" ht="22.5" x14ac:dyDescent="0.25">
      <c r="A72" s="11" t="s">
        <v>2684</v>
      </c>
      <c r="B72" s="13" t="s">
        <v>191</v>
      </c>
      <c r="C72" s="62" t="s">
        <v>192</v>
      </c>
      <c r="D72" s="13" t="s">
        <v>92</v>
      </c>
      <c r="E72" s="14" t="s">
        <v>194</v>
      </c>
      <c r="F72" s="14" t="s">
        <v>11</v>
      </c>
      <c r="G72" s="13"/>
      <c r="H72" s="14">
        <f t="shared" si="2"/>
        <v>2</v>
      </c>
      <c r="I72" s="14">
        <v>2</v>
      </c>
      <c r="J72" s="14">
        <v>1</v>
      </c>
      <c r="K72" s="13" t="s">
        <v>224</v>
      </c>
      <c r="L72" s="14" t="s">
        <v>119</v>
      </c>
      <c r="M72" s="14">
        <v>112</v>
      </c>
      <c r="N72" s="14">
        <v>30</v>
      </c>
      <c r="O72" s="14">
        <v>311200</v>
      </c>
      <c r="P72" s="14">
        <v>103000</v>
      </c>
    </row>
    <row r="73" spans="1:17" ht="33.75" x14ac:dyDescent="0.25">
      <c r="A73" s="11" t="s">
        <v>2684</v>
      </c>
      <c r="B73" s="13" t="s">
        <v>191</v>
      </c>
      <c r="C73" s="62" t="s">
        <v>1378</v>
      </c>
      <c r="D73" s="13" t="s">
        <v>2675</v>
      </c>
      <c r="E73" s="14" t="s">
        <v>194</v>
      </c>
      <c r="F73" s="14" t="s">
        <v>11</v>
      </c>
      <c r="G73" s="13"/>
      <c r="H73" s="14">
        <f t="shared" si="2"/>
        <v>1</v>
      </c>
      <c r="I73" s="14">
        <v>1</v>
      </c>
      <c r="J73" s="14">
        <v>1</v>
      </c>
      <c r="K73" s="13" t="s">
        <v>224</v>
      </c>
      <c r="L73" s="14" t="s">
        <v>189</v>
      </c>
      <c r="M73" s="14">
        <v>10338</v>
      </c>
      <c r="N73" s="14">
        <v>85939</v>
      </c>
      <c r="O73" s="14">
        <v>310338</v>
      </c>
      <c r="P73" s="14">
        <v>85939</v>
      </c>
    </row>
    <row r="74" spans="1:17" x14ac:dyDescent="0.25">
      <c r="A74" s="11" t="s">
        <v>2684</v>
      </c>
      <c r="B74" s="13" t="s">
        <v>191</v>
      </c>
      <c r="C74" s="62" t="s">
        <v>2648</v>
      </c>
      <c r="D74" s="13" t="s">
        <v>39</v>
      </c>
      <c r="E74" s="14" t="s">
        <v>2649</v>
      </c>
      <c r="F74" s="14" t="s">
        <v>11</v>
      </c>
      <c r="G74" s="13"/>
      <c r="H74" s="14">
        <f t="shared" si="2"/>
        <v>1</v>
      </c>
      <c r="I74" s="14">
        <v>1</v>
      </c>
      <c r="J74" s="14">
        <v>1</v>
      </c>
      <c r="K74" s="13" t="s">
        <v>958</v>
      </c>
      <c r="L74" s="14" t="s">
        <v>520</v>
      </c>
      <c r="M74" s="14">
        <v>5693</v>
      </c>
      <c r="N74" s="14">
        <v>6527</v>
      </c>
      <c r="O74" s="14">
        <v>256930</v>
      </c>
      <c r="P74" s="14">
        <v>65270</v>
      </c>
    </row>
    <row r="75" spans="1:17" x14ac:dyDescent="0.25">
      <c r="A75" s="11" t="s">
        <v>2684</v>
      </c>
      <c r="B75" s="13" t="s">
        <v>191</v>
      </c>
      <c r="C75" s="62" t="s">
        <v>3083</v>
      </c>
      <c r="D75" s="13" t="s">
        <v>1153</v>
      </c>
      <c r="E75" s="14" t="s">
        <v>43</v>
      </c>
      <c r="F75" s="14" t="s">
        <v>11</v>
      </c>
      <c r="G75" s="13"/>
      <c r="H75" s="14">
        <f t="shared" si="2"/>
        <v>1</v>
      </c>
      <c r="I75" s="14">
        <v>1</v>
      </c>
      <c r="J75" s="14">
        <v>1</v>
      </c>
      <c r="K75" s="13" t="s">
        <v>3084</v>
      </c>
      <c r="L75" s="14" t="s">
        <v>596</v>
      </c>
      <c r="M75" s="14">
        <v>7051</v>
      </c>
      <c r="N75" s="14">
        <v>4307</v>
      </c>
      <c r="O75" s="14">
        <v>270510</v>
      </c>
      <c r="P75" s="14">
        <v>143070</v>
      </c>
    </row>
    <row r="76" spans="1:17" x14ac:dyDescent="0.25">
      <c r="A76" s="11" t="s">
        <v>2684</v>
      </c>
      <c r="B76" s="13" t="s">
        <v>191</v>
      </c>
      <c r="C76" s="62" t="s">
        <v>2974</v>
      </c>
      <c r="D76" s="13" t="s">
        <v>2975</v>
      </c>
      <c r="E76" s="14" t="s">
        <v>43</v>
      </c>
      <c r="F76" s="14" t="s">
        <v>11</v>
      </c>
      <c r="G76" s="13"/>
      <c r="H76" s="14">
        <f t="shared" si="2"/>
        <v>1</v>
      </c>
      <c r="I76" s="14">
        <v>1</v>
      </c>
      <c r="J76" s="14">
        <v>1</v>
      </c>
      <c r="K76" s="13" t="s">
        <v>1521</v>
      </c>
      <c r="L76" s="14" t="s">
        <v>520</v>
      </c>
      <c r="M76" s="14">
        <v>5545</v>
      </c>
      <c r="N76" s="14">
        <v>7479</v>
      </c>
      <c r="O76" s="14">
        <v>255450</v>
      </c>
      <c r="P76" s="14">
        <v>74790</v>
      </c>
    </row>
    <row r="77" spans="1:17" x14ac:dyDescent="0.25">
      <c r="A77" s="11" t="s">
        <v>2684</v>
      </c>
      <c r="B77" s="13" t="s">
        <v>191</v>
      </c>
      <c r="C77" s="62" t="s">
        <v>519</v>
      </c>
      <c r="D77" s="13" t="s">
        <v>121</v>
      </c>
      <c r="E77" s="14" t="s">
        <v>43</v>
      </c>
      <c r="F77" s="14" t="s">
        <v>11</v>
      </c>
      <c r="G77" s="13"/>
      <c r="H77" s="14">
        <f t="shared" si="2"/>
        <v>1</v>
      </c>
      <c r="I77" s="14">
        <v>1</v>
      </c>
      <c r="J77" s="14">
        <v>1</v>
      </c>
      <c r="K77" s="13" t="s">
        <v>1552</v>
      </c>
      <c r="L77" s="14" t="s">
        <v>520</v>
      </c>
      <c r="M77" s="14">
        <v>5545</v>
      </c>
      <c r="N77" s="14">
        <v>7479</v>
      </c>
      <c r="O77" s="14">
        <v>255450</v>
      </c>
      <c r="P77" s="14">
        <v>74790</v>
      </c>
    </row>
    <row r="78" spans="1:17" x14ac:dyDescent="0.25">
      <c r="A78" s="11" t="s">
        <v>2684</v>
      </c>
      <c r="B78" s="13" t="s">
        <v>191</v>
      </c>
      <c r="C78" s="62" t="s">
        <v>3088</v>
      </c>
      <c r="D78" s="13" t="s">
        <v>1153</v>
      </c>
      <c r="E78" s="14" t="s">
        <v>3089</v>
      </c>
      <c r="F78" s="14" t="s">
        <v>11</v>
      </c>
      <c r="G78" s="13"/>
      <c r="H78" s="14">
        <f t="shared" si="2"/>
        <v>1</v>
      </c>
      <c r="I78" s="14">
        <v>1</v>
      </c>
      <c r="J78" s="14">
        <v>1</v>
      </c>
      <c r="K78" s="13" t="s">
        <v>3084</v>
      </c>
      <c r="L78" s="14" t="s">
        <v>596</v>
      </c>
      <c r="M78" s="14">
        <v>5531</v>
      </c>
      <c r="N78" s="14">
        <v>3420</v>
      </c>
      <c r="O78" s="14">
        <v>255310</v>
      </c>
      <c r="P78" s="14">
        <v>134200</v>
      </c>
    </row>
    <row r="79" spans="1:17" x14ac:dyDescent="0.25">
      <c r="A79" s="11" t="s">
        <v>2684</v>
      </c>
      <c r="B79" s="13" t="s">
        <v>191</v>
      </c>
      <c r="C79" s="62" t="s">
        <v>2973</v>
      </c>
      <c r="D79" s="13" t="s">
        <v>8</v>
      </c>
      <c r="E79" s="14" t="s">
        <v>43</v>
      </c>
      <c r="F79" s="14" t="s">
        <v>11</v>
      </c>
      <c r="G79" s="13"/>
      <c r="H79" s="14">
        <f t="shared" si="2"/>
        <v>2</v>
      </c>
      <c r="I79" s="14">
        <v>2</v>
      </c>
      <c r="J79" s="14">
        <v>1</v>
      </c>
      <c r="K79" s="13" t="s">
        <v>1521</v>
      </c>
      <c r="L79" s="14" t="s">
        <v>520</v>
      </c>
      <c r="M79" s="14">
        <v>6546</v>
      </c>
      <c r="N79" s="14">
        <v>8738</v>
      </c>
      <c r="O79" s="14">
        <v>265460</v>
      </c>
      <c r="P79" s="14">
        <v>87380</v>
      </c>
    </row>
    <row r="80" spans="1:17" ht="33.75" x14ac:dyDescent="0.25">
      <c r="A80" s="11" t="s">
        <v>2684</v>
      </c>
      <c r="B80" s="13" t="s">
        <v>191</v>
      </c>
      <c r="C80" s="61" t="s">
        <v>3102</v>
      </c>
      <c r="D80" s="13" t="s">
        <v>121</v>
      </c>
      <c r="E80" s="14" t="s">
        <v>3101</v>
      </c>
      <c r="F80" s="14" t="s">
        <v>11</v>
      </c>
      <c r="G80" s="13"/>
      <c r="H80" s="14">
        <f t="shared" si="2"/>
        <v>1</v>
      </c>
      <c r="I80" s="14">
        <v>1</v>
      </c>
      <c r="J80" s="14">
        <v>1</v>
      </c>
      <c r="K80" s="13" t="s">
        <v>1552</v>
      </c>
      <c r="L80" s="14" t="s">
        <v>520</v>
      </c>
      <c r="M80" s="14">
        <v>632</v>
      </c>
      <c r="N80" s="14">
        <v>623</v>
      </c>
      <c r="O80" s="14">
        <v>263200</v>
      </c>
      <c r="P80" s="14">
        <v>62300</v>
      </c>
    </row>
    <row r="81" spans="1:17" ht="33.75" x14ac:dyDescent="0.25">
      <c r="A81" s="11" t="s">
        <v>2684</v>
      </c>
      <c r="B81" s="13" t="s">
        <v>68</v>
      </c>
      <c r="C81" s="62" t="s">
        <v>2924</v>
      </c>
      <c r="D81" s="13" t="s">
        <v>2925</v>
      </c>
      <c r="E81" s="14" t="s">
        <v>2628</v>
      </c>
      <c r="F81" s="14" t="s">
        <v>11</v>
      </c>
      <c r="G81" s="13"/>
      <c r="H81" s="14">
        <f t="shared" si="2"/>
        <v>1</v>
      </c>
      <c r="I81" s="14">
        <v>1</v>
      </c>
      <c r="J81" s="14">
        <v>1</v>
      </c>
      <c r="K81" s="13" t="s">
        <v>1252</v>
      </c>
      <c r="L81" s="14" t="s">
        <v>697</v>
      </c>
      <c r="M81" s="14">
        <v>227</v>
      </c>
      <c r="N81" s="14">
        <v>9545</v>
      </c>
      <c r="O81" s="14">
        <v>402270</v>
      </c>
      <c r="P81" s="14">
        <v>95450</v>
      </c>
    </row>
    <row r="82" spans="1:17" ht="22.5" x14ac:dyDescent="0.25">
      <c r="A82" s="11" t="s">
        <v>2684</v>
      </c>
      <c r="B82" s="13" t="s">
        <v>68</v>
      </c>
      <c r="C82" s="62" t="s">
        <v>856</v>
      </c>
      <c r="D82" s="13" t="s">
        <v>859</v>
      </c>
      <c r="E82" s="14" t="s">
        <v>857</v>
      </c>
      <c r="F82" s="14" t="s">
        <v>11</v>
      </c>
      <c r="G82" s="13"/>
      <c r="H82" s="14">
        <f t="shared" si="2"/>
        <v>1</v>
      </c>
      <c r="I82" s="14">
        <v>1</v>
      </c>
      <c r="J82" s="14">
        <v>1</v>
      </c>
      <c r="K82" s="13" t="s">
        <v>2901</v>
      </c>
      <c r="L82" s="14" t="s">
        <v>119</v>
      </c>
      <c r="M82" s="14">
        <v>956</v>
      </c>
      <c r="N82" s="14">
        <v>106</v>
      </c>
      <c r="O82" s="14">
        <v>395600</v>
      </c>
      <c r="P82" s="14">
        <v>110600</v>
      </c>
    </row>
    <row r="83" spans="1:17" ht="22.5" x14ac:dyDescent="0.25">
      <c r="A83" s="11" t="s">
        <v>2684</v>
      </c>
      <c r="B83" s="13" t="s">
        <v>68</v>
      </c>
      <c r="C83" s="62" t="s">
        <v>2923</v>
      </c>
      <c r="D83" s="13" t="s">
        <v>2918</v>
      </c>
      <c r="E83" s="14" t="s">
        <v>857</v>
      </c>
      <c r="F83" s="14" t="s">
        <v>11</v>
      </c>
      <c r="G83" s="13"/>
      <c r="H83" s="14">
        <f t="shared" si="2"/>
        <v>1</v>
      </c>
      <c r="I83" s="14">
        <v>1</v>
      </c>
      <c r="J83" s="14">
        <v>1</v>
      </c>
      <c r="K83" s="13" t="s">
        <v>1252</v>
      </c>
      <c r="L83" s="14" t="s">
        <v>119</v>
      </c>
      <c r="M83" s="14">
        <v>9589</v>
      </c>
      <c r="N83" s="14">
        <v>1056</v>
      </c>
      <c r="O83" s="14">
        <v>395890</v>
      </c>
      <c r="P83" s="14">
        <v>110560</v>
      </c>
    </row>
    <row r="84" spans="1:17" x14ac:dyDescent="0.25">
      <c r="A84" s="11" t="s">
        <v>2684</v>
      </c>
      <c r="B84" s="13" t="s">
        <v>68</v>
      </c>
      <c r="C84" s="62" t="s">
        <v>381</v>
      </c>
      <c r="D84" s="13" t="s">
        <v>20</v>
      </c>
      <c r="E84" s="14" t="s">
        <v>314</v>
      </c>
      <c r="F84" s="14" t="s">
        <v>11</v>
      </c>
      <c r="G84" s="13">
        <v>1</v>
      </c>
      <c r="H84" s="14">
        <f t="shared" si="2"/>
        <v>5</v>
      </c>
      <c r="I84" s="14">
        <v>4</v>
      </c>
      <c r="J84" s="14">
        <v>3</v>
      </c>
      <c r="K84" s="13" t="s">
        <v>1116</v>
      </c>
      <c r="L84" s="14" t="s">
        <v>110</v>
      </c>
      <c r="M84" s="14">
        <v>17</v>
      </c>
      <c r="N84" s="14">
        <v>160</v>
      </c>
      <c r="O84" s="14">
        <v>401700</v>
      </c>
      <c r="P84" s="14">
        <v>116000</v>
      </c>
    </row>
    <row r="85" spans="1:17" ht="22.5" x14ac:dyDescent="0.25">
      <c r="A85" s="11" t="s">
        <v>2684</v>
      </c>
      <c r="B85" s="13" t="s">
        <v>68</v>
      </c>
      <c r="C85" s="61" t="s">
        <v>2902</v>
      </c>
      <c r="D85" s="13" t="s">
        <v>90</v>
      </c>
      <c r="E85" s="14" t="s">
        <v>2903</v>
      </c>
      <c r="F85" s="14" t="s">
        <v>11</v>
      </c>
      <c r="G85" s="13"/>
      <c r="H85" s="14">
        <f t="shared" si="2"/>
        <v>2</v>
      </c>
      <c r="I85" s="14">
        <v>2</v>
      </c>
      <c r="J85" s="14">
        <v>2</v>
      </c>
      <c r="K85" s="13" t="s">
        <v>2904</v>
      </c>
      <c r="L85" s="14" t="s">
        <v>697</v>
      </c>
      <c r="M85" s="14">
        <v>72</v>
      </c>
      <c r="N85" s="14">
        <v>985</v>
      </c>
      <c r="O85" s="14">
        <v>407200</v>
      </c>
      <c r="P85" s="14">
        <v>98500</v>
      </c>
    </row>
    <row r="86" spans="1:17" x14ac:dyDescent="0.25">
      <c r="A86" s="11" t="s">
        <v>2684</v>
      </c>
      <c r="B86" s="13" t="s">
        <v>68</v>
      </c>
      <c r="C86" s="61" t="s">
        <v>735</v>
      </c>
      <c r="D86" s="13" t="s">
        <v>26</v>
      </c>
      <c r="E86" s="13" t="s">
        <v>2682</v>
      </c>
      <c r="F86" s="14" t="s">
        <v>11</v>
      </c>
      <c r="G86" s="13"/>
      <c r="H86" s="14">
        <f t="shared" si="2"/>
        <v>1</v>
      </c>
      <c r="I86" s="14">
        <v>1</v>
      </c>
      <c r="J86" s="14">
        <v>1</v>
      </c>
      <c r="K86" s="13" t="s">
        <v>264</v>
      </c>
      <c r="L86" s="14" t="s">
        <v>145</v>
      </c>
      <c r="M86" s="14">
        <v>584</v>
      </c>
      <c r="N86" s="14">
        <v>871</v>
      </c>
      <c r="O86" s="14">
        <v>358400</v>
      </c>
      <c r="P86" s="14">
        <v>87100</v>
      </c>
    </row>
    <row r="87" spans="1:17" ht="22.5" x14ac:dyDescent="0.25">
      <c r="A87" s="11" t="s">
        <v>2684</v>
      </c>
      <c r="B87" s="13" t="s">
        <v>68</v>
      </c>
      <c r="C87" s="62" t="s">
        <v>117</v>
      </c>
      <c r="D87" s="13" t="s">
        <v>92</v>
      </c>
      <c r="E87" s="14" t="s">
        <v>118</v>
      </c>
      <c r="F87" s="14" t="s">
        <v>11</v>
      </c>
      <c r="G87" s="13"/>
      <c r="H87" s="14">
        <f t="shared" si="2"/>
        <v>2</v>
      </c>
      <c r="I87" s="14">
        <v>2</v>
      </c>
      <c r="J87" s="14">
        <v>2</v>
      </c>
      <c r="K87" s="13" t="s">
        <v>687</v>
      </c>
      <c r="L87" s="14" t="s">
        <v>119</v>
      </c>
      <c r="M87" s="14">
        <v>8492</v>
      </c>
      <c r="N87" s="14">
        <v>1226</v>
      </c>
      <c r="O87" s="14">
        <v>384920</v>
      </c>
      <c r="P87" s="14">
        <v>112260</v>
      </c>
      <c r="Q87" s="14"/>
    </row>
    <row r="88" spans="1:17" x14ac:dyDescent="0.25">
      <c r="A88" s="11" t="s">
        <v>2684</v>
      </c>
      <c r="B88" s="13" t="s">
        <v>68</v>
      </c>
      <c r="C88" s="62" t="s">
        <v>2992</v>
      </c>
      <c r="D88" s="13" t="s">
        <v>8</v>
      </c>
      <c r="E88" s="14" t="s">
        <v>2993</v>
      </c>
      <c r="F88" s="14" t="s">
        <v>11</v>
      </c>
      <c r="G88" s="13"/>
      <c r="H88" s="14">
        <f t="shared" si="2"/>
        <v>1</v>
      </c>
      <c r="I88" s="14">
        <v>1</v>
      </c>
      <c r="J88" s="14">
        <v>1</v>
      </c>
      <c r="K88" s="13" t="s">
        <v>1322</v>
      </c>
      <c r="L88" s="14" t="s">
        <v>145</v>
      </c>
      <c r="M88" s="14">
        <v>596</v>
      </c>
      <c r="N88" s="14">
        <v>865</v>
      </c>
      <c r="O88" s="14">
        <v>359600</v>
      </c>
      <c r="P88" s="14">
        <v>86500</v>
      </c>
      <c r="Q88" s="14"/>
    </row>
    <row r="89" spans="1:17" x14ac:dyDescent="0.25">
      <c r="A89" s="11" t="s">
        <v>2684</v>
      </c>
      <c r="B89" s="13" t="s">
        <v>68</v>
      </c>
      <c r="C89" s="62" t="s">
        <v>2596</v>
      </c>
      <c r="D89" s="13" t="s">
        <v>8</v>
      </c>
      <c r="E89" s="14" t="s">
        <v>198</v>
      </c>
      <c r="F89" s="14" t="s">
        <v>11</v>
      </c>
      <c r="G89" s="13"/>
      <c r="H89" s="14">
        <f t="shared" si="2"/>
        <v>1</v>
      </c>
      <c r="I89" s="14">
        <v>1</v>
      </c>
      <c r="J89" s="14">
        <v>1</v>
      </c>
      <c r="K89" s="13" t="s">
        <v>1322</v>
      </c>
      <c r="L89" s="14" t="s">
        <v>145</v>
      </c>
      <c r="M89" s="14">
        <v>57783</v>
      </c>
      <c r="N89" s="14">
        <v>87824</v>
      </c>
      <c r="O89" s="14">
        <v>357783</v>
      </c>
      <c r="P89" s="14">
        <v>87824</v>
      </c>
      <c r="Q89" s="14"/>
    </row>
    <row r="90" spans="1:17" x14ac:dyDescent="0.25">
      <c r="A90" s="11" t="s">
        <v>2684</v>
      </c>
      <c r="B90" s="13" t="s">
        <v>68</v>
      </c>
      <c r="C90" s="62" t="s">
        <v>2434</v>
      </c>
      <c r="D90" s="13" t="s">
        <v>2435</v>
      </c>
      <c r="E90" s="14" t="s">
        <v>314</v>
      </c>
      <c r="F90" s="14" t="s">
        <v>11</v>
      </c>
      <c r="G90" s="13"/>
      <c r="H90" s="14">
        <f t="shared" si="2"/>
        <v>2</v>
      </c>
      <c r="I90" s="14">
        <v>2</v>
      </c>
      <c r="J90" s="14">
        <v>1</v>
      </c>
      <c r="K90" s="13" t="s">
        <v>2833</v>
      </c>
      <c r="L90" s="14" t="s">
        <v>110</v>
      </c>
      <c r="M90" s="14">
        <v>24</v>
      </c>
      <c r="N90" s="14">
        <v>102</v>
      </c>
      <c r="O90" s="14">
        <v>402400</v>
      </c>
      <c r="P90" s="14">
        <v>110200</v>
      </c>
    </row>
    <row r="91" spans="1:17" x14ac:dyDescent="0.25">
      <c r="A91" s="11" t="s">
        <v>2684</v>
      </c>
      <c r="B91" s="13" t="s">
        <v>68</v>
      </c>
      <c r="C91" s="62" t="s">
        <v>2838</v>
      </c>
      <c r="D91" s="13" t="s">
        <v>2435</v>
      </c>
      <c r="E91" s="14" t="s">
        <v>314</v>
      </c>
      <c r="F91" s="14" t="s">
        <v>11</v>
      </c>
      <c r="G91" s="13"/>
      <c r="H91" s="14">
        <f t="shared" si="2"/>
        <v>1</v>
      </c>
      <c r="I91" s="14">
        <v>1</v>
      </c>
      <c r="J91" s="14">
        <v>1</v>
      </c>
      <c r="K91" s="13" t="s">
        <v>2833</v>
      </c>
      <c r="L91" s="14" t="s">
        <v>110</v>
      </c>
      <c r="M91" s="14">
        <v>24</v>
      </c>
      <c r="N91" s="14">
        <v>102</v>
      </c>
      <c r="O91" s="14">
        <v>402400</v>
      </c>
      <c r="P91" s="14">
        <v>110200</v>
      </c>
    </row>
    <row r="92" spans="1:17" x14ac:dyDescent="0.25">
      <c r="A92" s="11" t="s">
        <v>2684</v>
      </c>
      <c r="B92" s="13" t="s">
        <v>68</v>
      </c>
      <c r="C92" s="62" t="s">
        <v>2839</v>
      </c>
      <c r="D92" s="13" t="s">
        <v>2435</v>
      </c>
      <c r="E92" s="14" t="s">
        <v>314</v>
      </c>
      <c r="F92" s="14" t="s">
        <v>11</v>
      </c>
      <c r="G92" s="13"/>
      <c r="H92" s="14">
        <f t="shared" si="2"/>
        <v>1</v>
      </c>
      <c r="I92" s="14">
        <v>1</v>
      </c>
      <c r="J92" s="14">
        <v>1</v>
      </c>
      <c r="K92" s="13" t="s">
        <v>2833</v>
      </c>
      <c r="L92" s="14" t="s">
        <v>110</v>
      </c>
      <c r="M92" s="14">
        <v>24</v>
      </c>
      <c r="N92" s="14">
        <v>102</v>
      </c>
      <c r="O92" s="14">
        <v>402400</v>
      </c>
      <c r="P92" s="14">
        <v>110200</v>
      </c>
    </row>
    <row r="93" spans="1:17" x14ac:dyDescent="0.25">
      <c r="A93" s="11" t="s">
        <v>2684</v>
      </c>
      <c r="B93" s="13" t="s">
        <v>68</v>
      </c>
      <c r="C93" s="62" t="s">
        <v>2837</v>
      </c>
      <c r="D93" s="13" t="s">
        <v>2435</v>
      </c>
      <c r="E93" s="14" t="s">
        <v>314</v>
      </c>
      <c r="F93" s="14" t="s">
        <v>11</v>
      </c>
      <c r="G93" s="13"/>
      <c r="H93" s="14">
        <f t="shared" si="2"/>
        <v>1</v>
      </c>
      <c r="I93" s="14">
        <v>1</v>
      </c>
      <c r="J93" s="14">
        <v>1</v>
      </c>
      <c r="K93" s="13" t="s">
        <v>2833</v>
      </c>
      <c r="L93" s="14" t="s">
        <v>110</v>
      </c>
      <c r="M93" s="14">
        <v>24</v>
      </c>
      <c r="N93" s="14">
        <v>102</v>
      </c>
      <c r="O93" s="14">
        <v>402400</v>
      </c>
      <c r="P93" s="14">
        <v>110200</v>
      </c>
    </row>
    <row r="94" spans="1:17" ht="22.5" x14ac:dyDescent="0.25">
      <c r="A94" s="11" t="s">
        <v>2684</v>
      </c>
      <c r="B94" s="13" t="s">
        <v>68</v>
      </c>
      <c r="C94" s="62" t="s">
        <v>197</v>
      </c>
      <c r="D94" s="13" t="s">
        <v>92</v>
      </c>
      <c r="E94" s="14" t="s">
        <v>198</v>
      </c>
      <c r="F94" s="14" t="s">
        <v>11</v>
      </c>
      <c r="G94" s="13"/>
      <c r="H94" s="14">
        <f t="shared" si="2"/>
        <v>3</v>
      </c>
      <c r="I94" s="14">
        <v>3</v>
      </c>
      <c r="J94" s="14">
        <v>3</v>
      </c>
      <c r="K94" s="13" t="s">
        <v>2676</v>
      </c>
      <c r="L94" s="14" t="s">
        <v>145</v>
      </c>
      <c r="M94" s="14">
        <v>6693</v>
      </c>
      <c r="N94" s="14">
        <v>8848</v>
      </c>
      <c r="O94" s="14">
        <v>366930</v>
      </c>
      <c r="P94" s="14">
        <v>88480</v>
      </c>
      <c r="Q94" s="14"/>
    </row>
    <row r="95" spans="1:17" ht="22.5" x14ac:dyDescent="0.25">
      <c r="A95" s="11" t="s">
        <v>2684</v>
      </c>
      <c r="B95" s="13" t="s">
        <v>68</v>
      </c>
      <c r="C95" s="61" t="s">
        <v>702</v>
      </c>
      <c r="D95" s="13" t="s">
        <v>26</v>
      </c>
      <c r="E95" s="13" t="s">
        <v>703</v>
      </c>
      <c r="F95" s="14" t="s">
        <v>11</v>
      </c>
      <c r="G95" s="13">
        <v>1</v>
      </c>
      <c r="H95" s="14">
        <f t="shared" si="2"/>
        <v>3</v>
      </c>
      <c r="I95" s="14">
        <v>2</v>
      </c>
      <c r="J95" s="14">
        <v>2</v>
      </c>
      <c r="K95" s="13" t="s">
        <v>340</v>
      </c>
      <c r="L95" s="14" t="s">
        <v>145</v>
      </c>
      <c r="M95" s="14">
        <v>6651</v>
      </c>
      <c r="N95" s="14">
        <v>8879</v>
      </c>
      <c r="O95" s="14">
        <v>366510</v>
      </c>
      <c r="P95" s="14">
        <v>88790</v>
      </c>
      <c r="Q95" s="14"/>
    </row>
    <row r="96" spans="1:17" x14ac:dyDescent="0.25">
      <c r="A96" s="11" t="s">
        <v>2684</v>
      </c>
      <c r="B96" s="13" t="s">
        <v>68</v>
      </c>
      <c r="C96" s="61" t="s">
        <v>2109</v>
      </c>
      <c r="D96" s="13" t="s">
        <v>18</v>
      </c>
      <c r="E96" s="13" t="s">
        <v>198</v>
      </c>
      <c r="F96" s="14" t="s">
        <v>11</v>
      </c>
      <c r="G96" s="13"/>
      <c r="H96" s="14">
        <f t="shared" si="2"/>
        <v>3</v>
      </c>
      <c r="I96" s="14">
        <v>3</v>
      </c>
      <c r="J96" s="14">
        <v>2</v>
      </c>
      <c r="K96" s="13" t="s">
        <v>1459</v>
      </c>
      <c r="L96" s="14" t="s">
        <v>145</v>
      </c>
      <c r="M96" s="14">
        <v>6902</v>
      </c>
      <c r="N96" s="14">
        <v>8992</v>
      </c>
      <c r="O96" s="14">
        <v>369020</v>
      </c>
      <c r="P96" s="14">
        <v>89920</v>
      </c>
      <c r="Q96" s="14"/>
    </row>
    <row r="97" spans="1:17" x14ac:dyDescent="0.25">
      <c r="A97" s="11" t="s">
        <v>2684</v>
      </c>
      <c r="B97" s="13" t="s">
        <v>68</v>
      </c>
      <c r="C97" s="62" t="s">
        <v>402</v>
      </c>
      <c r="D97" s="13" t="s">
        <v>18</v>
      </c>
      <c r="E97" s="14" t="s">
        <v>21</v>
      </c>
      <c r="F97" s="14" t="s">
        <v>11</v>
      </c>
      <c r="G97" s="13"/>
      <c r="H97" s="14">
        <f t="shared" si="2"/>
        <v>10</v>
      </c>
      <c r="I97" s="14">
        <v>10</v>
      </c>
      <c r="J97" s="14">
        <v>8</v>
      </c>
      <c r="K97" s="13" t="s">
        <v>2863</v>
      </c>
      <c r="L97" s="14" t="s">
        <v>145</v>
      </c>
      <c r="M97" s="14">
        <v>70986</v>
      </c>
      <c r="N97" s="14">
        <v>89924</v>
      </c>
      <c r="O97" s="14">
        <v>370986</v>
      </c>
      <c r="P97" s="14">
        <v>89924</v>
      </c>
      <c r="Q97" s="14"/>
    </row>
    <row r="98" spans="1:17" s="57" customFormat="1" ht="22.5" x14ac:dyDescent="0.25">
      <c r="A98" s="11" t="s">
        <v>2684</v>
      </c>
      <c r="B98" s="55" t="s">
        <v>68</v>
      </c>
      <c r="C98" s="63" t="s">
        <v>2991</v>
      </c>
      <c r="D98" s="55" t="s">
        <v>8</v>
      </c>
      <c r="E98" s="57" t="s">
        <v>198</v>
      </c>
      <c r="F98" s="57" t="s">
        <v>11</v>
      </c>
      <c r="G98" s="55"/>
      <c r="H98" s="57">
        <f t="shared" ref="H98:H109" si="3">G98+I98</f>
        <v>1</v>
      </c>
      <c r="I98" s="57">
        <v>1</v>
      </c>
      <c r="J98" s="57">
        <v>1</v>
      </c>
      <c r="K98" s="55" t="s">
        <v>1322</v>
      </c>
      <c r="L98" s="57" t="s">
        <v>145</v>
      </c>
      <c r="M98" s="57">
        <v>61077</v>
      </c>
      <c r="N98" s="57">
        <v>90429</v>
      </c>
      <c r="O98" s="57">
        <v>361077</v>
      </c>
      <c r="P98" s="57">
        <v>90429</v>
      </c>
    </row>
    <row r="99" spans="1:17" x14ac:dyDescent="0.25">
      <c r="A99" s="11" t="s">
        <v>2684</v>
      </c>
      <c r="B99" s="13" t="s">
        <v>68</v>
      </c>
      <c r="C99" s="61" t="s">
        <v>2689</v>
      </c>
      <c r="D99" s="13" t="s">
        <v>1940</v>
      </c>
      <c r="E99" s="14" t="s">
        <v>314</v>
      </c>
      <c r="F99" s="14" t="s">
        <v>11</v>
      </c>
      <c r="G99" s="13">
        <v>2</v>
      </c>
      <c r="H99" s="14">
        <f t="shared" si="3"/>
        <v>2</v>
      </c>
      <c r="J99" s="14">
        <v>1</v>
      </c>
      <c r="K99" s="13" t="s">
        <v>338</v>
      </c>
      <c r="L99" s="14" t="s">
        <v>110</v>
      </c>
      <c r="M99" s="14">
        <v>33</v>
      </c>
      <c r="N99" s="14">
        <v>178</v>
      </c>
      <c r="O99" s="14">
        <v>403300</v>
      </c>
      <c r="P99" s="14">
        <v>117800</v>
      </c>
      <c r="Q99" s="14"/>
    </row>
    <row r="100" spans="1:17" s="57" customFormat="1" x14ac:dyDescent="0.25">
      <c r="A100" s="11" t="s">
        <v>2684</v>
      </c>
      <c r="B100" s="55" t="s">
        <v>68</v>
      </c>
      <c r="C100" s="63" t="s">
        <v>2994</v>
      </c>
      <c r="D100" s="55" t="s">
        <v>8</v>
      </c>
      <c r="E100" s="57" t="s">
        <v>68</v>
      </c>
      <c r="F100" s="57" t="s">
        <v>11</v>
      </c>
      <c r="G100" s="55"/>
      <c r="H100" s="57">
        <f t="shared" si="3"/>
        <v>1</v>
      </c>
      <c r="I100" s="57">
        <v>1</v>
      </c>
      <c r="J100" s="57">
        <v>1</v>
      </c>
      <c r="K100" s="55" t="s">
        <v>1322</v>
      </c>
      <c r="L100" s="57" t="s">
        <v>145</v>
      </c>
      <c r="M100" s="57">
        <v>9946</v>
      </c>
      <c r="N100" s="57">
        <v>8208</v>
      </c>
      <c r="O100" s="57">
        <v>399460</v>
      </c>
      <c r="P100" s="57">
        <v>82080</v>
      </c>
    </row>
    <row r="101" spans="1:17" ht="22.5" x14ac:dyDescent="0.25">
      <c r="A101" s="11" t="s">
        <v>2684</v>
      </c>
      <c r="B101" s="13" t="s">
        <v>68</v>
      </c>
      <c r="C101" s="61" t="s">
        <v>2670</v>
      </c>
      <c r="D101" s="13" t="s">
        <v>401</v>
      </c>
      <c r="E101" s="13" t="s">
        <v>198</v>
      </c>
      <c r="F101" s="14" t="s">
        <v>11</v>
      </c>
      <c r="G101" s="13"/>
      <c r="H101" s="14">
        <f t="shared" si="3"/>
        <v>1</v>
      </c>
      <c r="I101" s="14">
        <v>1</v>
      </c>
      <c r="J101" s="14">
        <v>1</v>
      </c>
      <c r="K101" s="13" t="s">
        <v>1036</v>
      </c>
      <c r="L101" s="14" t="s">
        <v>145</v>
      </c>
      <c r="M101" s="14">
        <v>640</v>
      </c>
      <c r="N101" s="14">
        <v>986</v>
      </c>
      <c r="O101" s="14">
        <v>364000</v>
      </c>
      <c r="P101" s="14">
        <v>98600</v>
      </c>
      <c r="Q101" s="14"/>
    </row>
    <row r="102" spans="1:17" x14ac:dyDescent="0.25">
      <c r="A102" s="11" t="s">
        <v>2684</v>
      </c>
      <c r="B102" s="13" t="s">
        <v>68</v>
      </c>
      <c r="C102" s="62" t="s">
        <v>1317</v>
      </c>
      <c r="D102" s="13" t="s">
        <v>26</v>
      </c>
      <c r="E102" s="14" t="s">
        <v>381</v>
      </c>
      <c r="F102" s="14" t="s">
        <v>11</v>
      </c>
      <c r="G102" s="13">
        <v>1</v>
      </c>
      <c r="H102" s="14">
        <f t="shared" si="3"/>
        <v>4</v>
      </c>
      <c r="I102" s="14">
        <v>3</v>
      </c>
      <c r="J102" s="14">
        <v>2</v>
      </c>
      <c r="K102" s="13" t="s">
        <v>2688</v>
      </c>
      <c r="L102" s="14" t="s">
        <v>119</v>
      </c>
      <c r="M102" s="14">
        <v>971</v>
      </c>
      <c r="N102" s="14">
        <v>122</v>
      </c>
      <c r="O102" s="14">
        <v>397100</v>
      </c>
      <c r="P102" s="14">
        <v>112200</v>
      </c>
      <c r="Q102" s="14"/>
    </row>
    <row r="103" spans="1:17" x14ac:dyDescent="0.25">
      <c r="A103" s="11" t="s">
        <v>2684</v>
      </c>
      <c r="B103" s="13" t="s">
        <v>68</v>
      </c>
      <c r="C103" s="62" t="s">
        <v>343</v>
      </c>
      <c r="D103" s="13" t="s">
        <v>26</v>
      </c>
      <c r="E103" s="14" t="s">
        <v>314</v>
      </c>
      <c r="F103" s="14" t="s">
        <v>11</v>
      </c>
      <c r="G103" s="13"/>
      <c r="H103" s="14">
        <f t="shared" si="3"/>
        <v>3</v>
      </c>
      <c r="I103" s="14">
        <v>3</v>
      </c>
      <c r="J103" s="14">
        <v>2</v>
      </c>
      <c r="K103" s="13" t="s">
        <v>2683</v>
      </c>
      <c r="L103" s="14" t="s">
        <v>110</v>
      </c>
      <c r="M103" s="14">
        <v>1239</v>
      </c>
      <c r="N103" s="14">
        <v>17283</v>
      </c>
      <c r="O103" s="14">
        <v>401239</v>
      </c>
      <c r="P103" s="14">
        <v>117283</v>
      </c>
      <c r="Q103" s="14"/>
    </row>
    <row r="104" spans="1:17" ht="22.5" x14ac:dyDescent="0.25">
      <c r="A104" s="11" t="s">
        <v>2684</v>
      </c>
      <c r="B104" s="13" t="s">
        <v>68</v>
      </c>
      <c r="C104" s="62" t="s">
        <v>2108</v>
      </c>
      <c r="D104" s="13" t="s">
        <v>540</v>
      </c>
      <c r="E104" s="14" t="s">
        <v>314</v>
      </c>
      <c r="F104" s="14" t="s">
        <v>11</v>
      </c>
      <c r="G104" s="13">
        <v>2</v>
      </c>
      <c r="H104" s="14">
        <f t="shared" si="3"/>
        <v>2</v>
      </c>
      <c r="J104" s="14">
        <v>1</v>
      </c>
      <c r="K104" s="13" t="s">
        <v>338</v>
      </c>
      <c r="L104" s="14" t="s">
        <v>110</v>
      </c>
      <c r="M104" s="14">
        <v>87</v>
      </c>
      <c r="N104" s="14">
        <v>1577</v>
      </c>
      <c r="O104" s="14">
        <v>400870</v>
      </c>
      <c r="P104" s="14">
        <v>115770</v>
      </c>
      <c r="Q104" s="14"/>
    </row>
    <row r="105" spans="1:17" x14ac:dyDescent="0.25">
      <c r="A105" s="11" t="s">
        <v>2684</v>
      </c>
      <c r="B105" s="13" t="s">
        <v>209</v>
      </c>
      <c r="C105" s="62" t="s">
        <v>823</v>
      </c>
      <c r="D105" s="13" t="s">
        <v>39</v>
      </c>
      <c r="E105" s="13" t="s">
        <v>282</v>
      </c>
      <c r="F105" s="14" t="s">
        <v>11</v>
      </c>
      <c r="G105" s="13">
        <v>1</v>
      </c>
      <c r="H105" s="14">
        <f t="shared" si="3"/>
        <v>1</v>
      </c>
      <c r="J105" s="14">
        <v>1</v>
      </c>
      <c r="K105" s="13" t="s">
        <v>284</v>
      </c>
      <c r="L105" s="14" t="s">
        <v>140</v>
      </c>
      <c r="M105" s="14">
        <v>17</v>
      </c>
      <c r="N105" s="14">
        <v>15</v>
      </c>
      <c r="O105" s="14">
        <v>617500</v>
      </c>
      <c r="P105" s="14">
        <v>215500</v>
      </c>
      <c r="Q105" s="14"/>
    </row>
    <row r="106" spans="1:17" ht="22.5" x14ac:dyDescent="0.25">
      <c r="A106" s="11" t="s">
        <v>2684</v>
      </c>
      <c r="B106" s="13" t="s">
        <v>64</v>
      </c>
      <c r="C106" s="62" t="s">
        <v>195</v>
      </c>
      <c r="D106" s="13" t="s">
        <v>92</v>
      </c>
      <c r="E106" s="14" t="s">
        <v>69</v>
      </c>
      <c r="F106" s="14" t="s">
        <v>11</v>
      </c>
      <c r="G106" s="13"/>
      <c r="H106" s="14">
        <f t="shared" si="3"/>
        <v>2</v>
      </c>
      <c r="I106" s="14">
        <v>2</v>
      </c>
      <c r="J106" s="14">
        <v>2</v>
      </c>
      <c r="K106" s="13" t="s">
        <v>688</v>
      </c>
      <c r="L106" s="14" t="s">
        <v>113</v>
      </c>
      <c r="M106" s="14">
        <v>9265</v>
      </c>
      <c r="N106" s="14">
        <v>1610</v>
      </c>
      <c r="O106" s="14">
        <v>392650</v>
      </c>
      <c r="P106" s="14">
        <v>216100</v>
      </c>
      <c r="Q106" s="14"/>
    </row>
    <row r="107" spans="1:17" x14ac:dyDescent="0.25">
      <c r="A107" s="11" t="s">
        <v>2684</v>
      </c>
      <c r="B107" s="13" t="s">
        <v>64</v>
      </c>
      <c r="C107" s="62" t="s">
        <v>222</v>
      </c>
      <c r="D107" s="13" t="s">
        <v>26</v>
      </c>
      <c r="E107" s="14" t="s">
        <v>69</v>
      </c>
      <c r="F107" s="14" t="s">
        <v>11</v>
      </c>
      <c r="G107" s="13"/>
      <c r="H107" s="14">
        <f t="shared" si="3"/>
        <v>1</v>
      </c>
      <c r="I107" s="14">
        <v>1</v>
      </c>
      <c r="J107" s="14">
        <v>1</v>
      </c>
      <c r="K107" s="13" t="s">
        <v>476</v>
      </c>
      <c r="L107" s="14" t="s">
        <v>111</v>
      </c>
      <c r="M107" s="14">
        <v>9576</v>
      </c>
      <c r="N107" s="14">
        <v>21203</v>
      </c>
      <c r="O107" s="14">
        <v>409576</v>
      </c>
      <c r="P107" s="14">
        <v>221203</v>
      </c>
      <c r="Q107" s="14"/>
    </row>
    <row r="108" spans="1:17" x14ac:dyDescent="0.25">
      <c r="A108" s="11" t="s">
        <v>2684</v>
      </c>
      <c r="B108" s="13" t="s">
        <v>64</v>
      </c>
      <c r="C108" s="62" t="s">
        <v>337</v>
      </c>
      <c r="D108" s="13" t="s">
        <v>26</v>
      </c>
      <c r="E108" s="14" t="s">
        <v>69</v>
      </c>
      <c r="F108" s="14" t="s">
        <v>11</v>
      </c>
      <c r="G108" s="13"/>
      <c r="H108" s="14">
        <f t="shared" si="3"/>
        <v>1</v>
      </c>
      <c r="I108" s="14">
        <v>1</v>
      </c>
      <c r="J108" s="14">
        <v>1</v>
      </c>
      <c r="K108" s="13" t="s">
        <v>476</v>
      </c>
      <c r="L108" s="14" t="s">
        <v>113</v>
      </c>
      <c r="M108" s="14">
        <v>79383</v>
      </c>
      <c r="N108" s="14">
        <v>1321</v>
      </c>
      <c r="O108" s="14">
        <v>379383</v>
      </c>
      <c r="P108" s="14">
        <v>201321</v>
      </c>
      <c r="Q108" s="14"/>
    </row>
    <row r="109" spans="1:17" x14ac:dyDescent="0.25">
      <c r="A109" s="11" t="s">
        <v>2684</v>
      </c>
      <c r="B109" s="13" t="s">
        <v>64</v>
      </c>
      <c r="C109" s="61" t="s">
        <v>722</v>
      </c>
      <c r="D109" s="13" t="s">
        <v>26</v>
      </c>
      <c r="E109" s="14" t="s">
        <v>723</v>
      </c>
      <c r="F109" s="14" t="s">
        <v>11</v>
      </c>
      <c r="G109" s="13"/>
      <c r="H109" s="14">
        <f t="shared" si="3"/>
        <v>1</v>
      </c>
      <c r="I109" s="14">
        <v>1</v>
      </c>
      <c r="J109" s="14">
        <v>1</v>
      </c>
      <c r="K109" s="13" t="s">
        <v>476</v>
      </c>
      <c r="L109" s="14" t="s">
        <v>113</v>
      </c>
      <c r="M109" s="14">
        <v>7896</v>
      </c>
      <c r="N109" s="14">
        <v>3</v>
      </c>
      <c r="O109" s="14">
        <v>378960</v>
      </c>
      <c r="P109" s="14">
        <v>200030</v>
      </c>
      <c r="Q109" s="14"/>
    </row>
    <row r="110" spans="1:17" ht="22.5" x14ac:dyDescent="0.25">
      <c r="A110" s="11" t="s">
        <v>2684</v>
      </c>
      <c r="B110" s="13" t="s">
        <v>261</v>
      </c>
      <c r="C110" s="62" t="s">
        <v>861</v>
      </c>
      <c r="D110" s="13" t="s">
        <v>540</v>
      </c>
      <c r="E110" s="14" t="s">
        <v>601</v>
      </c>
      <c r="F110" s="14" t="s">
        <v>11</v>
      </c>
      <c r="G110" s="13"/>
      <c r="H110" s="14">
        <f t="shared" ref="H110:H123" si="4">G110+I110</f>
        <v>3</v>
      </c>
      <c r="I110" s="14">
        <v>3</v>
      </c>
      <c r="J110" s="14">
        <v>2</v>
      </c>
      <c r="K110" s="13" t="s">
        <v>1492</v>
      </c>
      <c r="L110" s="14" t="s">
        <v>110</v>
      </c>
      <c r="M110" s="14">
        <v>366</v>
      </c>
      <c r="N110" s="14">
        <v>18</v>
      </c>
      <c r="O110" s="14">
        <v>436600</v>
      </c>
      <c r="P110" s="14">
        <v>101800</v>
      </c>
      <c r="Q110" s="14"/>
    </row>
    <row r="111" spans="1:17" x14ac:dyDescent="0.25">
      <c r="A111" s="11" t="s">
        <v>2684</v>
      </c>
      <c r="B111" s="13" t="s">
        <v>261</v>
      </c>
      <c r="C111" s="62" t="s">
        <v>262</v>
      </c>
      <c r="D111" s="13" t="s">
        <v>26</v>
      </c>
      <c r="E111" s="14" t="s">
        <v>263</v>
      </c>
      <c r="F111" s="14" t="s">
        <v>11</v>
      </c>
      <c r="G111" s="13"/>
      <c r="H111" s="14">
        <f t="shared" si="4"/>
        <v>2</v>
      </c>
      <c r="I111" s="14">
        <v>2</v>
      </c>
      <c r="J111" s="14">
        <v>2</v>
      </c>
      <c r="K111" s="13" t="s">
        <v>1109</v>
      </c>
      <c r="L111" s="14" t="s">
        <v>110</v>
      </c>
      <c r="M111" s="14">
        <v>3310</v>
      </c>
      <c r="N111" s="14">
        <v>4952</v>
      </c>
      <c r="O111" s="14">
        <v>433100</v>
      </c>
      <c r="P111" s="14">
        <v>149520</v>
      </c>
      <c r="Q111" s="14"/>
    </row>
    <row r="112" spans="1:17" x14ac:dyDescent="0.25">
      <c r="A112" s="11" t="s">
        <v>2684</v>
      </c>
      <c r="B112" s="13" t="s">
        <v>261</v>
      </c>
      <c r="C112" s="62" t="s">
        <v>2900</v>
      </c>
      <c r="D112" s="13" t="s">
        <v>90</v>
      </c>
      <c r="E112" s="14" t="s">
        <v>263</v>
      </c>
      <c r="F112" s="14" t="s">
        <v>11</v>
      </c>
      <c r="G112" s="13"/>
      <c r="H112" s="14">
        <f>G112+I112</f>
        <v>1</v>
      </c>
      <c r="I112" s="14">
        <v>1</v>
      </c>
      <c r="J112" s="14">
        <v>1</v>
      </c>
      <c r="K112" s="13" t="s">
        <v>2901</v>
      </c>
      <c r="L112" s="14" t="s">
        <v>110</v>
      </c>
      <c r="M112" s="14">
        <v>3755</v>
      </c>
      <c r="N112" s="14">
        <v>3485</v>
      </c>
      <c r="O112" s="14">
        <v>437550</v>
      </c>
      <c r="P112" s="14">
        <v>134850</v>
      </c>
      <c r="Q112" s="14"/>
    </row>
    <row r="113" spans="1:17" ht="22.5" x14ac:dyDescent="0.25">
      <c r="A113" s="11" t="s">
        <v>2684</v>
      </c>
      <c r="B113" s="13" t="s">
        <v>430</v>
      </c>
      <c r="C113" s="62" t="s">
        <v>2916</v>
      </c>
      <c r="D113" s="13" t="s">
        <v>2914</v>
      </c>
      <c r="E113" s="14" t="s">
        <v>1854</v>
      </c>
      <c r="F113" s="14" t="s">
        <v>11</v>
      </c>
      <c r="G113" s="13"/>
      <c r="H113" s="14">
        <f t="shared" si="4"/>
        <v>1</v>
      </c>
      <c r="I113" s="14">
        <v>1</v>
      </c>
      <c r="J113" s="14">
        <v>1</v>
      </c>
      <c r="K113" s="13" t="s">
        <v>1252</v>
      </c>
      <c r="L113" s="14" t="s">
        <v>431</v>
      </c>
      <c r="M113" s="14">
        <v>577</v>
      </c>
      <c r="N113" s="14">
        <v>460</v>
      </c>
      <c r="O113" s="14">
        <v>357700</v>
      </c>
      <c r="P113" s="14">
        <v>446000</v>
      </c>
      <c r="Q113" s="14"/>
    </row>
    <row r="114" spans="1:17" ht="22.5" x14ac:dyDescent="0.25">
      <c r="A114" s="11" t="s">
        <v>2684</v>
      </c>
      <c r="B114" s="13" t="s">
        <v>430</v>
      </c>
      <c r="C114" s="62" t="s">
        <v>2915</v>
      </c>
      <c r="D114" s="13" t="s">
        <v>2914</v>
      </c>
      <c r="E114" s="14" t="s">
        <v>1854</v>
      </c>
      <c r="F114" s="14" t="s">
        <v>11</v>
      </c>
      <c r="G114" s="13"/>
      <c r="H114" s="14">
        <f>G114+I114</f>
        <v>1</v>
      </c>
      <c r="I114" s="14">
        <v>1</v>
      </c>
      <c r="J114" s="14">
        <v>1</v>
      </c>
      <c r="K114" s="13" t="s">
        <v>1252</v>
      </c>
      <c r="L114" s="14" t="s">
        <v>431</v>
      </c>
      <c r="M114" s="14">
        <v>577</v>
      </c>
      <c r="N114" s="14">
        <v>460</v>
      </c>
      <c r="O114" s="14">
        <v>357700</v>
      </c>
      <c r="P114" s="14">
        <v>446000</v>
      </c>
      <c r="Q114" s="14"/>
    </row>
    <row r="115" spans="1:17" ht="22.5" x14ac:dyDescent="0.25">
      <c r="A115" s="11" t="s">
        <v>2684</v>
      </c>
      <c r="B115" s="13" t="s">
        <v>328</v>
      </c>
      <c r="C115" s="62" t="s">
        <v>2889</v>
      </c>
      <c r="D115" s="13" t="s">
        <v>540</v>
      </c>
      <c r="E115" s="14" t="s">
        <v>2890</v>
      </c>
      <c r="F115" s="14" t="s">
        <v>11</v>
      </c>
      <c r="G115" s="13"/>
      <c r="H115" s="14">
        <f>G115+I115</f>
        <v>1</v>
      </c>
      <c r="I115" s="14">
        <v>1</v>
      </c>
      <c r="J115" s="14">
        <v>1</v>
      </c>
      <c r="K115" s="13" t="s">
        <v>2886</v>
      </c>
      <c r="L115" s="14" t="s">
        <v>175</v>
      </c>
      <c r="M115" s="14">
        <v>3303</v>
      </c>
      <c r="N115" s="14">
        <v>8264</v>
      </c>
      <c r="O115" s="14">
        <v>533030</v>
      </c>
      <c r="P115" s="14">
        <v>382640</v>
      </c>
      <c r="Q115" s="14"/>
    </row>
    <row r="116" spans="1:17" x14ac:dyDescent="0.25">
      <c r="A116" s="11" t="s">
        <v>2684</v>
      </c>
      <c r="B116" s="13" t="s">
        <v>328</v>
      </c>
      <c r="C116" s="62" t="s">
        <v>418</v>
      </c>
      <c r="D116" s="13" t="s">
        <v>26</v>
      </c>
      <c r="E116" s="14" t="s">
        <v>419</v>
      </c>
      <c r="F116" s="14" t="s">
        <v>11</v>
      </c>
      <c r="G116" s="13"/>
      <c r="H116" s="14">
        <f t="shared" si="4"/>
        <v>2</v>
      </c>
      <c r="I116" s="14">
        <v>2</v>
      </c>
      <c r="J116" s="14">
        <v>2</v>
      </c>
      <c r="K116" s="13" t="s">
        <v>2430</v>
      </c>
      <c r="L116" s="14" t="s">
        <v>175</v>
      </c>
      <c r="M116" s="14">
        <v>4278</v>
      </c>
      <c r="N116" s="14">
        <v>7126</v>
      </c>
      <c r="O116" s="14">
        <v>542780</v>
      </c>
      <c r="P116" s="14">
        <v>371260</v>
      </c>
      <c r="Q116" s="14"/>
    </row>
    <row r="117" spans="1:17" ht="22.5" x14ac:dyDescent="0.25">
      <c r="A117" s="11" t="s">
        <v>2684</v>
      </c>
      <c r="B117" s="13" t="s">
        <v>328</v>
      </c>
      <c r="C117" s="62" t="s">
        <v>2936</v>
      </c>
      <c r="D117" s="13" t="s">
        <v>2918</v>
      </c>
      <c r="E117" s="14" t="s">
        <v>2937</v>
      </c>
      <c r="F117" s="14" t="s">
        <v>11</v>
      </c>
      <c r="G117" s="13"/>
      <c r="H117" s="14">
        <f t="shared" si="4"/>
        <v>1</v>
      </c>
      <c r="I117" s="14">
        <v>1</v>
      </c>
      <c r="J117" s="14">
        <v>1</v>
      </c>
      <c r="K117" s="13" t="s">
        <v>1252</v>
      </c>
      <c r="L117" s="14" t="s">
        <v>175</v>
      </c>
      <c r="M117" s="14">
        <v>2040</v>
      </c>
      <c r="N117" s="14">
        <v>8934</v>
      </c>
      <c r="O117" s="14">
        <v>520400</v>
      </c>
      <c r="P117" s="14">
        <v>389340</v>
      </c>
      <c r="Q117" s="14"/>
    </row>
    <row r="118" spans="1:17" x14ac:dyDescent="0.25">
      <c r="A118" s="11" t="s">
        <v>2684</v>
      </c>
      <c r="B118" s="13" t="s">
        <v>78</v>
      </c>
      <c r="C118" s="62" t="s">
        <v>392</v>
      </c>
      <c r="D118" s="13" t="s">
        <v>18</v>
      </c>
      <c r="E118" s="14" t="s">
        <v>141</v>
      </c>
      <c r="F118" s="14" t="s">
        <v>11</v>
      </c>
      <c r="G118" s="13"/>
      <c r="H118" s="14">
        <f t="shared" si="4"/>
        <v>6</v>
      </c>
      <c r="I118" s="14">
        <v>6</v>
      </c>
      <c r="J118" s="14">
        <v>3</v>
      </c>
      <c r="K118" s="13" t="s">
        <v>2864</v>
      </c>
      <c r="L118" s="14" t="s">
        <v>393</v>
      </c>
      <c r="M118" s="14">
        <v>2398</v>
      </c>
      <c r="N118" s="14">
        <v>601</v>
      </c>
      <c r="O118" s="14">
        <v>623980</v>
      </c>
      <c r="P118" s="14">
        <v>306010</v>
      </c>
      <c r="Q118" s="14"/>
    </row>
    <row r="119" spans="1:17" ht="22.5" x14ac:dyDescent="0.25">
      <c r="A119" s="11" t="s">
        <v>2684</v>
      </c>
      <c r="B119" s="13" t="s">
        <v>78</v>
      </c>
      <c r="C119" s="62" t="s">
        <v>77</v>
      </c>
      <c r="D119" s="13" t="s">
        <v>138</v>
      </c>
      <c r="E119" s="14" t="s">
        <v>141</v>
      </c>
      <c r="F119" s="14" t="s">
        <v>11</v>
      </c>
      <c r="G119" s="13"/>
      <c r="H119" s="14">
        <f t="shared" si="4"/>
        <v>1</v>
      </c>
      <c r="I119" s="14">
        <v>1</v>
      </c>
      <c r="J119" s="14">
        <v>1</v>
      </c>
      <c r="K119" s="13" t="s">
        <v>970</v>
      </c>
      <c r="L119" s="14" t="s">
        <v>140</v>
      </c>
      <c r="M119" s="14">
        <v>343</v>
      </c>
      <c r="N119" s="14">
        <v>911</v>
      </c>
      <c r="O119" s="14">
        <v>634300</v>
      </c>
      <c r="P119" s="14">
        <v>291100</v>
      </c>
      <c r="Q119" s="14"/>
    </row>
    <row r="120" spans="1:17" ht="22.5" x14ac:dyDescent="0.25">
      <c r="A120" s="11" t="s">
        <v>2684</v>
      </c>
      <c r="B120" s="13" t="s">
        <v>78</v>
      </c>
      <c r="C120" s="62" t="s">
        <v>2652</v>
      </c>
      <c r="D120" s="13" t="s">
        <v>138</v>
      </c>
      <c r="E120" s="14" t="s">
        <v>78</v>
      </c>
      <c r="F120" s="14" t="s">
        <v>11</v>
      </c>
      <c r="G120" s="13"/>
      <c r="H120" s="14">
        <f>G120+I120</f>
        <v>2</v>
      </c>
      <c r="I120" s="14">
        <v>2</v>
      </c>
      <c r="J120" s="14">
        <v>2</v>
      </c>
      <c r="K120" s="13" t="s">
        <v>2666</v>
      </c>
      <c r="Q120" s="14"/>
    </row>
    <row r="121" spans="1:17" x14ac:dyDescent="0.25">
      <c r="A121" s="11" t="s">
        <v>2684</v>
      </c>
      <c r="B121" s="13" t="s">
        <v>78</v>
      </c>
      <c r="C121" s="62" t="s">
        <v>565</v>
      </c>
      <c r="D121" s="13" t="s">
        <v>158</v>
      </c>
      <c r="E121" s="14" t="s">
        <v>566</v>
      </c>
      <c r="F121" s="14" t="s">
        <v>11</v>
      </c>
      <c r="G121" s="13"/>
      <c r="H121" s="14">
        <f t="shared" si="4"/>
        <v>3</v>
      </c>
      <c r="I121" s="14">
        <v>3</v>
      </c>
      <c r="J121" s="14">
        <v>3</v>
      </c>
      <c r="K121" s="13" t="s">
        <v>2692</v>
      </c>
      <c r="L121" s="14" t="s">
        <v>177</v>
      </c>
      <c r="M121" s="14">
        <v>81758</v>
      </c>
      <c r="N121" s="14">
        <v>89781</v>
      </c>
      <c r="O121" s="14">
        <v>581758</v>
      </c>
      <c r="P121" s="14">
        <v>289781</v>
      </c>
      <c r="Q121" s="14"/>
    </row>
    <row r="122" spans="1:17" x14ac:dyDescent="0.25">
      <c r="A122" s="11" t="s">
        <v>2684</v>
      </c>
      <c r="B122" s="13" t="s">
        <v>46</v>
      </c>
      <c r="C122" s="62" t="s">
        <v>2796</v>
      </c>
      <c r="D122" s="13" t="s">
        <v>18</v>
      </c>
      <c r="E122" s="14" t="s">
        <v>45</v>
      </c>
      <c r="F122" s="14" t="s">
        <v>11</v>
      </c>
      <c r="G122" s="13"/>
      <c r="H122" s="14">
        <f>G122+I122</f>
        <v>1</v>
      </c>
      <c r="I122" s="14">
        <v>1</v>
      </c>
      <c r="J122" s="14">
        <v>1</v>
      </c>
      <c r="K122" s="13" t="s">
        <v>846</v>
      </c>
      <c r="L122" s="14" t="s">
        <v>398</v>
      </c>
      <c r="M122" s="14">
        <v>9405</v>
      </c>
      <c r="N122" s="14">
        <v>3307</v>
      </c>
      <c r="O122" s="14">
        <v>394050</v>
      </c>
      <c r="P122" s="14">
        <v>633070</v>
      </c>
      <c r="Q122" s="14"/>
    </row>
    <row r="123" spans="1:17" ht="22.5" x14ac:dyDescent="0.25">
      <c r="A123" s="11" t="s">
        <v>2684</v>
      </c>
      <c r="B123" s="13" t="s">
        <v>62</v>
      </c>
      <c r="C123" s="62" t="s">
        <v>91</v>
      </c>
      <c r="D123" s="13" t="s">
        <v>92</v>
      </c>
      <c r="E123" s="13" t="s">
        <v>102</v>
      </c>
      <c r="F123" s="14" t="s">
        <v>11</v>
      </c>
      <c r="G123" s="13"/>
      <c r="H123" s="14">
        <f t="shared" si="4"/>
        <v>1</v>
      </c>
      <c r="I123" s="14">
        <v>1</v>
      </c>
      <c r="J123" s="14">
        <v>1</v>
      </c>
      <c r="K123" s="13" t="s">
        <v>224</v>
      </c>
      <c r="L123" s="14" t="s">
        <v>110</v>
      </c>
      <c r="M123" s="14">
        <v>5109</v>
      </c>
      <c r="N123" s="14">
        <v>9828</v>
      </c>
      <c r="O123" s="14">
        <v>451090</v>
      </c>
      <c r="P123" s="14">
        <v>198280</v>
      </c>
      <c r="Q123" s="14"/>
    </row>
    <row r="124" spans="1:17" ht="22.5" x14ac:dyDescent="0.25">
      <c r="A124" s="11" t="s">
        <v>2684</v>
      </c>
      <c r="B124" s="13" t="s">
        <v>62</v>
      </c>
      <c r="C124" s="62" t="s">
        <v>365</v>
      </c>
      <c r="D124" s="13" t="s">
        <v>366</v>
      </c>
      <c r="E124" s="13" t="s">
        <v>364</v>
      </c>
      <c r="F124" s="14" t="s">
        <v>11</v>
      </c>
      <c r="G124" s="13"/>
      <c r="H124" s="14">
        <f t="shared" ref="H124:H214" si="5">G124+I124</f>
        <v>1</v>
      </c>
      <c r="I124" s="14">
        <v>1</v>
      </c>
      <c r="J124" s="14">
        <v>1</v>
      </c>
      <c r="K124" s="13" t="s">
        <v>2833</v>
      </c>
      <c r="L124" s="14" t="s">
        <v>111</v>
      </c>
      <c r="M124" s="14">
        <v>411</v>
      </c>
      <c r="N124" s="14">
        <v>48</v>
      </c>
      <c r="O124" s="14">
        <v>441100</v>
      </c>
      <c r="P124" s="14">
        <v>204800</v>
      </c>
      <c r="Q124" s="14"/>
    </row>
    <row r="125" spans="1:17" ht="22.5" x14ac:dyDescent="0.25">
      <c r="A125" s="11" t="s">
        <v>2684</v>
      </c>
      <c r="B125" s="13" t="s">
        <v>62</v>
      </c>
      <c r="C125" s="61" t="s">
        <v>2830</v>
      </c>
      <c r="D125" s="13" t="s">
        <v>865</v>
      </c>
      <c r="E125" s="13" t="s">
        <v>386</v>
      </c>
      <c r="F125" s="14" t="s">
        <v>11</v>
      </c>
      <c r="G125" s="13">
        <v>1</v>
      </c>
      <c r="H125" s="14">
        <f t="shared" si="5"/>
        <v>5</v>
      </c>
      <c r="I125" s="14">
        <v>4</v>
      </c>
      <c r="J125" s="14">
        <v>5</v>
      </c>
      <c r="K125" s="13" t="s">
        <v>2831</v>
      </c>
      <c r="L125" s="14" t="s">
        <v>110</v>
      </c>
      <c r="M125" s="14">
        <v>5738</v>
      </c>
      <c r="N125" s="14">
        <v>9546</v>
      </c>
      <c r="O125" s="14">
        <v>457380</v>
      </c>
      <c r="P125" s="14">
        <v>195460</v>
      </c>
      <c r="Q125" s="14"/>
    </row>
    <row r="126" spans="1:17" ht="22.5" x14ac:dyDescent="0.25">
      <c r="A126" s="11" t="s">
        <v>2684</v>
      </c>
      <c r="B126" s="13" t="s">
        <v>62</v>
      </c>
      <c r="C126" s="62" t="s">
        <v>600</v>
      </c>
      <c r="D126" s="13" t="s">
        <v>215</v>
      </c>
      <c r="E126" s="13" t="s">
        <v>386</v>
      </c>
      <c r="F126" s="14" t="s">
        <v>11</v>
      </c>
      <c r="G126" s="13"/>
      <c r="H126" s="14">
        <f>G126+I126</f>
        <v>1</v>
      </c>
      <c r="I126" s="14">
        <v>1</v>
      </c>
      <c r="J126" s="14">
        <v>1</v>
      </c>
      <c r="K126" s="13" t="s">
        <v>849</v>
      </c>
      <c r="L126" s="14" t="s">
        <v>110</v>
      </c>
      <c r="M126" s="14">
        <v>570</v>
      </c>
      <c r="N126" s="14">
        <v>957</v>
      </c>
      <c r="O126" s="14">
        <v>457000</v>
      </c>
      <c r="P126" s="14">
        <v>195700</v>
      </c>
      <c r="Q126" s="14"/>
    </row>
    <row r="127" spans="1:17" x14ac:dyDescent="0.25">
      <c r="A127" s="11" t="s">
        <v>2684</v>
      </c>
      <c r="B127" s="13" t="s">
        <v>62</v>
      </c>
      <c r="C127" s="62" t="s">
        <v>2829</v>
      </c>
      <c r="D127" s="13" t="s">
        <v>18</v>
      </c>
      <c r="E127" s="13" t="s">
        <v>101</v>
      </c>
      <c r="F127" s="14" t="s">
        <v>11</v>
      </c>
      <c r="G127" s="13"/>
      <c r="H127" s="14">
        <f>G127+I127</f>
        <v>1</v>
      </c>
      <c r="I127" s="14">
        <v>1</v>
      </c>
      <c r="J127" s="14">
        <v>1</v>
      </c>
      <c r="K127" s="13" t="s">
        <v>849</v>
      </c>
      <c r="L127" s="14" t="s">
        <v>111</v>
      </c>
      <c r="M127" s="14">
        <v>415</v>
      </c>
      <c r="N127" s="14">
        <v>145</v>
      </c>
      <c r="O127" s="14">
        <v>441500</v>
      </c>
      <c r="P127" s="14">
        <v>214500</v>
      </c>
      <c r="Q127" s="14"/>
    </row>
    <row r="128" spans="1:17" x14ac:dyDescent="0.25">
      <c r="A128" s="11" t="s">
        <v>2684</v>
      </c>
      <c r="B128" s="13" t="s">
        <v>62</v>
      </c>
      <c r="C128" s="62" t="s">
        <v>531</v>
      </c>
      <c r="D128" s="13" t="s">
        <v>8</v>
      </c>
      <c r="E128" s="13" t="s">
        <v>101</v>
      </c>
      <c r="F128" s="14" t="s">
        <v>11</v>
      </c>
      <c r="G128" s="13"/>
      <c r="H128" s="14">
        <f t="shared" si="5"/>
        <v>1</v>
      </c>
      <c r="I128" s="14">
        <v>1</v>
      </c>
      <c r="J128" s="14">
        <v>1</v>
      </c>
      <c r="K128" s="13" t="s">
        <v>1322</v>
      </c>
      <c r="L128" s="14" t="s">
        <v>111</v>
      </c>
      <c r="M128" s="14">
        <v>297</v>
      </c>
      <c r="N128" s="14">
        <v>308</v>
      </c>
      <c r="O128" s="14">
        <v>429700</v>
      </c>
      <c r="P128" s="14">
        <v>230800</v>
      </c>
      <c r="Q128" s="14"/>
    </row>
    <row r="129" spans="1:17" x14ac:dyDescent="0.25">
      <c r="A129" s="11" t="s">
        <v>2684</v>
      </c>
      <c r="B129" s="13" t="s">
        <v>62</v>
      </c>
      <c r="C129" s="62" t="s">
        <v>2995</v>
      </c>
      <c r="D129" s="13" t="s">
        <v>1153</v>
      </c>
      <c r="E129" s="13" t="s">
        <v>531</v>
      </c>
      <c r="F129" s="14" t="s">
        <v>11</v>
      </c>
      <c r="G129" s="13"/>
      <c r="H129" s="14">
        <f>G129+I129</f>
        <v>1</v>
      </c>
      <c r="I129" s="14">
        <v>1</v>
      </c>
      <c r="J129" s="14">
        <v>1</v>
      </c>
      <c r="K129" s="13" t="s">
        <v>1322</v>
      </c>
      <c r="L129" s="14" t="s">
        <v>111</v>
      </c>
      <c r="M129" s="14">
        <v>2960</v>
      </c>
      <c r="N129" s="14">
        <v>3096</v>
      </c>
      <c r="O129" s="14">
        <v>429600</v>
      </c>
      <c r="P129" s="14">
        <v>230960</v>
      </c>
      <c r="Q129" s="14"/>
    </row>
    <row r="130" spans="1:17" ht="22.5" x14ac:dyDescent="0.25">
      <c r="A130" s="11" t="s">
        <v>2684</v>
      </c>
      <c r="B130" s="13" t="s">
        <v>62</v>
      </c>
      <c r="C130" s="62" t="s">
        <v>2996</v>
      </c>
      <c r="D130" s="13" t="s">
        <v>41</v>
      </c>
      <c r="E130" s="13" t="s">
        <v>531</v>
      </c>
      <c r="F130" s="14" t="s">
        <v>11</v>
      </c>
      <c r="G130" s="13"/>
      <c r="H130" s="14">
        <f>G130+I130</f>
        <v>1</v>
      </c>
      <c r="I130" s="14">
        <v>1</v>
      </c>
      <c r="J130" s="14">
        <v>1</v>
      </c>
      <c r="K130" s="13" t="s">
        <v>1322</v>
      </c>
      <c r="L130" s="14" t="s">
        <v>111</v>
      </c>
      <c r="M130" s="14">
        <v>2993</v>
      </c>
      <c r="N130" s="14">
        <v>3084</v>
      </c>
      <c r="O130" s="14">
        <v>429930</v>
      </c>
      <c r="P130" s="14">
        <v>230840</v>
      </c>
      <c r="Q130" s="14"/>
    </row>
    <row r="131" spans="1:17" ht="22.5" x14ac:dyDescent="0.25">
      <c r="A131" s="11" t="s">
        <v>2684</v>
      </c>
      <c r="B131" s="13" t="s">
        <v>62</v>
      </c>
      <c r="C131" s="62" t="s">
        <v>233</v>
      </c>
      <c r="D131" s="13" t="s">
        <v>26</v>
      </c>
      <c r="E131" s="13" t="s">
        <v>102</v>
      </c>
      <c r="F131" s="14" t="s">
        <v>11</v>
      </c>
      <c r="G131" s="13"/>
      <c r="H131" s="14">
        <f t="shared" si="5"/>
        <v>3</v>
      </c>
      <c r="I131" s="14">
        <v>3</v>
      </c>
      <c r="J131" s="14">
        <v>3</v>
      </c>
      <c r="K131" s="13" t="s">
        <v>2707</v>
      </c>
      <c r="L131" s="14" t="s">
        <v>110</v>
      </c>
      <c r="M131" s="14">
        <v>28090</v>
      </c>
      <c r="N131" s="14">
        <v>85396</v>
      </c>
      <c r="O131" s="14">
        <v>428090</v>
      </c>
      <c r="P131" s="14">
        <v>185396</v>
      </c>
      <c r="Q131" s="14"/>
    </row>
    <row r="132" spans="1:17" ht="22.5" x14ac:dyDescent="0.25">
      <c r="A132" s="11" t="s">
        <v>2684</v>
      </c>
      <c r="B132" s="13" t="s">
        <v>62</v>
      </c>
      <c r="C132" s="62" t="s">
        <v>2832</v>
      </c>
      <c r="D132" s="13" t="s">
        <v>2835</v>
      </c>
      <c r="E132" s="13" t="s">
        <v>101</v>
      </c>
      <c r="F132" s="14" t="s">
        <v>11</v>
      </c>
      <c r="G132" s="13"/>
      <c r="H132" s="14">
        <f t="shared" si="5"/>
        <v>1</v>
      </c>
      <c r="I132" s="14">
        <v>1</v>
      </c>
      <c r="J132" s="14">
        <v>1</v>
      </c>
      <c r="K132" s="13" t="s">
        <v>2833</v>
      </c>
      <c r="L132" s="14" t="s">
        <v>111</v>
      </c>
      <c r="M132" s="14">
        <v>225</v>
      </c>
      <c r="N132" s="14">
        <v>95</v>
      </c>
      <c r="O132" s="14">
        <v>422500</v>
      </c>
      <c r="P132" s="14">
        <v>209500</v>
      </c>
      <c r="Q132" s="14"/>
    </row>
    <row r="133" spans="1:17" ht="22.5" x14ac:dyDescent="0.25">
      <c r="A133" s="11" t="s">
        <v>2684</v>
      </c>
      <c r="B133" s="13" t="s">
        <v>2933</v>
      </c>
      <c r="C133" s="61" t="s">
        <v>2934</v>
      </c>
      <c r="D133" s="13" t="s">
        <v>2918</v>
      </c>
      <c r="E133" s="14" t="s">
        <v>2935</v>
      </c>
      <c r="F133" s="14" t="s">
        <v>11</v>
      </c>
      <c r="G133" s="13"/>
      <c r="H133" s="14">
        <f>G133+I133</f>
        <v>1</v>
      </c>
      <c r="I133" s="14">
        <v>1</v>
      </c>
      <c r="J133" s="14">
        <v>1</v>
      </c>
      <c r="K133" s="13" t="s">
        <v>1252</v>
      </c>
      <c r="L133" s="14" t="s">
        <v>145</v>
      </c>
      <c r="M133" s="14">
        <v>99578</v>
      </c>
      <c r="N133" s="14">
        <v>97455</v>
      </c>
      <c r="O133" s="14">
        <v>399578</v>
      </c>
      <c r="P133" s="14">
        <v>97455</v>
      </c>
      <c r="Q133" s="14"/>
    </row>
    <row r="134" spans="1:17" x14ac:dyDescent="0.25">
      <c r="A134" s="11" t="s">
        <v>2684</v>
      </c>
      <c r="B134" s="13" t="s">
        <v>82</v>
      </c>
      <c r="C134" s="62" t="s">
        <v>3009</v>
      </c>
      <c r="D134" s="13" t="s">
        <v>8</v>
      </c>
      <c r="E134" s="13" t="s">
        <v>3010</v>
      </c>
      <c r="F134" s="14" t="s">
        <v>11</v>
      </c>
      <c r="G134" s="13"/>
      <c r="H134" s="14">
        <f>G134+I134</f>
        <v>1</v>
      </c>
      <c r="I134" s="14">
        <v>1</v>
      </c>
      <c r="J134" s="14">
        <v>1</v>
      </c>
      <c r="K134" s="13" t="s">
        <v>1322</v>
      </c>
      <c r="L134" s="14" t="s">
        <v>113</v>
      </c>
      <c r="M134" s="14">
        <v>324</v>
      </c>
      <c r="N134" s="14">
        <v>999</v>
      </c>
      <c r="O134" s="14">
        <v>332400</v>
      </c>
      <c r="P134" s="14">
        <v>299900</v>
      </c>
      <c r="Q134" s="14"/>
    </row>
    <row r="135" spans="1:17" x14ac:dyDescent="0.25">
      <c r="A135" s="11" t="s">
        <v>2684</v>
      </c>
      <c r="B135" s="13" t="s">
        <v>82</v>
      </c>
      <c r="C135" s="62" t="s">
        <v>2600</v>
      </c>
      <c r="D135" s="13" t="s">
        <v>8</v>
      </c>
      <c r="E135" s="13" t="s">
        <v>2601</v>
      </c>
      <c r="F135" s="14" t="s">
        <v>11</v>
      </c>
      <c r="G135" s="13"/>
      <c r="H135" s="14">
        <f t="shared" si="5"/>
        <v>1</v>
      </c>
      <c r="I135" s="14">
        <v>1</v>
      </c>
      <c r="J135" s="14">
        <v>1</v>
      </c>
      <c r="K135" s="13" t="s">
        <v>1329</v>
      </c>
      <c r="L135" s="14" t="s">
        <v>113</v>
      </c>
      <c r="M135" s="14">
        <v>304</v>
      </c>
      <c r="N135" s="14">
        <v>983</v>
      </c>
      <c r="O135" s="14">
        <v>330400</v>
      </c>
      <c r="P135" s="14">
        <v>298300</v>
      </c>
      <c r="Q135" s="14"/>
    </row>
    <row r="136" spans="1:17" ht="22.5" x14ac:dyDescent="0.25">
      <c r="A136" s="11" t="s">
        <v>2684</v>
      </c>
      <c r="B136" s="13" t="s">
        <v>22</v>
      </c>
      <c r="C136" s="61" t="s">
        <v>2892</v>
      </c>
      <c r="D136" s="13" t="s">
        <v>540</v>
      </c>
      <c r="E136" s="14" t="s">
        <v>2828</v>
      </c>
      <c r="F136" s="14" t="s">
        <v>11</v>
      </c>
      <c r="G136" s="13"/>
      <c r="H136" s="14">
        <f t="shared" si="5"/>
        <v>1</v>
      </c>
      <c r="I136" s="14">
        <v>1</v>
      </c>
      <c r="J136" s="14">
        <v>1</v>
      </c>
      <c r="K136" s="13" t="s">
        <v>2886</v>
      </c>
      <c r="L136" s="14" t="s">
        <v>119</v>
      </c>
      <c r="M136" s="14">
        <v>5391</v>
      </c>
      <c r="N136" s="14">
        <v>5150</v>
      </c>
      <c r="O136" s="14">
        <v>353910</v>
      </c>
      <c r="P136" s="14">
        <v>151500</v>
      </c>
      <c r="Q136" s="14"/>
    </row>
    <row r="137" spans="1:17" ht="22.5" x14ac:dyDescent="0.25">
      <c r="A137" s="11" t="s">
        <v>2684</v>
      </c>
      <c r="B137" s="13" t="s">
        <v>22</v>
      </c>
      <c r="C137" s="61" t="s">
        <v>2827</v>
      </c>
      <c r="D137" s="13" t="s">
        <v>18</v>
      </c>
      <c r="E137" s="14" t="s">
        <v>2828</v>
      </c>
      <c r="F137" s="14" t="s">
        <v>11</v>
      </c>
      <c r="G137" s="13"/>
      <c r="H137" s="14">
        <f>G137+I137</f>
        <v>1</v>
      </c>
      <c r="I137" s="14">
        <v>1</v>
      </c>
      <c r="J137" s="14">
        <v>1</v>
      </c>
      <c r="K137" s="13" t="s">
        <v>849</v>
      </c>
      <c r="L137" s="14" t="s">
        <v>119</v>
      </c>
      <c r="M137" s="14">
        <v>559</v>
      </c>
      <c r="N137" s="14">
        <v>498</v>
      </c>
      <c r="O137" s="14">
        <v>355900</v>
      </c>
      <c r="P137" s="14">
        <v>149800</v>
      </c>
      <c r="Q137" s="14"/>
    </row>
    <row r="138" spans="1:17" x14ac:dyDescent="0.25">
      <c r="A138" s="11" t="s">
        <v>2684</v>
      </c>
      <c r="B138" s="13" t="s">
        <v>22</v>
      </c>
      <c r="C138" s="62" t="s">
        <v>406</v>
      </c>
      <c r="D138" s="13" t="s">
        <v>18</v>
      </c>
      <c r="E138" s="14" t="s">
        <v>512</v>
      </c>
      <c r="F138" s="14" t="s">
        <v>11</v>
      </c>
      <c r="G138" s="13"/>
      <c r="H138" s="14">
        <f t="shared" si="5"/>
        <v>1</v>
      </c>
      <c r="I138" s="14">
        <v>1</v>
      </c>
      <c r="J138" s="14">
        <v>1</v>
      </c>
      <c r="K138" s="13" t="s">
        <v>849</v>
      </c>
      <c r="L138" s="14" t="s">
        <v>119</v>
      </c>
      <c r="M138" s="14">
        <v>4842</v>
      </c>
      <c r="N138" s="14">
        <v>5582</v>
      </c>
      <c r="O138" s="14">
        <v>348420</v>
      </c>
      <c r="P138" s="14">
        <v>155820</v>
      </c>
      <c r="Q138" s="14"/>
    </row>
    <row r="139" spans="1:17" x14ac:dyDescent="0.25">
      <c r="A139" s="11" t="s">
        <v>2684</v>
      </c>
      <c r="B139" s="13" t="s">
        <v>22</v>
      </c>
      <c r="C139" s="62" t="s">
        <v>510</v>
      </c>
      <c r="D139" s="13" t="s">
        <v>18</v>
      </c>
      <c r="E139" s="14" t="s">
        <v>512</v>
      </c>
      <c r="F139" s="14" t="s">
        <v>11</v>
      </c>
      <c r="G139" s="13">
        <v>1</v>
      </c>
      <c r="H139" s="14">
        <f t="shared" si="5"/>
        <v>2</v>
      </c>
      <c r="I139" s="14">
        <v>1</v>
      </c>
      <c r="J139" s="14">
        <v>2</v>
      </c>
      <c r="K139" s="13" t="s">
        <v>2548</v>
      </c>
      <c r="L139" s="14" t="s">
        <v>119</v>
      </c>
      <c r="M139" s="14">
        <v>540</v>
      </c>
      <c r="N139" s="14">
        <v>530</v>
      </c>
      <c r="O139" s="14">
        <v>354000</v>
      </c>
      <c r="P139" s="14">
        <v>153000</v>
      </c>
      <c r="Q139" s="14"/>
    </row>
    <row r="140" spans="1:17" x14ac:dyDescent="0.25">
      <c r="A140" s="11" t="s">
        <v>2684</v>
      </c>
      <c r="B140" s="13" t="s">
        <v>22</v>
      </c>
      <c r="C140" s="62" t="s">
        <v>2824</v>
      </c>
      <c r="D140" s="13" t="s">
        <v>18</v>
      </c>
      <c r="E140" s="14" t="s">
        <v>512</v>
      </c>
      <c r="F140" s="14" t="s">
        <v>11</v>
      </c>
      <c r="G140" s="13"/>
      <c r="H140" s="14">
        <f t="shared" ref="H140:H146" si="6">G140+I140</f>
        <v>1</v>
      </c>
      <c r="I140" s="14">
        <v>1</v>
      </c>
      <c r="J140" s="14">
        <v>1</v>
      </c>
      <c r="K140" s="13" t="s">
        <v>1396</v>
      </c>
      <c r="L140" s="14" t="s">
        <v>119</v>
      </c>
      <c r="M140" s="14">
        <v>540</v>
      </c>
      <c r="N140" s="14">
        <v>530</v>
      </c>
      <c r="O140" s="14">
        <v>354000</v>
      </c>
      <c r="P140" s="14">
        <v>153000</v>
      </c>
      <c r="Q140" s="14"/>
    </row>
    <row r="141" spans="1:17" x14ac:dyDescent="0.25">
      <c r="A141" s="11" t="s">
        <v>2684</v>
      </c>
      <c r="B141" s="13" t="s">
        <v>22</v>
      </c>
      <c r="C141" s="62" t="s">
        <v>2825</v>
      </c>
      <c r="D141" s="13" t="s">
        <v>18</v>
      </c>
      <c r="E141" s="14" t="s">
        <v>512</v>
      </c>
      <c r="F141" s="14" t="s">
        <v>11</v>
      </c>
      <c r="G141" s="13"/>
      <c r="H141" s="14">
        <f t="shared" si="6"/>
        <v>1</v>
      </c>
      <c r="I141" s="14">
        <v>1</v>
      </c>
      <c r="J141" s="14">
        <v>1</v>
      </c>
      <c r="K141" s="13" t="s">
        <v>1396</v>
      </c>
      <c r="L141" s="14" t="s">
        <v>119</v>
      </c>
      <c r="M141" s="14">
        <v>540</v>
      </c>
      <c r="N141" s="14">
        <v>530</v>
      </c>
      <c r="O141" s="14">
        <v>354000</v>
      </c>
      <c r="P141" s="14">
        <v>153000</v>
      </c>
      <c r="Q141" s="14"/>
    </row>
    <row r="142" spans="1:17" x14ac:dyDescent="0.25">
      <c r="A142" s="11" t="s">
        <v>2684</v>
      </c>
      <c r="B142" s="13" t="s">
        <v>22</v>
      </c>
      <c r="C142" s="62" t="s">
        <v>2980</v>
      </c>
      <c r="D142" s="13" t="s">
        <v>8</v>
      </c>
      <c r="E142" s="14" t="s">
        <v>512</v>
      </c>
      <c r="F142" s="14" t="s">
        <v>11</v>
      </c>
      <c r="G142" s="13"/>
      <c r="H142" s="14">
        <f t="shared" si="6"/>
        <v>1</v>
      </c>
      <c r="I142" s="14">
        <v>1</v>
      </c>
      <c r="J142" s="14">
        <v>1</v>
      </c>
      <c r="K142" s="13" t="s">
        <v>1521</v>
      </c>
      <c r="L142" s="14" t="s">
        <v>596</v>
      </c>
      <c r="M142" s="14">
        <v>8382</v>
      </c>
      <c r="N142" s="14">
        <v>3431</v>
      </c>
      <c r="O142" s="14">
        <v>283820</v>
      </c>
      <c r="P142" s="14">
        <v>134310</v>
      </c>
      <c r="Q142" s="14"/>
    </row>
    <row r="143" spans="1:17" ht="22.5" x14ac:dyDescent="0.25">
      <c r="A143" s="11" t="s">
        <v>2684</v>
      </c>
      <c r="B143" s="13" t="s">
        <v>609</v>
      </c>
      <c r="C143" s="62" t="s">
        <v>2887</v>
      </c>
      <c r="D143" s="13" t="s">
        <v>540</v>
      </c>
      <c r="E143" s="14" t="s">
        <v>2888</v>
      </c>
      <c r="F143" s="14" t="s">
        <v>11</v>
      </c>
      <c r="G143" s="13"/>
      <c r="H143" s="14">
        <f t="shared" si="6"/>
        <v>1</v>
      </c>
      <c r="I143" s="14">
        <v>1</v>
      </c>
      <c r="J143" s="14">
        <v>1</v>
      </c>
      <c r="K143" s="13" t="s">
        <v>2886</v>
      </c>
      <c r="L143" s="14" t="s">
        <v>140</v>
      </c>
      <c r="M143" s="14">
        <v>2245</v>
      </c>
      <c r="N143" s="14">
        <v>4115</v>
      </c>
      <c r="O143" s="14">
        <v>622450</v>
      </c>
      <c r="P143" s="14">
        <v>241150</v>
      </c>
      <c r="Q143" s="14"/>
    </row>
    <row r="144" spans="1:17" ht="22.5" x14ac:dyDescent="0.25">
      <c r="A144" s="11" t="s">
        <v>2684</v>
      </c>
      <c r="B144" s="13" t="s">
        <v>609</v>
      </c>
      <c r="C144" s="62" t="s">
        <v>2931</v>
      </c>
      <c r="D144" s="13" t="s">
        <v>2918</v>
      </c>
      <c r="E144" s="14" t="s">
        <v>2932</v>
      </c>
      <c r="F144" s="14" t="s">
        <v>11</v>
      </c>
      <c r="G144" s="13"/>
      <c r="H144" s="14">
        <f t="shared" si="6"/>
        <v>1</v>
      </c>
      <c r="I144" s="14">
        <v>1</v>
      </c>
      <c r="J144" s="14">
        <v>1</v>
      </c>
      <c r="K144" s="13" t="s">
        <v>1252</v>
      </c>
      <c r="L144" s="14" t="s">
        <v>177</v>
      </c>
      <c r="M144" s="14">
        <v>651</v>
      </c>
      <c r="N144" s="14">
        <v>656</v>
      </c>
      <c r="O144" s="14">
        <v>565100</v>
      </c>
      <c r="P144" s="14">
        <v>265600</v>
      </c>
      <c r="Q144" s="14"/>
    </row>
    <row r="145" spans="1:17" ht="22.5" x14ac:dyDescent="0.25">
      <c r="A145" s="11" t="s">
        <v>2684</v>
      </c>
      <c r="B145" s="13" t="s">
        <v>699</v>
      </c>
      <c r="C145" s="62" t="s">
        <v>2366</v>
      </c>
      <c r="D145" s="13" t="s">
        <v>1932</v>
      </c>
      <c r="E145" s="14" t="s">
        <v>2678</v>
      </c>
      <c r="F145" s="14" t="s">
        <v>11</v>
      </c>
      <c r="G145" s="13"/>
      <c r="H145" s="14">
        <f t="shared" si="6"/>
        <v>1</v>
      </c>
      <c r="I145" s="14">
        <v>1</v>
      </c>
      <c r="J145" s="14">
        <v>1</v>
      </c>
      <c r="K145" s="13" t="s">
        <v>224</v>
      </c>
      <c r="L145" s="14" t="s">
        <v>108</v>
      </c>
      <c r="M145" s="14">
        <v>24</v>
      </c>
      <c r="N145" s="14">
        <v>726</v>
      </c>
      <c r="O145" s="14">
        <v>502400</v>
      </c>
      <c r="P145" s="14">
        <v>172600</v>
      </c>
      <c r="Q145" s="14"/>
    </row>
    <row r="146" spans="1:17" ht="22.5" x14ac:dyDescent="0.25">
      <c r="A146" s="11" t="s">
        <v>2684</v>
      </c>
      <c r="B146" s="13" t="s">
        <v>93</v>
      </c>
      <c r="C146" s="62" t="s">
        <v>2677</v>
      </c>
      <c r="D146" s="13" t="s">
        <v>92</v>
      </c>
      <c r="E146" s="14" t="s">
        <v>112</v>
      </c>
      <c r="F146" s="14" t="s">
        <v>11</v>
      </c>
      <c r="G146" s="13"/>
      <c r="H146" s="14">
        <f t="shared" si="6"/>
        <v>1</v>
      </c>
      <c r="I146" s="14">
        <v>1</v>
      </c>
      <c r="J146" s="14">
        <v>1</v>
      </c>
      <c r="K146" s="13" t="s">
        <v>224</v>
      </c>
      <c r="L146" s="14" t="s">
        <v>110</v>
      </c>
      <c r="M146" s="14">
        <v>9758</v>
      </c>
      <c r="N146" s="14">
        <v>1261</v>
      </c>
      <c r="O146" s="14">
        <v>497580</v>
      </c>
      <c r="P146" s="14">
        <v>112610</v>
      </c>
      <c r="Q146" s="14"/>
    </row>
    <row r="147" spans="1:17" x14ac:dyDescent="0.25">
      <c r="A147" s="11" t="s">
        <v>2684</v>
      </c>
      <c r="B147" s="13" t="s">
        <v>93</v>
      </c>
      <c r="C147" s="62" t="s">
        <v>2102</v>
      </c>
      <c r="D147" s="13" t="s">
        <v>39</v>
      </c>
      <c r="E147" s="14" t="s">
        <v>2103</v>
      </c>
      <c r="F147" s="14" t="s">
        <v>11</v>
      </c>
      <c r="G147" s="13"/>
      <c r="H147" s="14">
        <f t="shared" si="5"/>
        <v>3</v>
      </c>
      <c r="I147" s="14">
        <v>3</v>
      </c>
      <c r="J147" s="14">
        <v>3</v>
      </c>
      <c r="K147" s="13" t="s">
        <v>2353</v>
      </c>
      <c r="L147" s="14" t="s">
        <v>2104</v>
      </c>
      <c r="M147" s="14">
        <v>5570</v>
      </c>
      <c r="N147" s="14">
        <v>9567</v>
      </c>
      <c r="O147" s="14">
        <v>555700</v>
      </c>
      <c r="P147" s="14">
        <v>95670</v>
      </c>
      <c r="Q147" s="14"/>
    </row>
    <row r="148" spans="1:17" ht="22.5" x14ac:dyDescent="0.25">
      <c r="A148" s="11" t="s">
        <v>2684</v>
      </c>
      <c r="B148" s="13" t="s">
        <v>93</v>
      </c>
      <c r="C148" s="62" t="s">
        <v>203</v>
      </c>
      <c r="D148" s="13" t="s">
        <v>92</v>
      </c>
      <c r="E148" s="14" t="s">
        <v>103</v>
      </c>
      <c r="F148" s="14" t="s">
        <v>11</v>
      </c>
      <c r="G148" s="13"/>
      <c r="H148" s="14">
        <f t="shared" si="5"/>
        <v>2</v>
      </c>
      <c r="I148" s="14">
        <v>2</v>
      </c>
      <c r="J148" s="14">
        <v>2</v>
      </c>
      <c r="K148" s="13" t="s">
        <v>687</v>
      </c>
      <c r="L148" s="14" t="s">
        <v>108</v>
      </c>
      <c r="M148" s="14">
        <v>5750</v>
      </c>
      <c r="N148" s="14">
        <v>222</v>
      </c>
      <c r="O148" s="14">
        <v>557500</v>
      </c>
      <c r="P148" s="14">
        <v>102220</v>
      </c>
      <c r="Q148" s="14"/>
    </row>
    <row r="149" spans="1:17" ht="22.5" x14ac:dyDescent="0.25">
      <c r="A149" s="11" t="s">
        <v>2684</v>
      </c>
      <c r="B149" s="13" t="s">
        <v>93</v>
      </c>
      <c r="C149" s="62" t="s">
        <v>2891</v>
      </c>
      <c r="D149" s="13" t="s">
        <v>540</v>
      </c>
      <c r="E149" s="14" t="s">
        <v>112</v>
      </c>
      <c r="F149" s="14" t="s">
        <v>11</v>
      </c>
      <c r="G149" s="13"/>
      <c r="H149" s="14">
        <f>G149+I149</f>
        <v>1</v>
      </c>
      <c r="I149" s="14">
        <v>1</v>
      </c>
      <c r="J149" s="14">
        <v>1</v>
      </c>
      <c r="K149" s="13" t="s">
        <v>2886</v>
      </c>
      <c r="L149" s="14" t="s">
        <v>110</v>
      </c>
      <c r="M149" s="14">
        <v>825</v>
      </c>
      <c r="N149" s="14">
        <v>173</v>
      </c>
      <c r="O149" s="14">
        <v>482500</v>
      </c>
      <c r="P149" s="14">
        <v>117300</v>
      </c>
      <c r="Q149" s="14"/>
    </row>
    <row r="150" spans="1:17" ht="22.5" x14ac:dyDescent="0.25">
      <c r="A150" s="11" t="s">
        <v>2684</v>
      </c>
      <c r="B150" s="13" t="s">
        <v>93</v>
      </c>
      <c r="C150" s="62" t="s">
        <v>199</v>
      </c>
      <c r="D150" s="13" t="s">
        <v>92</v>
      </c>
      <c r="E150" s="14" t="s">
        <v>112</v>
      </c>
      <c r="F150" s="14" t="s">
        <v>11</v>
      </c>
      <c r="G150" s="13"/>
      <c r="H150" s="14">
        <f t="shared" si="5"/>
        <v>7</v>
      </c>
      <c r="I150" s="14">
        <v>7</v>
      </c>
      <c r="J150" s="14">
        <v>4</v>
      </c>
      <c r="K150" s="13" t="s">
        <v>2679</v>
      </c>
      <c r="L150" s="14" t="s">
        <v>110</v>
      </c>
      <c r="M150" s="14">
        <v>877</v>
      </c>
      <c r="N150" s="14">
        <v>110</v>
      </c>
      <c r="O150" s="14">
        <v>487700</v>
      </c>
      <c r="P150" s="14">
        <v>111000</v>
      </c>
      <c r="Q150" s="14"/>
    </row>
    <row r="151" spans="1:17" ht="22.5" x14ac:dyDescent="0.25">
      <c r="A151" s="11" t="s">
        <v>2684</v>
      </c>
      <c r="B151" s="13" t="s">
        <v>93</v>
      </c>
      <c r="C151" s="62" t="s">
        <v>202</v>
      </c>
      <c r="D151" s="13" t="s">
        <v>92</v>
      </c>
      <c r="E151" s="13" t="s">
        <v>205</v>
      </c>
      <c r="F151" s="14" t="s">
        <v>11</v>
      </c>
      <c r="G151" s="13"/>
      <c r="H151" s="14">
        <f t="shared" si="5"/>
        <v>6</v>
      </c>
      <c r="I151" s="14">
        <v>6</v>
      </c>
      <c r="J151" s="14">
        <v>3</v>
      </c>
      <c r="K151" s="13" t="s">
        <v>2680</v>
      </c>
      <c r="L151" s="14" t="s">
        <v>108</v>
      </c>
      <c r="M151" s="14">
        <v>3303</v>
      </c>
      <c r="N151" s="14">
        <v>477</v>
      </c>
      <c r="O151" s="14">
        <v>533030</v>
      </c>
      <c r="P151" s="14">
        <v>104770</v>
      </c>
      <c r="Q151" s="14"/>
    </row>
    <row r="152" spans="1:17" ht="22.5" x14ac:dyDescent="0.25">
      <c r="A152" s="11" t="s">
        <v>2684</v>
      </c>
      <c r="B152" s="13" t="s">
        <v>24</v>
      </c>
      <c r="C152" s="62" t="s">
        <v>2930</v>
      </c>
      <c r="D152" s="13" t="s">
        <v>2918</v>
      </c>
      <c r="E152" s="14" t="s">
        <v>1196</v>
      </c>
      <c r="F152" s="14" t="s">
        <v>11</v>
      </c>
      <c r="G152" s="13"/>
      <c r="H152" s="14">
        <f>G152+I152</f>
        <v>1</v>
      </c>
      <c r="I152" s="14">
        <v>1</v>
      </c>
      <c r="J152" s="14">
        <v>1</v>
      </c>
      <c r="K152" s="13" t="s">
        <v>1252</v>
      </c>
      <c r="L152" s="14" t="s">
        <v>110</v>
      </c>
      <c r="M152" s="14">
        <v>1782</v>
      </c>
      <c r="N152" s="14">
        <v>4237</v>
      </c>
      <c r="O152" s="14">
        <v>417820</v>
      </c>
      <c r="P152" s="14">
        <v>142370</v>
      </c>
      <c r="Q152" s="14"/>
    </row>
    <row r="153" spans="1:17" ht="22.5" x14ac:dyDescent="0.25">
      <c r="A153" s="11" t="s">
        <v>2684</v>
      </c>
      <c r="B153" s="13" t="s">
        <v>24</v>
      </c>
      <c r="C153" s="62" t="s">
        <v>23</v>
      </c>
      <c r="D153" s="13" t="s">
        <v>124</v>
      </c>
      <c r="E153" s="14" t="s">
        <v>21</v>
      </c>
      <c r="F153" s="14" t="s">
        <v>11</v>
      </c>
      <c r="G153" s="13">
        <v>10</v>
      </c>
      <c r="H153" s="14">
        <f t="shared" si="5"/>
        <v>19</v>
      </c>
      <c r="I153" s="14">
        <v>9</v>
      </c>
      <c r="J153" s="14">
        <v>10</v>
      </c>
      <c r="K153" s="13" t="s">
        <v>2972</v>
      </c>
      <c r="L153" s="14" t="s">
        <v>110</v>
      </c>
      <c r="M153" s="14">
        <v>1026</v>
      </c>
      <c r="N153" s="14">
        <v>6996</v>
      </c>
      <c r="O153" s="14">
        <v>410260</v>
      </c>
      <c r="P153" s="14">
        <v>169960</v>
      </c>
      <c r="Q153" s="14"/>
    </row>
    <row r="154" spans="1:17" ht="22.5" x14ac:dyDescent="0.25">
      <c r="A154" s="11" t="s">
        <v>2684</v>
      </c>
      <c r="B154" s="13" t="s">
        <v>24</v>
      </c>
      <c r="C154" s="62" t="s">
        <v>2177</v>
      </c>
      <c r="D154" s="13" t="s">
        <v>124</v>
      </c>
      <c r="E154" s="14" t="s">
        <v>23</v>
      </c>
      <c r="F154" s="14" t="s">
        <v>11</v>
      </c>
      <c r="G154" s="13"/>
      <c r="H154" s="14">
        <f t="shared" si="5"/>
        <v>1</v>
      </c>
      <c r="I154" s="14">
        <v>1</v>
      </c>
      <c r="J154" s="14">
        <v>1</v>
      </c>
      <c r="K154" s="13" t="s">
        <v>2833</v>
      </c>
      <c r="L154" s="14" t="s">
        <v>110</v>
      </c>
      <c r="M154" s="14">
        <v>1026</v>
      </c>
      <c r="N154" s="14">
        <v>6996</v>
      </c>
      <c r="O154" s="14">
        <v>410260</v>
      </c>
      <c r="P154" s="14">
        <v>169960</v>
      </c>
      <c r="Q154" s="14"/>
    </row>
    <row r="155" spans="1:17" x14ac:dyDescent="0.25">
      <c r="A155" s="11" t="s">
        <v>2684</v>
      </c>
      <c r="B155" s="13" t="s">
        <v>24</v>
      </c>
      <c r="C155" s="62" t="s">
        <v>2174</v>
      </c>
      <c r="D155" s="13" t="s">
        <v>2843</v>
      </c>
      <c r="E155" s="14" t="s">
        <v>23</v>
      </c>
      <c r="F155" s="14" t="s">
        <v>11</v>
      </c>
      <c r="G155" s="13"/>
      <c r="H155" s="14">
        <f>G155+I155</f>
        <v>1</v>
      </c>
      <c r="I155" s="14">
        <v>1</v>
      </c>
      <c r="J155" s="14">
        <v>1</v>
      </c>
      <c r="K155" s="13" t="s">
        <v>2833</v>
      </c>
      <c r="L155" s="14" t="s">
        <v>110</v>
      </c>
      <c r="M155" s="14">
        <v>1026</v>
      </c>
      <c r="N155" s="14">
        <v>6996</v>
      </c>
      <c r="O155" s="14">
        <v>410260</v>
      </c>
      <c r="P155" s="14">
        <v>169960</v>
      </c>
      <c r="Q155" s="14"/>
    </row>
    <row r="156" spans="1:17" x14ac:dyDescent="0.25">
      <c r="A156" s="11" t="s">
        <v>2684</v>
      </c>
      <c r="B156" s="13" t="s">
        <v>24</v>
      </c>
      <c r="C156" s="62" t="s">
        <v>2175</v>
      </c>
      <c r="D156" s="13" t="s">
        <v>2843</v>
      </c>
      <c r="E156" s="14" t="s">
        <v>23</v>
      </c>
      <c r="F156" s="14" t="s">
        <v>11</v>
      </c>
      <c r="G156" s="13"/>
      <c r="H156" s="14">
        <f t="shared" si="5"/>
        <v>1</v>
      </c>
      <c r="I156" s="14">
        <v>1</v>
      </c>
      <c r="J156" s="14">
        <v>1</v>
      </c>
      <c r="K156" s="13" t="s">
        <v>2833</v>
      </c>
      <c r="L156" s="14" t="s">
        <v>110</v>
      </c>
      <c r="M156" s="14">
        <v>1026</v>
      </c>
      <c r="N156" s="14">
        <v>6996</v>
      </c>
      <c r="O156" s="14">
        <v>410260</v>
      </c>
      <c r="P156" s="14">
        <v>169960</v>
      </c>
      <c r="Q156" s="14"/>
    </row>
    <row r="157" spans="1:17" x14ac:dyDescent="0.25">
      <c r="A157" s="11" t="s">
        <v>2684</v>
      </c>
      <c r="B157" s="13" t="s">
        <v>24</v>
      </c>
      <c r="C157" s="62" t="s">
        <v>23</v>
      </c>
      <c r="D157" s="13" t="s">
        <v>1151</v>
      </c>
      <c r="E157" s="14" t="s">
        <v>21</v>
      </c>
      <c r="F157" s="14" t="s">
        <v>11</v>
      </c>
      <c r="G157" s="13"/>
      <c r="H157" s="14">
        <f t="shared" si="5"/>
        <v>1</v>
      </c>
      <c r="I157" s="14">
        <v>1</v>
      </c>
      <c r="J157" s="14">
        <v>1</v>
      </c>
      <c r="K157" s="13" t="s">
        <v>2833</v>
      </c>
      <c r="L157" s="14" t="s">
        <v>110</v>
      </c>
      <c r="M157" s="14">
        <v>102</v>
      </c>
      <c r="N157" s="14">
        <v>699</v>
      </c>
      <c r="O157" s="14">
        <v>410200</v>
      </c>
      <c r="P157" s="14">
        <v>169900</v>
      </c>
      <c r="Q157" s="14"/>
    </row>
    <row r="158" spans="1:17" x14ac:dyDescent="0.25">
      <c r="A158" s="11" t="s">
        <v>2684</v>
      </c>
      <c r="B158" s="13" t="s">
        <v>24</v>
      </c>
      <c r="C158" s="62" t="s">
        <v>1152</v>
      </c>
      <c r="D158" s="13" t="s">
        <v>1153</v>
      </c>
      <c r="E158" s="14" t="s">
        <v>21</v>
      </c>
      <c r="F158" s="14" t="s">
        <v>11</v>
      </c>
      <c r="G158" s="13"/>
      <c r="H158" s="14">
        <f t="shared" si="5"/>
        <v>1</v>
      </c>
      <c r="I158" s="14">
        <v>1</v>
      </c>
      <c r="J158" s="14">
        <v>1</v>
      </c>
      <c r="K158" s="13" t="s">
        <v>2833</v>
      </c>
      <c r="L158" s="14" t="s">
        <v>110</v>
      </c>
      <c r="M158" s="14">
        <v>102</v>
      </c>
      <c r="N158" s="14">
        <v>699</v>
      </c>
      <c r="O158" s="14">
        <v>410200</v>
      </c>
      <c r="P158" s="14">
        <v>169900</v>
      </c>
      <c r="Q158" s="14"/>
    </row>
    <row r="159" spans="1:17" x14ac:dyDescent="0.25">
      <c r="A159" s="11" t="s">
        <v>2684</v>
      </c>
      <c r="B159" s="13" t="s">
        <v>24</v>
      </c>
      <c r="C159" s="62" t="s">
        <v>146</v>
      </c>
      <c r="D159" s="13" t="s">
        <v>26</v>
      </c>
      <c r="E159" s="14" t="s">
        <v>21</v>
      </c>
      <c r="F159" s="14" t="s">
        <v>11</v>
      </c>
      <c r="G159" s="13"/>
      <c r="H159" s="14">
        <f t="shared" si="5"/>
        <v>1</v>
      </c>
      <c r="I159" s="14">
        <v>1</v>
      </c>
      <c r="J159" s="14">
        <v>1</v>
      </c>
      <c r="K159" s="13" t="s">
        <v>2833</v>
      </c>
      <c r="L159" s="14" t="s">
        <v>110</v>
      </c>
      <c r="M159" s="14">
        <v>66</v>
      </c>
      <c r="N159" s="14">
        <v>677</v>
      </c>
      <c r="O159" s="14">
        <v>406600</v>
      </c>
      <c r="P159" s="14">
        <v>167700</v>
      </c>
      <c r="Q159" s="14"/>
    </row>
    <row r="160" spans="1:17" x14ac:dyDescent="0.25">
      <c r="A160" s="11" t="s">
        <v>2684</v>
      </c>
      <c r="B160" s="13" t="s">
        <v>24</v>
      </c>
      <c r="C160" s="62" t="s">
        <v>1340</v>
      </c>
      <c r="D160" s="13" t="s">
        <v>1198</v>
      </c>
      <c r="E160" s="14" t="s">
        <v>1839</v>
      </c>
      <c r="F160" s="14" t="s">
        <v>11</v>
      </c>
      <c r="G160" s="13"/>
      <c r="H160" s="14">
        <f t="shared" si="5"/>
        <v>1</v>
      </c>
      <c r="I160" s="14">
        <v>1</v>
      </c>
      <c r="J160" s="14">
        <v>1</v>
      </c>
      <c r="K160" s="13" t="s">
        <v>1234</v>
      </c>
      <c r="L160" s="14" t="s">
        <v>110</v>
      </c>
      <c r="M160" s="14">
        <v>7995</v>
      </c>
      <c r="N160" s="14">
        <v>8199</v>
      </c>
      <c r="O160" s="14">
        <v>379950</v>
      </c>
      <c r="P160" s="14">
        <v>81990</v>
      </c>
      <c r="Q160" s="14"/>
    </row>
    <row r="161" spans="1:17" ht="22.5" x14ac:dyDescent="0.25">
      <c r="A161" s="11" t="s">
        <v>2684</v>
      </c>
      <c r="B161" s="13" t="s">
        <v>24</v>
      </c>
      <c r="C161" s="62" t="s">
        <v>2279</v>
      </c>
      <c r="D161" s="13" t="s">
        <v>540</v>
      </c>
      <c r="E161" s="14" t="s">
        <v>21</v>
      </c>
      <c r="F161" s="14" t="s">
        <v>11</v>
      </c>
      <c r="G161" s="13"/>
      <c r="H161" s="14">
        <f t="shared" si="5"/>
        <v>3</v>
      </c>
      <c r="I161" s="14">
        <v>3</v>
      </c>
      <c r="J161" s="14">
        <v>1</v>
      </c>
      <c r="K161" s="13" t="s">
        <v>1234</v>
      </c>
      <c r="L161" s="14" t="s">
        <v>110</v>
      </c>
      <c r="M161" s="14">
        <v>1190</v>
      </c>
      <c r="N161" s="14">
        <v>4280</v>
      </c>
      <c r="O161" s="14">
        <v>411900</v>
      </c>
      <c r="P161" s="14">
        <v>142800</v>
      </c>
      <c r="Q161" s="14"/>
    </row>
    <row r="162" spans="1:17" x14ac:dyDescent="0.25">
      <c r="A162" s="11" t="s">
        <v>2684</v>
      </c>
      <c r="B162" s="13" t="s">
        <v>24</v>
      </c>
      <c r="C162" s="62" t="s">
        <v>15</v>
      </c>
      <c r="D162" s="13" t="s">
        <v>18</v>
      </c>
      <c r="E162" s="14" t="s">
        <v>21</v>
      </c>
      <c r="F162" s="14" t="s">
        <v>11</v>
      </c>
      <c r="G162" s="13">
        <v>5</v>
      </c>
      <c r="H162" s="14">
        <f t="shared" si="5"/>
        <v>19</v>
      </c>
      <c r="I162" s="14">
        <v>14</v>
      </c>
      <c r="J162" s="14">
        <v>9</v>
      </c>
      <c r="K162" s="13" t="s">
        <v>2871</v>
      </c>
      <c r="L162" s="14" t="s">
        <v>110</v>
      </c>
      <c r="M162" s="14">
        <v>1501</v>
      </c>
      <c r="N162" s="14">
        <v>4375</v>
      </c>
      <c r="O162" s="14">
        <v>415010</v>
      </c>
      <c r="P162" s="14">
        <v>143750</v>
      </c>
      <c r="Q162" s="14"/>
    </row>
    <row r="163" spans="1:17" x14ac:dyDescent="0.25">
      <c r="A163" s="11" t="s">
        <v>2684</v>
      </c>
      <c r="B163" s="13" t="s">
        <v>24</v>
      </c>
      <c r="C163" s="62" t="s">
        <v>2174</v>
      </c>
      <c r="D163" s="13" t="s">
        <v>18</v>
      </c>
      <c r="E163" s="13" t="s">
        <v>15</v>
      </c>
      <c r="F163" s="14" t="s">
        <v>11</v>
      </c>
      <c r="G163" s="13"/>
      <c r="H163" s="14">
        <f t="shared" si="5"/>
        <v>4</v>
      </c>
      <c r="I163" s="14">
        <v>4</v>
      </c>
      <c r="J163" s="14">
        <v>3</v>
      </c>
      <c r="K163" s="13" t="s">
        <v>2859</v>
      </c>
      <c r="L163" s="14" t="s">
        <v>110</v>
      </c>
      <c r="M163" s="14">
        <v>1501</v>
      </c>
      <c r="N163" s="14">
        <v>4375</v>
      </c>
      <c r="O163" s="14">
        <v>415010</v>
      </c>
      <c r="P163" s="14">
        <v>143750</v>
      </c>
      <c r="Q163" s="14"/>
    </row>
    <row r="164" spans="1:17" x14ac:dyDescent="0.25">
      <c r="A164" s="11" t="s">
        <v>2684</v>
      </c>
      <c r="B164" s="13" t="s">
        <v>24</v>
      </c>
      <c r="C164" s="62" t="s">
        <v>2175</v>
      </c>
      <c r="D164" s="13" t="s">
        <v>18</v>
      </c>
      <c r="E164" s="13" t="s">
        <v>15</v>
      </c>
      <c r="F164" s="14" t="s">
        <v>11</v>
      </c>
      <c r="G164" s="13"/>
      <c r="H164" s="14">
        <f t="shared" si="5"/>
        <v>5</v>
      </c>
      <c r="I164" s="14">
        <v>5</v>
      </c>
      <c r="J164" s="14">
        <v>3</v>
      </c>
      <c r="K164" s="13" t="s">
        <v>2860</v>
      </c>
      <c r="L164" s="14" t="s">
        <v>110</v>
      </c>
      <c r="M164" s="14">
        <v>1501</v>
      </c>
      <c r="N164" s="14">
        <v>4375</v>
      </c>
      <c r="O164" s="14">
        <v>415010</v>
      </c>
      <c r="P164" s="14">
        <v>143750</v>
      </c>
      <c r="Q164" s="14"/>
    </row>
    <row r="165" spans="1:17" ht="22.5" x14ac:dyDescent="0.25">
      <c r="A165" s="11" t="s">
        <v>2684</v>
      </c>
      <c r="B165" s="13" t="s">
        <v>24</v>
      </c>
      <c r="C165" s="62" t="s">
        <v>691</v>
      </c>
      <c r="D165" s="13" t="s">
        <v>854</v>
      </c>
      <c r="E165" s="14" t="s">
        <v>21</v>
      </c>
      <c r="F165" s="14" t="s">
        <v>11</v>
      </c>
      <c r="G165" s="13"/>
      <c r="H165" s="14">
        <f t="shared" si="5"/>
        <v>2</v>
      </c>
      <c r="I165" s="14">
        <v>2</v>
      </c>
      <c r="J165" s="14">
        <v>2</v>
      </c>
      <c r="K165" s="13" t="s">
        <v>2663</v>
      </c>
      <c r="L165" s="14" t="s">
        <v>110</v>
      </c>
      <c r="M165" s="14">
        <v>2342</v>
      </c>
      <c r="N165" s="14">
        <v>3579</v>
      </c>
      <c r="O165" s="14">
        <v>423420</v>
      </c>
      <c r="P165" s="14">
        <v>135790</v>
      </c>
      <c r="Q165" s="14"/>
    </row>
    <row r="166" spans="1:17" x14ac:dyDescent="0.25">
      <c r="A166" s="11" t="s">
        <v>2684</v>
      </c>
      <c r="B166" s="13" t="s">
        <v>24</v>
      </c>
      <c r="C166" s="62" t="s">
        <v>997</v>
      </c>
      <c r="D166" s="13" t="s">
        <v>26</v>
      </c>
      <c r="E166" s="14" t="s">
        <v>21</v>
      </c>
      <c r="F166" s="14" t="s">
        <v>11</v>
      </c>
      <c r="G166" s="13"/>
      <c r="H166" s="14">
        <f t="shared" si="5"/>
        <v>13</v>
      </c>
      <c r="I166" s="14">
        <v>13</v>
      </c>
      <c r="J166" s="14">
        <v>6</v>
      </c>
      <c r="K166" s="13" t="s">
        <v>2687</v>
      </c>
      <c r="L166" s="14" t="s">
        <v>110</v>
      </c>
      <c r="M166" s="14">
        <v>1918</v>
      </c>
      <c r="N166" s="14">
        <v>3247</v>
      </c>
      <c r="O166" s="14">
        <v>419180</v>
      </c>
      <c r="P166" s="14">
        <v>132470</v>
      </c>
      <c r="Q166" s="14"/>
    </row>
    <row r="167" spans="1:17" x14ac:dyDescent="0.25">
      <c r="A167" s="11" t="s">
        <v>2684</v>
      </c>
      <c r="B167" s="13" t="s">
        <v>24</v>
      </c>
      <c r="C167" s="62" t="s">
        <v>2685</v>
      </c>
      <c r="D167" s="13" t="s">
        <v>26</v>
      </c>
      <c r="E167" s="14" t="s">
        <v>21</v>
      </c>
      <c r="F167" s="14" t="s">
        <v>11</v>
      </c>
      <c r="G167" s="13"/>
      <c r="H167" s="14">
        <f>G167+I167</f>
        <v>1</v>
      </c>
      <c r="I167" s="14">
        <v>1</v>
      </c>
      <c r="J167" s="14">
        <v>1</v>
      </c>
      <c r="K167" s="13" t="s">
        <v>1103</v>
      </c>
      <c r="L167" s="14" t="s">
        <v>110</v>
      </c>
      <c r="M167" s="14">
        <v>106</v>
      </c>
      <c r="N167" s="14">
        <v>6598</v>
      </c>
      <c r="O167" s="14">
        <v>401060</v>
      </c>
      <c r="P167" s="14">
        <v>165980</v>
      </c>
      <c r="Q167" s="14"/>
    </row>
    <row r="168" spans="1:17" ht="22.5" x14ac:dyDescent="0.25">
      <c r="A168" s="11" t="s">
        <v>2684</v>
      </c>
      <c r="B168" s="13" t="s">
        <v>24</v>
      </c>
      <c r="C168" s="62" t="s">
        <v>987</v>
      </c>
      <c r="D168" s="13" t="s">
        <v>540</v>
      </c>
      <c r="E168" s="14" t="s">
        <v>21</v>
      </c>
      <c r="F168" s="14" t="s">
        <v>11</v>
      </c>
      <c r="G168" s="13"/>
      <c r="H168" s="14">
        <f t="shared" si="5"/>
        <v>1</v>
      </c>
      <c r="I168" s="14">
        <v>1</v>
      </c>
      <c r="J168" s="14">
        <v>1</v>
      </c>
      <c r="K168" s="13" t="s">
        <v>1234</v>
      </c>
      <c r="L168" s="14" t="s">
        <v>110</v>
      </c>
      <c r="M168" s="14">
        <v>137</v>
      </c>
      <c r="N168" s="14">
        <v>423</v>
      </c>
      <c r="O168" s="14">
        <v>413700</v>
      </c>
      <c r="P168" s="14">
        <v>142300</v>
      </c>
      <c r="Q168" s="14"/>
    </row>
    <row r="169" spans="1:17" ht="22.5" x14ac:dyDescent="0.25">
      <c r="A169" s="11" t="s">
        <v>2684</v>
      </c>
      <c r="B169" s="13" t="s">
        <v>24</v>
      </c>
      <c r="C169" s="62" t="s">
        <v>88</v>
      </c>
      <c r="D169" s="13" t="s">
        <v>19</v>
      </c>
      <c r="E169" s="14" t="s">
        <v>21</v>
      </c>
      <c r="F169" s="14" t="s">
        <v>11</v>
      </c>
      <c r="G169" s="13"/>
      <c r="H169" s="14">
        <f t="shared" si="5"/>
        <v>1</v>
      </c>
      <c r="I169" s="14">
        <v>1</v>
      </c>
      <c r="J169" s="14">
        <v>1</v>
      </c>
      <c r="K169" s="13" t="s">
        <v>224</v>
      </c>
      <c r="L169" s="14" t="s">
        <v>110</v>
      </c>
      <c r="M169" s="14">
        <v>1210</v>
      </c>
      <c r="N169" s="14">
        <v>6365</v>
      </c>
      <c r="O169" s="14">
        <v>412100</v>
      </c>
      <c r="P169" s="14">
        <v>163650</v>
      </c>
      <c r="Q169" s="14"/>
    </row>
    <row r="170" spans="1:17" ht="22.5" x14ac:dyDescent="0.25">
      <c r="A170" s="11" t="s">
        <v>2684</v>
      </c>
      <c r="B170" s="13" t="s">
        <v>24</v>
      </c>
      <c r="C170" s="62" t="s">
        <v>2879</v>
      </c>
      <c r="D170" s="13" t="s">
        <v>540</v>
      </c>
      <c r="E170" s="14" t="s">
        <v>21</v>
      </c>
      <c r="F170" s="14" t="s">
        <v>11</v>
      </c>
      <c r="G170" s="13">
        <v>1</v>
      </c>
      <c r="H170" s="14">
        <f>G170+I170</f>
        <v>3</v>
      </c>
      <c r="I170" s="14">
        <v>2</v>
      </c>
      <c r="J170" s="14">
        <v>2</v>
      </c>
      <c r="K170" s="13" t="s">
        <v>2899</v>
      </c>
      <c r="L170" s="14" t="s">
        <v>110</v>
      </c>
      <c r="M170" s="14">
        <v>1095</v>
      </c>
      <c r="N170" s="14">
        <v>4020</v>
      </c>
      <c r="O170" s="14">
        <v>410950</v>
      </c>
      <c r="P170" s="14">
        <v>140200</v>
      </c>
      <c r="Q170" s="14"/>
    </row>
    <row r="171" spans="1:17" ht="22.5" x14ac:dyDescent="0.25">
      <c r="A171" s="11" t="s">
        <v>2684</v>
      </c>
      <c r="B171" s="13" t="s">
        <v>24</v>
      </c>
      <c r="C171" s="62" t="s">
        <v>403</v>
      </c>
      <c r="D171" s="13" t="s">
        <v>2844</v>
      </c>
      <c r="E171" s="14" t="s">
        <v>21</v>
      </c>
      <c r="F171" s="14" t="s">
        <v>11</v>
      </c>
      <c r="G171" s="13"/>
      <c r="H171" s="14">
        <f t="shared" si="5"/>
        <v>10</v>
      </c>
      <c r="I171" s="14">
        <v>10</v>
      </c>
      <c r="J171" s="14">
        <v>8</v>
      </c>
      <c r="K171" s="13" t="s">
        <v>2861</v>
      </c>
      <c r="L171" s="14" t="s">
        <v>110</v>
      </c>
      <c r="M171" s="14">
        <v>908</v>
      </c>
      <c r="N171" s="14">
        <v>5820</v>
      </c>
      <c r="O171" s="14">
        <v>409080</v>
      </c>
      <c r="P171" s="14">
        <v>158200</v>
      </c>
      <c r="Q171" s="14"/>
    </row>
    <row r="172" spans="1:17" ht="22.5" x14ac:dyDescent="0.25">
      <c r="A172" s="11" t="s">
        <v>2684</v>
      </c>
      <c r="B172" s="13" t="s">
        <v>24</v>
      </c>
      <c r="C172" s="61" t="s">
        <v>2878</v>
      </c>
      <c r="D172" s="13" t="s">
        <v>540</v>
      </c>
      <c r="E172" s="14" t="s">
        <v>21</v>
      </c>
      <c r="F172" s="14" t="s">
        <v>11</v>
      </c>
      <c r="G172" s="13"/>
      <c r="H172" s="14">
        <f>G172+I172</f>
        <v>1</v>
      </c>
      <c r="I172" s="14">
        <v>1</v>
      </c>
      <c r="J172" s="14">
        <v>1</v>
      </c>
      <c r="K172" s="13" t="s">
        <v>1234</v>
      </c>
      <c r="L172" s="14" t="s">
        <v>110</v>
      </c>
      <c r="M172" s="14">
        <v>137</v>
      </c>
      <c r="N172" s="14">
        <v>422</v>
      </c>
      <c r="O172" s="14">
        <v>413700</v>
      </c>
      <c r="P172" s="14">
        <v>142200</v>
      </c>
      <c r="Q172" s="14"/>
    </row>
    <row r="173" spans="1:17" ht="22.5" x14ac:dyDescent="0.25">
      <c r="A173" s="11" t="s">
        <v>2684</v>
      </c>
      <c r="B173" s="13" t="s">
        <v>24</v>
      </c>
      <c r="C173" s="61" t="s">
        <v>2267</v>
      </c>
      <c r="D173" s="13" t="s">
        <v>540</v>
      </c>
      <c r="E173" s="14" t="s">
        <v>21</v>
      </c>
      <c r="F173" s="14" t="s">
        <v>11</v>
      </c>
      <c r="G173" s="13"/>
      <c r="H173" s="14">
        <f t="shared" si="5"/>
        <v>4</v>
      </c>
      <c r="I173" s="14">
        <v>4</v>
      </c>
      <c r="J173" s="14">
        <v>3</v>
      </c>
      <c r="K173" s="13" t="s">
        <v>2874</v>
      </c>
      <c r="L173" s="14" t="s">
        <v>110</v>
      </c>
      <c r="M173" s="14">
        <v>116</v>
      </c>
      <c r="N173" s="14">
        <v>413</v>
      </c>
      <c r="O173" s="14">
        <v>411600</v>
      </c>
      <c r="P173" s="14">
        <v>141300</v>
      </c>
      <c r="Q173" s="14"/>
    </row>
    <row r="174" spans="1:17" ht="22.5" x14ac:dyDescent="0.25">
      <c r="A174" s="11" t="s">
        <v>2684</v>
      </c>
      <c r="B174" s="13" t="s">
        <v>24</v>
      </c>
      <c r="C174" s="61" t="s">
        <v>2877</v>
      </c>
      <c r="D174" s="13" t="s">
        <v>540</v>
      </c>
      <c r="E174" s="14" t="s">
        <v>21</v>
      </c>
      <c r="F174" s="14" t="s">
        <v>11</v>
      </c>
      <c r="G174" s="13"/>
      <c r="H174" s="14">
        <f t="shared" si="5"/>
        <v>1</v>
      </c>
      <c r="I174" s="14">
        <v>1</v>
      </c>
      <c r="J174" s="14">
        <v>1</v>
      </c>
      <c r="K174" s="13" t="s">
        <v>1234</v>
      </c>
      <c r="L174" s="14" t="s">
        <v>110</v>
      </c>
      <c r="M174" s="14">
        <v>135</v>
      </c>
      <c r="N174" s="14">
        <v>428</v>
      </c>
      <c r="O174" s="14">
        <v>413500</v>
      </c>
      <c r="P174" s="14">
        <v>142800</v>
      </c>
      <c r="Q174" s="14"/>
    </row>
    <row r="175" spans="1:17" x14ac:dyDescent="0.25">
      <c r="A175" s="11" t="s">
        <v>2684</v>
      </c>
      <c r="B175" s="13" t="s">
        <v>24</v>
      </c>
      <c r="C175" s="62" t="s">
        <v>1155</v>
      </c>
      <c r="D175" s="13" t="s">
        <v>1278</v>
      </c>
      <c r="E175" s="14" t="s">
        <v>21</v>
      </c>
      <c r="F175" s="14" t="s">
        <v>11</v>
      </c>
      <c r="G175" s="13">
        <v>1</v>
      </c>
      <c r="H175" s="14">
        <f t="shared" si="5"/>
        <v>1</v>
      </c>
      <c r="J175" s="14">
        <v>1</v>
      </c>
      <c r="K175" s="13" t="s">
        <v>863</v>
      </c>
      <c r="L175" s="14" t="s">
        <v>110</v>
      </c>
      <c r="M175" s="14">
        <v>125</v>
      </c>
      <c r="N175" s="14">
        <v>708</v>
      </c>
      <c r="O175" s="14">
        <v>412500</v>
      </c>
      <c r="P175" s="14">
        <v>170800</v>
      </c>
      <c r="Q175" s="14"/>
    </row>
    <row r="176" spans="1:17" x14ac:dyDescent="0.25">
      <c r="A176" s="11" t="s">
        <v>2684</v>
      </c>
      <c r="B176" s="13" t="s">
        <v>24</v>
      </c>
      <c r="C176" s="62" t="s">
        <v>2880</v>
      </c>
      <c r="D176" s="13" t="s">
        <v>90</v>
      </c>
      <c r="E176" s="14" t="s">
        <v>21</v>
      </c>
      <c r="F176" s="14" t="s">
        <v>11</v>
      </c>
      <c r="G176" s="13"/>
      <c r="H176" s="14">
        <f>G176+I176</f>
        <v>1</v>
      </c>
      <c r="I176" s="14">
        <v>1</v>
      </c>
      <c r="J176" s="14">
        <v>1</v>
      </c>
      <c r="K176" s="13" t="s">
        <v>1234</v>
      </c>
      <c r="L176" s="14" t="s">
        <v>110</v>
      </c>
      <c r="M176" s="14">
        <v>1090</v>
      </c>
      <c r="N176" s="14">
        <v>4027</v>
      </c>
      <c r="O176" s="14">
        <v>410900</v>
      </c>
      <c r="P176" s="14">
        <v>140270</v>
      </c>
      <c r="Q176" s="14"/>
    </row>
    <row r="177" spans="1:17" ht="22.5" x14ac:dyDescent="0.25">
      <c r="A177" s="11" t="s">
        <v>2684</v>
      </c>
      <c r="B177" s="13" t="s">
        <v>24</v>
      </c>
      <c r="C177" s="62" t="s">
        <v>16</v>
      </c>
      <c r="D177" s="13" t="s">
        <v>19</v>
      </c>
      <c r="E177" s="14" t="s">
        <v>21</v>
      </c>
      <c r="F177" s="14" t="s">
        <v>11</v>
      </c>
      <c r="G177" s="13"/>
      <c r="H177" s="14">
        <f t="shared" si="5"/>
        <v>3</v>
      </c>
      <c r="I177" s="14">
        <v>3</v>
      </c>
      <c r="J177" s="14">
        <v>2</v>
      </c>
      <c r="K177" s="13" t="s">
        <v>234</v>
      </c>
      <c r="L177" s="14" t="s">
        <v>110</v>
      </c>
      <c r="M177" s="14">
        <v>1022</v>
      </c>
      <c r="N177" s="14">
        <v>4594</v>
      </c>
      <c r="O177" s="14">
        <v>410220</v>
      </c>
      <c r="P177" s="14">
        <v>145940</v>
      </c>
      <c r="Q177" s="14"/>
    </row>
    <row r="178" spans="1:17" ht="22.5" x14ac:dyDescent="0.25">
      <c r="A178" s="11" t="s">
        <v>2684</v>
      </c>
      <c r="B178" s="13" t="s">
        <v>24</v>
      </c>
      <c r="C178" s="61" t="s">
        <v>2876</v>
      </c>
      <c r="D178" s="13" t="s">
        <v>540</v>
      </c>
      <c r="E178" s="14" t="s">
        <v>21</v>
      </c>
      <c r="F178" s="14" t="s">
        <v>11</v>
      </c>
      <c r="G178" s="13"/>
      <c r="H178" s="14">
        <f>G178+I178</f>
        <v>1</v>
      </c>
      <c r="I178" s="14">
        <v>1</v>
      </c>
      <c r="J178" s="14">
        <v>1</v>
      </c>
      <c r="K178" s="13" t="s">
        <v>1234</v>
      </c>
      <c r="L178" s="14" t="s">
        <v>110</v>
      </c>
      <c r="M178" s="14">
        <v>909</v>
      </c>
      <c r="N178" s="14">
        <v>4313</v>
      </c>
      <c r="O178" s="14">
        <v>409090</v>
      </c>
      <c r="P178" s="14">
        <v>143130</v>
      </c>
      <c r="Q178" s="14"/>
    </row>
    <row r="179" spans="1:17" ht="22.5" x14ac:dyDescent="0.25">
      <c r="A179" s="11" t="s">
        <v>2684</v>
      </c>
      <c r="B179" s="13" t="s">
        <v>24</v>
      </c>
      <c r="C179" s="62" t="s">
        <v>1960</v>
      </c>
      <c r="D179" s="13" t="s">
        <v>19</v>
      </c>
      <c r="E179" s="14" t="s">
        <v>21</v>
      </c>
      <c r="F179" s="14" t="s">
        <v>11</v>
      </c>
      <c r="G179" s="13"/>
      <c r="H179" s="14">
        <f>G179+I179</f>
        <v>2</v>
      </c>
      <c r="I179" s="14">
        <v>2</v>
      </c>
      <c r="J179" s="14">
        <v>2</v>
      </c>
      <c r="K179" s="13" t="s">
        <v>687</v>
      </c>
      <c r="L179" s="14" t="s">
        <v>110</v>
      </c>
      <c r="M179" s="14">
        <v>847</v>
      </c>
      <c r="N179" s="14">
        <v>6372</v>
      </c>
      <c r="O179" s="14">
        <v>408470</v>
      </c>
      <c r="P179" s="14">
        <v>163720</v>
      </c>
      <c r="Q179" s="14"/>
    </row>
    <row r="180" spans="1:17" ht="22.5" x14ac:dyDescent="0.25">
      <c r="A180" s="11" t="s">
        <v>2684</v>
      </c>
      <c r="B180" s="13" t="s">
        <v>24</v>
      </c>
      <c r="C180" s="62" t="s">
        <v>122</v>
      </c>
      <c r="D180" s="13" t="s">
        <v>123</v>
      </c>
      <c r="E180" s="14" t="s">
        <v>21</v>
      </c>
      <c r="F180" s="14" t="s">
        <v>11</v>
      </c>
      <c r="G180" s="13">
        <v>5</v>
      </c>
      <c r="H180" s="14">
        <f t="shared" si="5"/>
        <v>20</v>
      </c>
      <c r="I180" s="14">
        <v>15</v>
      </c>
      <c r="J180" s="14">
        <v>8</v>
      </c>
      <c r="K180" s="13" t="s">
        <v>2862</v>
      </c>
      <c r="L180" s="14" t="s">
        <v>110</v>
      </c>
      <c r="M180" s="14">
        <v>1184</v>
      </c>
      <c r="N180" s="14">
        <v>6802</v>
      </c>
      <c r="O180" s="14">
        <v>411840</v>
      </c>
      <c r="P180" s="14">
        <v>168020</v>
      </c>
      <c r="Q180" s="14"/>
    </row>
    <row r="181" spans="1:17" ht="22.5" x14ac:dyDescent="0.25">
      <c r="A181" s="11" t="s">
        <v>2684</v>
      </c>
      <c r="B181" s="13" t="s">
        <v>24</v>
      </c>
      <c r="C181" s="62" t="s">
        <v>2929</v>
      </c>
      <c r="D181" s="13" t="s">
        <v>2918</v>
      </c>
      <c r="E181" s="14" t="s">
        <v>21</v>
      </c>
      <c r="F181" s="14" t="s">
        <v>11</v>
      </c>
      <c r="G181" s="13"/>
      <c r="H181" s="14">
        <f>G181+I181</f>
        <v>1</v>
      </c>
      <c r="I181" s="14">
        <v>1</v>
      </c>
      <c r="J181" s="14">
        <v>1</v>
      </c>
      <c r="K181" s="13" t="s">
        <v>1252</v>
      </c>
      <c r="L181" s="14" t="s">
        <v>110</v>
      </c>
      <c r="M181" s="14">
        <v>217</v>
      </c>
      <c r="N181" s="14">
        <v>520</v>
      </c>
      <c r="O181" s="14">
        <v>421700</v>
      </c>
      <c r="P181" s="14">
        <v>152000</v>
      </c>
      <c r="Q181" s="14"/>
    </row>
    <row r="182" spans="1:17" ht="22.5" x14ac:dyDescent="0.25">
      <c r="A182" s="11" t="s">
        <v>2684</v>
      </c>
      <c r="B182" s="13" t="s">
        <v>24</v>
      </c>
      <c r="C182" s="62" t="s">
        <v>13</v>
      </c>
      <c r="D182" s="13" t="s">
        <v>511</v>
      </c>
      <c r="E182" s="14" t="s">
        <v>21</v>
      </c>
      <c r="F182" s="14" t="s">
        <v>11</v>
      </c>
      <c r="G182" s="13">
        <v>22</v>
      </c>
      <c r="H182" s="14">
        <f t="shared" si="5"/>
        <v>62</v>
      </c>
      <c r="I182" s="14">
        <v>40</v>
      </c>
      <c r="J182" s="14">
        <v>23</v>
      </c>
      <c r="K182" s="13" t="s">
        <v>3109</v>
      </c>
      <c r="L182" s="14" t="s">
        <v>110</v>
      </c>
      <c r="M182" s="14">
        <v>1224</v>
      </c>
      <c r="N182" s="14">
        <v>4128</v>
      </c>
      <c r="O182" s="14">
        <v>412240</v>
      </c>
      <c r="P182" s="14">
        <v>141280</v>
      </c>
      <c r="Q182" s="14"/>
    </row>
    <row r="183" spans="1:17" ht="22.5" x14ac:dyDescent="0.25">
      <c r="A183" s="11" t="s">
        <v>2684</v>
      </c>
      <c r="B183" s="13" t="s">
        <v>24</v>
      </c>
      <c r="C183" s="62" t="s">
        <v>2221</v>
      </c>
      <c r="D183" s="13" t="s">
        <v>511</v>
      </c>
      <c r="E183" s="14" t="s">
        <v>21</v>
      </c>
      <c r="F183" s="14" t="s">
        <v>11</v>
      </c>
      <c r="G183" s="13"/>
      <c r="H183" s="14">
        <f t="shared" si="5"/>
        <v>6</v>
      </c>
      <c r="I183" s="14">
        <v>6</v>
      </c>
      <c r="J183" s="14">
        <v>4</v>
      </c>
      <c r="K183" s="13" t="s">
        <v>2873</v>
      </c>
      <c r="L183" s="14" t="s">
        <v>110</v>
      </c>
      <c r="M183" s="14">
        <v>1224</v>
      </c>
      <c r="N183" s="14">
        <v>4128</v>
      </c>
      <c r="O183" s="14">
        <v>412240</v>
      </c>
      <c r="P183" s="14">
        <v>141280</v>
      </c>
      <c r="Q183" s="14"/>
    </row>
    <row r="184" spans="1:17" x14ac:dyDescent="0.25">
      <c r="A184" s="11" t="s">
        <v>2684</v>
      </c>
      <c r="B184" s="13" t="s">
        <v>24</v>
      </c>
      <c r="C184" s="62" t="s">
        <v>1185</v>
      </c>
      <c r="D184" s="13" t="s">
        <v>1153</v>
      </c>
      <c r="E184" s="14" t="s">
        <v>21</v>
      </c>
      <c r="F184" s="14" t="s">
        <v>11</v>
      </c>
      <c r="G184" s="13"/>
      <c r="H184" s="14">
        <f t="shared" si="5"/>
        <v>2</v>
      </c>
      <c r="I184" s="14">
        <v>2</v>
      </c>
      <c r="J184" s="14">
        <v>1</v>
      </c>
      <c r="K184" s="13" t="s">
        <v>893</v>
      </c>
      <c r="L184" s="14" t="s">
        <v>110</v>
      </c>
      <c r="M184" s="14">
        <v>1224</v>
      </c>
      <c r="N184" s="14">
        <v>4128</v>
      </c>
      <c r="O184" s="14">
        <v>412240</v>
      </c>
      <c r="P184" s="14">
        <v>141280</v>
      </c>
      <c r="Q184" s="14"/>
    </row>
    <row r="185" spans="1:17" x14ac:dyDescent="0.25">
      <c r="A185" s="11" t="s">
        <v>2684</v>
      </c>
      <c r="B185" s="13" t="s">
        <v>24</v>
      </c>
      <c r="C185" s="62" t="s">
        <v>2849</v>
      </c>
      <c r="D185" s="13" t="s">
        <v>1153</v>
      </c>
      <c r="E185" s="14" t="s">
        <v>21</v>
      </c>
      <c r="F185" s="14" t="s">
        <v>11</v>
      </c>
      <c r="G185" s="13"/>
      <c r="H185" s="14">
        <f>G185+I185</f>
        <v>2</v>
      </c>
      <c r="I185" s="14">
        <v>2</v>
      </c>
      <c r="J185" s="14">
        <v>2</v>
      </c>
      <c r="K185" s="13" t="s">
        <v>2853</v>
      </c>
      <c r="L185" s="14" t="s">
        <v>110</v>
      </c>
      <c r="M185" s="14">
        <v>1224</v>
      </c>
      <c r="N185" s="14">
        <v>4128</v>
      </c>
      <c r="O185" s="14">
        <v>412240</v>
      </c>
      <c r="P185" s="14">
        <v>141280</v>
      </c>
      <c r="Q185" s="14"/>
    </row>
    <row r="186" spans="1:17" x14ac:dyDescent="0.25">
      <c r="A186" s="11" t="s">
        <v>2684</v>
      </c>
      <c r="B186" s="13" t="s">
        <v>24</v>
      </c>
      <c r="C186" s="62" t="s">
        <v>1172</v>
      </c>
      <c r="D186" s="13" t="s">
        <v>1173</v>
      </c>
      <c r="E186" s="14" t="s">
        <v>21</v>
      </c>
      <c r="F186" s="14" t="s">
        <v>11</v>
      </c>
      <c r="G186" s="13">
        <v>1</v>
      </c>
      <c r="H186" s="14">
        <f t="shared" si="5"/>
        <v>5</v>
      </c>
      <c r="I186" s="14">
        <v>4</v>
      </c>
      <c r="J186" s="14">
        <v>4</v>
      </c>
      <c r="K186" s="13" t="s">
        <v>2854</v>
      </c>
      <c r="L186" s="14" t="s">
        <v>110</v>
      </c>
      <c r="M186" s="14">
        <v>1224</v>
      </c>
      <c r="N186" s="14">
        <v>4128</v>
      </c>
      <c r="O186" s="14">
        <v>412240</v>
      </c>
      <c r="P186" s="14">
        <v>141280</v>
      </c>
      <c r="Q186" s="14"/>
    </row>
    <row r="187" spans="1:17" x14ac:dyDescent="0.25">
      <c r="A187" s="11" t="s">
        <v>2684</v>
      </c>
      <c r="B187" s="13" t="s">
        <v>24</v>
      </c>
      <c r="C187" s="62" t="s">
        <v>2846</v>
      </c>
      <c r="D187" s="13" t="s">
        <v>8</v>
      </c>
      <c r="E187" s="14" t="s">
        <v>21</v>
      </c>
      <c r="F187" s="14" t="s">
        <v>11</v>
      </c>
      <c r="G187" s="13"/>
      <c r="H187" s="14">
        <f>G187+I187</f>
        <v>8</v>
      </c>
      <c r="I187" s="14">
        <v>8</v>
      </c>
      <c r="J187" s="14">
        <v>3</v>
      </c>
      <c r="K187" s="13" t="s">
        <v>2855</v>
      </c>
      <c r="L187" s="14" t="s">
        <v>110</v>
      </c>
      <c r="M187" s="14">
        <v>1224</v>
      </c>
      <c r="N187" s="14">
        <v>4128</v>
      </c>
      <c r="O187" s="14">
        <v>412240</v>
      </c>
      <c r="P187" s="14">
        <v>141280</v>
      </c>
      <c r="Q187" s="14"/>
    </row>
    <row r="188" spans="1:17" x14ac:dyDescent="0.25">
      <c r="A188" s="11" t="s">
        <v>2684</v>
      </c>
      <c r="B188" s="13" t="s">
        <v>24</v>
      </c>
      <c r="C188" s="62" t="s">
        <v>2845</v>
      </c>
      <c r="D188" s="13" t="s">
        <v>8</v>
      </c>
      <c r="E188" s="14" t="s">
        <v>21</v>
      </c>
      <c r="F188" s="14" t="s">
        <v>11</v>
      </c>
      <c r="G188" s="13"/>
      <c r="H188" s="14">
        <f>G188+I188</f>
        <v>5</v>
      </c>
      <c r="I188" s="14">
        <v>5</v>
      </c>
      <c r="J188" s="14">
        <v>2</v>
      </c>
      <c r="K188" s="13" t="s">
        <v>2856</v>
      </c>
      <c r="L188" s="14" t="s">
        <v>110</v>
      </c>
      <c r="M188" s="14">
        <v>1224</v>
      </c>
      <c r="N188" s="14">
        <v>4128</v>
      </c>
      <c r="O188" s="14">
        <v>412240</v>
      </c>
      <c r="P188" s="14">
        <v>141280</v>
      </c>
      <c r="Q188" s="14"/>
    </row>
    <row r="189" spans="1:17" x14ac:dyDescent="0.25">
      <c r="A189" s="11" t="s">
        <v>2684</v>
      </c>
      <c r="B189" s="13" t="s">
        <v>24</v>
      </c>
      <c r="C189" s="62" t="s">
        <v>2847</v>
      </c>
      <c r="D189" s="13" t="s">
        <v>8</v>
      </c>
      <c r="E189" s="14" t="s">
        <v>21</v>
      </c>
      <c r="F189" s="14" t="s">
        <v>11</v>
      </c>
      <c r="G189" s="13"/>
      <c r="H189" s="14">
        <f>G189+I189</f>
        <v>4</v>
      </c>
      <c r="I189" s="14">
        <v>4</v>
      </c>
      <c r="J189" s="14">
        <v>3</v>
      </c>
      <c r="K189" s="13" t="s">
        <v>2852</v>
      </c>
      <c r="L189" s="14" t="s">
        <v>110</v>
      </c>
      <c r="M189" s="14">
        <v>1224</v>
      </c>
      <c r="N189" s="14">
        <v>4128</v>
      </c>
      <c r="O189" s="14">
        <v>412240</v>
      </c>
      <c r="P189" s="14">
        <v>141280</v>
      </c>
      <c r="Q189" s="14"/>
    </row>
    <row r="190" spans="1:17" x14ac:dyDescent="0.25">
      <c r="A190" s="11" t="s">
        <v>2684</v>
      </c>
      <c r="B190" s="13" t="s">
        <v>24</v>
      </c>
      <c r="C190" s="62" t="s">
        <v>2848</v>
      </c>
      <c r="D190" s="13" t="s">
        <v>8</v>
      </c>
      <c r="E190" s="14" t="s">
        <v>21</v>
      </c>
      <c r="F190" s="14" t="s">
        <v>11</v>
      </c>
      <c r="G190" s="13"/>
      <c r="H190" s="14">
        <f>G190+I190</f>
        <v>2</v>
      </c>
      <c r="I190" s="14">
        <v>2</v>
      </c>
      <c r="J190" s="14">
        <v>2</v>
      </c>
      <c r="K190" s="13" t="s">
        <v>2856</v>
      </c>
      <c r="L190" s="14" t="s">
        <v>110</v>
      </c>
      <c r="M190" s="14">
        <v>1224</v>
      </c>
      <c r="N190" s="14">
        <v>4128</v>
      </c>
      <c r="O190" s="14">
        <v>412240</v>
      </c>
      <c r="P190" s="14">
        <v>141280</v>
      </c>
      <c r="Q190" s="14"/>
    </row>
    <row r="191" spans="1:17" x14ac:dyDescent="0.25">
      <c r="A191" s="11" t="s">
        <v>2684</v>
      </c>
      <c r="B191" s="13" t="s">
        <v>24</v>
      </c>
      <c r="C191" s="62" t="s">
        <v>1177</v>
      </c>
      <c r="D191" s="13" t="s">
        <v>1179</v>
      </c>
      <c r="E191" s="14" t="s">
        <v>21</v>
      </c>
      <c r="F191" s="14" t="s">
        <v>11</v>
      </c>
      <c r="G191" s="13"/>
      <c r="H191" s="14">
        <f t="shared" si="5"/>
        <v>4</v>
      </c>
      <c r="I191" s="14">
        <v>4</v>
      </c>
      <c r="J191" s="14">
        <v>1</v>
      </c>
      <c r="K191" s="13" t="s">
        <v>893</v>
      </c>
      <c r="L191" s="14" t="s">
        <v>110</v>
      </c>
      <c r="M191" s="14">
        <v>1224</v>
      </c>
      <c r="N191" s="14">
        <v>4128</v>
      </c>
      <c r="O191" s="14">
        <v>412240</v>
      </c>
      <c r="P191" s="14">
        <v>141280</v>
      </c>
      <c r="Q191" s="14"/>
    </row>
    <row r="192" spans="1:17" x14ac:dyDescent="0.25">
      <c r="A192" s="11" t="s">
        <v>2684</v>
      </c>
      <c r="B192" s="13" t="s">
        <v>24</v>
      </c>
      <c r="C192" s="62" t="s">
        <v>1178</v>
      </c>
      <c r="D192" s="13" t="s">
        <v>1179</v>
      </c>
      <c r="E192" s="14" t="s">
        <v>21</v>
      </c>
      <c r="F192" s="14" t="s">
        <v>11</v>
      </c>
      <c r="G192" s="13"/>
      <c r="H192" s="14">
        <f t="shared" si="5"/>
        <v>5</v>
      </c>
      <c r="I192" s="14">
        <v>5</v>
      </c>
      <c r="J192" s="14">
        <v>2</v>
      </c>
      <c r="K192" s="13" t="s">
        <v>2853</v>
      </c>
      <c r="L192" s="14" t="s">
        <v>110</v>
      </c>
      <c r="M192" s="14">
        <v>1224</v>
      </c>
      <c r="N192" s="14">
        <v>4128</v>
      </c>
      <c r="O192" s="14">
        <v>412240</v>
      </c>
      <c r="P192" s="14">
        <v>141280</v>
      </c>
      <c r="Q192" s="14"/>
    </row>
    <row r="193" spans="1:17" x14ac:dyDescent="0.25">
      <c r="A193" s="11" t="s">
        <v>2684</v>
      </c>
      <c r="B193" s="13" t="s">
        <v>24</v>
      </c>
      <c r="C193" s="62" t="s">
        <v>2857</v>
      </c>
      <c r="D193" s="13" t="s">
        <v>1173</v>
      </c>
      <c r="E193" s="14" t="s">
        <v>21</v>
      </c>
      <c r="F193" s="14" t="s">
        <v>11</v>
      </c>
      <c r="G193" s="13"/>
      <c r="H193" s="14">
        <f>G193+I193</f>
        <v>4</v>
      </c>
      <c r="I193" s="14">
        <v>4</v>
      </c>
      <c r="J193" s="14">
        <v>2</v>
      </c>
      <c r="K193" s="13" t="s">
        <v>2858</v>
      </c>
      <c r="L193" s="14" t="s">
        <v>110</v>
      </c>
      <c r="M193" s="14">
        <v>1224</v>
      </c>
      <c r="N193" s="14">
        <v>4128</v>
      </c>
      <c r="O193" s="14">
        <v>412240</v>
      </c>
      <c r="P193" s="14">
        <v>141280</v>
      </c>
      <c r="Q193" s="14"/>
    </row>
    <row r="194" spans="1:17" x14ac:dyDescent="0.25">
      <c r="A194" s="11" t="s">
        <v>2684</v>
      </c>
      <c r="B194" s="13" t="s">
        <v>24</v>
      </c>
      <c r="C194" s="62" t="s">
        <v>1183</v>
      </c>
      <c r="D194" s="13" t="s">
        <v>1173</v>
      </c>
      <c r="E194" s="14" t="s">
        <v>21</v>
      </c>
      <c r="F194" s="14" t="s">
        <v>11</v>
      </c>
      <c r="G194" s="13"/>
      <c r="H194" s="14">
        <f t="shared" si="5"/>
        <v>3</v>
      </c>
      <c r="I194" s="14">
        <v>3</v>
      </c>
      <c r="J194" s="14">
        <v>2</v>
      </c>
      <c r="K194" s="13" t="s">
        <v>2858</v>
      </c>
      <c r="L194" s="14" t="s">
        <v>110</v>
      </c>
      <c r="M194" s="14">
        <v>1224</v>
      </c>
      <c r="N194" s="14">
        <v>4128</v>
      </c>
      <c r="O194" s="14">
        <v>412240</v>
      </c>
      <c r="P194" s="14">
        <v>141280</v>
      </c>
      <c r="Q194" s="14"/>
    </row>
    <row r="195" spans="1:17" x14ac:dyDescent="0.25">
      <c r="A195" s="11" t="s">
        <v>2684</v>
      </c>
      <c r="B195" s="13" t="s">
        <v>24</v>
      </c>
      <c r="C195" s="62" t="s">
        <v>2851</v>
      </c>
      <c r="D195" s="13" t="s">
        <v>1179</v>
      </c>
      <c r="E195" s="14" t="s">
        <v>21</v>
      </c>
      <c r="F195" s="14" t="s">
        <v>11</v>
      </c>
      <c r="G195" s="13"/>
      <c r="H195" s="14">
        <f>G195+I195</f>
        <v>1</v>
      </c>
      <c r="I195" s="14">
        <v>1</v>
      </c>
      <c r="J195" s="14">
        <v>1</v>
      </c>
      <c r="K195" s="13" t="s">
        <v>893</v>
      </c>
      <c r="L195" s="14" t="s">
        <v>110</v>
      </c>
      <c r="M195" s="14">
        <v>1224</v>
      </c>
      <c r="N195" s="14">
        <v>4128</v>
      </c>
      <c r="O195" s="14">
        <v>412240</v>
      </c>
      <c r="P195" s="14">
        <v>141280</v>
      </c>
      <c r="Q195" s="14"/>
    </row>
    <row r="196" spans="1:17" x14ac:dyDescent="0.25">
      <c r="A196" s="11" t="s">
        <v>2684</v>
      </c>
      <c r="B196" s="13" t="s">
        <v>24</v>
      </c>
      <c r="C196" s="62" t="s">
        <v>2850</v>
      </c>
      <c r="D196" s="13" t="s">
        <v>1395</v>
      </c>
      <c r="E196" s="14" t="s">
        <v>21</v>
      </c>
      <c r="F196" s="14" t="s">
        <v>11</v>
      </c>
      <c r="G196" s="13"/>
      <c r="H196" s="14">
        <f>G196+I196</f>
        <v>2</v>
      </c>
      <c r="I196" s="14">
        <v>2</v>
      </c>
      <c r="J196" s="14">
        <v>1</v>
      </c>
      <c r="K196" s="13" t="s">
        <v>893</v>
      </c>
      <c r="L196" s="14" t="s">
        <v>110</v>
      </c>
      <c r="M196" s="14">
        <v>1224</v>
      </c>
      <c r="N196" s="14">
        <v>4128</v>
      </c>
      <c r="O196" s="14">
        <v>412240</v>
      </c>
      <c r="P196" s="14">
        <v>141280</v>
      </c>
      <c r="Q196" s="14"/>
    </row>
    <row r="197" spans="1:17" x14ac:dyDescent="0.25">
      <c r="A197" s="11" t="s">
        <v>2684</v>
      </c>
      <c r="B197" s="13" t="s">
        <v>24</v>
      </c>
      <c r="C197" s="62" t="s">
        <v>1188</v>
      </c>
      <c r="D197" s="13" t="s">
        <v>1189</v>
      </c>
      <c r="E197" s="14" t="s">
        <v>21</v>
      </c>
      <c r="F197" s="14" t="s">
        <v>11</v>
      </c>
      <c r="G197" s="13">
        <v>1</v>
      </c>
      <c r="H197" s="14">
        <f t="shared" si="5"/>
        <v>6</v>
      </c>
      <c r="I197" s="14">
        <v>5</v>
      </c>
      <c r="J197" s="14">
        <v>2</v>
      </c>
      <c r="K197" s="13" t="s">
        <v>2870</v>
      </c>
      <c r="L197" s="14" t="s">
        <v>110</v>
      </c>
      <c r="M197" s="14">
        <v>122</v>
      </c>
      <c r="N197" s="14">
        <v>412</v>
      </c>
      <c r="O197" s="14">
        <v>412200</v>
      </c>
      <c r="P197" s="14">
        <v>141200</v>
      </c>
      <c r="Q197" s="14"/>
    </row>
    <row r="198" spans="1:17" x14ac:dyDescent="0.25">
      <c r="A198" s="11" t="s">
        <v>2684</v>
      </c>
      <c r="B198" s="13" t="s">
        <v>24</v>
      </c>
      <c r="C198" s="62" t="s">
        <v>1190</v>
      </c>
      <c r="D198" s="13" t="s">
        <v>1189</v>
      </c>
      <c r="E198" s="14" t="s">
        <v>21</v>
      </c>
      <c r="F198" s="14" t="s">
        <v>11</v>
      </c>
      <c r="G198" s="13"/>
      <c r="H198" s="14">
        <f t="shared" si="5"/>
        <v>3</v>
      </c>
      <c r="I198" s="14">
        <v>3</v>
      </c>
      <c r="J198" s="14">
        <v>2</v>
      </c>
      <c r="K198" s="13" t="s">
        <v>2870</v>
      </c>
      <c r="L198" s="14" t="s">
        <v>110</v>
      </c>
      <c r="M198" s="14">
        <v>122</v>
      </c>
      <c r="N198" s="14">
        <v>412</v>
      </c>
      <c r="O198" s="14">
        <v>412200</v>
      </c>
      <c r="P198" s="14">
        <v>141200</v>
      </c>
      <c r="Q198" s="14"/>
    </row>
    <row r="199" spans="1:17" x14ac:dyDescent="0.25">
      <c r="A199" s="11" t="s">
        <v>2684</v>
      </c>
      <c r="B199" s="13" t="s">
        <v>24</v>
      </c>
      <c r="C199" s="62" t="s">
        <v>25</v>
      </c>
      <c r="D199" s="13" t="s">
        <v>26</v>
      </c>
      <c r="E199" s="14" t="s">
        <v>21</v>
      </c>
      <c r="F199" s="14" t="s">
        <v>11</v>
      </c>
      <c r="G199" s="13"/>
      <c r="H199" s="14">
        <f t="shared" si="5"/>
        <v>3</v>
      </c>
      <c r="I199" s="14">
        <v>3</v>
      </c>
      <c r="J199" s="14">
        <v>3</v>
      </c>
      <c r="K199" s="13" t="s">
        <v>2841</v>
      </c>
      <c r="L199" s="14" t="s">
        <v>110</v>
      </c>
      <c r="M199" s="14">
        <v>1046</v>
      </c>
      <c r="N199" s="14">
        <v>6774</v>
      </c>
      <c r="O199" s="14">
        <v>410460</v>
      </c>
      <c r="P199" s="14">
        <v>167740</v>
      </c>
      <c r="Q199" s="14"/>
    </row>
    <row r="200" spans="1:17" x14ac:dyDescent="0.25">
      <c r="A200" s="11" t="s">
        <v>2684</v>
      </c>
      <c r="B200" s="13" t="s">
        <v>24</v>
      </c>
      <c r="C200" s="62" t="s">
        <v>1154</v>
      </c>
      <c r="D200" s="13" t="s">
        <v>121</v>
      </c>
      <c r="E200" s="14" t="s">
        <v>21</v>
      </c>
      <c r="F200" s="14" t="s">
        <v>11</v>
      </c>
      <c r="G200" s="13"/>
      <c r="H200" s="14">
        <f t="shared" si="5"/>
        <v>5</v>
      </c>
      <c r="I200" s="14">
        <v>5</v>
      </c>
      <c r="J200" s="14">
        <v>2</v>
      </c>
      <c r="K200" s="13" t="s">
        <v>2842</v>
      </c>
      <c r="L200" s="14" t="s">
        <v>110</v>
      </c>
      <c r="M200" s="14">
        <v>1196</v>
      </c>
      <c r="N200" s="14">
        <v>6835</v>
      </c>
      <c r="O200" s="14">
        <v>411960</v>
      </c>
      <c r="P200" s="14">
        <v>168350</v>
      </c>
      <c r="Q200" s="14"/>
    </row>
    <row r="201" spans="1:17" ht="22.5" x14ac:dyDescent="0.25">
      <c r="A201" s="11" t="s">
        <v>2684</v>
      </c>
      <c r="B201" s="13" t="s">
        <v>24</v>
      </c>
      <c r="C201" s="62" t="s">
        <v>2367</v>
      </c>
      <c r="D201" s="13" t="s">
        <v>1932</v>
      </c>
      <c r="E201" s="14" t="s">
        <v>21</v>
      </c>
      <c r="F201" s="14" t="s">
        <v>11</v>
      </c>
      <c r="G201" s="13"/>
      <c r="H201" s="14">
        <f t="shared" si="5"/>
        <v>2</v>
      </c>
      <c r="I201" s="14">
        <v>2</v>
      </c>
      <c r="J201" s="14">
        <v>2</v>
      </c>
      <c r="K201" s="13" t="s">
        <v>234</v>
      </c>
      <c r="L201" s="14" t="s">
        <v>119</v>
      </c>
      <c r="M201" s="14">
        <v>803</v>
      </c>
      <c r="N201" s="14">
        <v>346</v>
      </c>
      <c r="O201" s="14">
        <v>380300</v>
      </c>
      <c r="P201" s="14">
        <v>134600</v>
      </c>
      <c r="Q201" s="14"/>
    </row>
    <row r="202" spans="1:17" ht="22.5" x14ac:dyDescent="0.25">
      <c r="A202" s="11" t="s">
        <v>2684</v>
      </c>
      <c r="B202" s="13" t="s">
        <v>24</v>
      </c>
      <c r="C202" s="62" t="s">
        <v>549</v>
      </c>
      <c r="D202" s="13" t="s">
        <v>540</v>
      </c>
      <c r="E202" s="14" t="s">
        <v>21</v>
      </c>
      <c r="F202" s="14" t="s">
        <v>11</v>
      </c>
      <c r="G202" s="13"/>
      <c r="H202" s="14">
        <f t="shared" si="5"/>
        <v>2</v>
      </c>
      <c r="I202" s="14">
        <v>2</v>
      </c>
      <c r="J202" s="14">
        <v>2</v>
      </c>
      <c r="K202" s="13" t="s">
        <v>2899</v>
      </c>
      <c r="L202" s="14" t="s">
        <v>110</v>
      </c>
      <c r="M202" s="14">
        <v>1192</v>
      </c>
      <c r="N202" s="14">
        <v>3979</v>
      </c>
      <c r="O202" s="14">
        <v>411920</v>
      </c>
      <c r="P202" s="14">
        <v>139790</v>
      </c>
      <c r="Q202" s="14"/>
    </row>
    <row r="203" spans="1:17" x14ac:dyDescent="0.25">
      <c r="A203" s="11" t="s">
        <v>2684</v>
      </c>
      <c r="B203" s="13" t="s">
        <v>24</v>
      </c>
      <c r="C203" s="62" t="s">
        <v>28</v>
      </c>
      <c r="D203" s="13" t="s">
        <v>1940</v>
      </c>
      <c r="E203" s="14" t="s">
        <v>21</v>
      </c>
      <c r="F203" s="14" t="s">
        <v>11</v>
      </c>
      <c r="G203" s="13">
        <v>31</v>
      </c>
      <c r="H203" s="14">
        <f t="shared" si="5"/>
        <v>35</v>
      </c>
      <c r="I203" s="14">
        <v>4</v>
      </c>
      <c r="J203" s="14">
        <v>14</v>
      </c>
      <c r="K203" s="13" t="s">
        <v>2865</v>
      </c>
      <c r="L203" s="14" t="s">
        <v>110</v>
      </c>
      <c r="M203" s="14">
        <v>86</v>
      </c>
      <c r="N203" s="14">
        <v>714</v>
      </c>
      <c r="O203" s="14">
        <v>408600</v>
      </c>
      <c r="P203" s="14">
        <v>171400</v>
      </c>
      <c r="Q203" s="14"/>
    </row>
    <row r="204" spans="1:17" ht="22.5" x14ac:dyDescent="0.25">
      <c r="A204" s="11" t="s">
        <v>2684</v>
      </c>
      <c r="B204" s="13" t="s">
        <v>24</v>
      </c>
      <c r="C204" s="62" t="s">
        <v>28</v>
      </c>
      <c r="D204" s="13" t="s">
        <v>19</v>
      </c>
      <c r="E204" s="14" t="s">
        <v>21</v>
      </c>
      <c r="F204" s="14" t="s">
        <v>11</v>
      </c>
      <c r="G204" s="13">
        <v>1</v>
      </c>
      <c r="H204" s="14">
        <f>G204+I204</f>
        <v>13</v>
      </c>
      <c r="I204" s="14">
        <v>12</v>
      </c>
      <c r="J204" s="14">
        <v>8</v>
      </c>
      <c r="K204" s="13" t="s">
        <v>2840</v>
      </c>
      <c r="L204" s="14" t="s">
        <v>110</v>
      </c>
      <c r="M204" s="14">
        <v>86</v>
      </c>
      <c r="N204" s="14">
        <v>714</v>
      </c>
      <c r="O204" s="14">
        <v>408600</v>
      </c>
      <c r="P204" s="14">
        <v>171400</v>
      </c>
      <c r="Q204" s="14"/>
    </row>
    <row r="205" spans="1:17" ht="22.5" x14ac:dyDescent="0.25">
      <c r="A205" s="11" t="s">
        <v>2684</v>
      </c>
      <c r="B205" s="13" t="s">
        <v>24</v>
      </c>
      <c r="C205" s="61" t="s">
        <v>2875</v>
      </c>
      <c r="D205" s="13" t="s">
        <v>540</v>
      </c>
      <c r="E205" s="14" t="s">
        <v>21</v>
      </c>
      <c r="F205" s="14" t="s">
        <v>11</v>
      </c>
      <c r="G205" s="13"/>
      <c r="H205" s="14">
        <f>G205+I205</f>
        <v>2</v>
      </c>
      <c r="I205" s="14">
        <v>2</v>
      </c>
      <c r="J205" s="14">
        <v>1</v>
      </c>
      <c r="K205" s="13" t="s">
        <v>1234</v>
      </c>
      <c r="L205" s="14" t="s">
        <v>110</v>
      </c>
      <c r="M205" s="14">
        <v>1192</v>
      </c>
      <c r="N205" s="14">
        <v>3979</v>
      </c>
      <c r="O205" s="14">
        <v>411920</v>
      </c>
      <c r="P205" s="14">
        <v>139790</v>
      </c>
      <c r="Q205" s="14"/>
    </row>
    <row r="206" spans="1:17" x14ac:dyDescent="0.25">
      <c r="A206" s="11" t="s">
        <v>2684</v>
      </c>
      <c r="B206" s="13" t="s">
        <v>24</v>
      </c>
      <c r="C206" s="62" t="s">
        <v>14</v>
      </c>
      <c r="D206" s="13" t="s">
        <v>17</v>
      </c>
      <c r="E206" s="14" t="s">
        <v>21</v>
      </c>
      <c r="F206" s="14" t="s">
        <v>11</v>
      </c>
      <c r="G206" s="13">
        <v>3</v>
      </c>
      <c r="H206" s="14">
        <f t="shared" si="5"/>
        <v>10</v>
      </c>
      <c r="I206" s="14">
        <v>7</v>
      </c>
      <c r="J206" s="14">
        <v>9</v>
      </c>
      <c r="K206" s="13" t="s">
        <v>2872</v>
      </c>
      <c r="L206" s="14" t="s">
        <v>110</v>
      </c>
      <c r="M206" s="14">
        <v>1506</v>
      </c>
      <c r="N206" s="14">
        <v>4337</v>
      </c>
      <c r="O206" s="14">
        <v>415060</v>
      </c>
      <c r="P206" s="14">
        <v>143370</v>
      </c>
      <c r="Q206" s="14"/>
    </row>
    <row r="207" spans="1:17" ht="33.75" x14ac:dyDescent="0.25">
      <c r="A207" s="11" t="s">
        <v>2684</v>
      </c>
      <c r="B207" s="13" t="s">
        <v>139</v>
      </c>
      <c r="C207" s="62" t="s">
        <v>1124</v>
      </c>
      <c r="D207" s="13" t="s">
        <v>2925</v>
      </c>
      <c r="E207" s="14" t="s">
        <v>272</v>
      </c>
      <c r="F207" s="14" t="s">
        <v>11</v>
      </c>
      <c r="G207" s="13"/>
      <c r="H207" s="14">
        <f t="shared" si="5"/>
        <v>1</v>
      </c>
      <c r="I207" s="14">
        <v>1</v>
      </c>
      <c r="J207" s="14">
        <v>1</v>
      </c>
      <c r="K207" s="13" t="s">
        <v>1252</v>
      </c>
      <c r="L207" s="14" t="s">
        <v>271</v>
      </c>
      <c r="M207" s="14">
        <v>8282</v>
      </c>
      <c r="N207" s="14">
        <v>5620</v>
      </c>
      <c r="O207" s="14">
        <v>482820</v>
      </c>
      <c r="P207" s="14">
        <v>456200</v>
      </c>
      <c r="Q207" s="14"/>
    </row>
    <row r="208" spans="1:17" x14ac:dyDescent="0.25">
      <c r="A208" s="11" t="s">
        <v>2684</v>
      </c>
      <c r="B208" s="13" t="s">
        <v>139</v>
      </c>
      <c r="C208" s="62" t="s">
        <v>2661</v>
      </c>
      <c r="D208" s="13" t="s">
        <v>39</v>
      </c>
      <c r="E208" s="14" t="s">
        <v>2662</v>
      </c>
      <c r="F208" s="14" t="s">
        <v>11</v>
      </c>
      <c r="G208" s="13"/>
      <c r="H208" s="14">
        <f>G208+I208</f>
        <v>1</v>
      </c>
      <c r="I208" s="14">
        <v>1</v>
      </c>
      <c r="J208" s="14">
        <v>1</v>
      </c>
      <c r="K208" s="13" t="s">
        <v>1029</v>
      </c>
      <c r="L208" s="14" t="s">
        <v>137</v>
      </c>
      <c r="M208" s="14">
        <v>22</v>
      </c>
      <c r="N208" s="14">
        <v>69</v>
      </c>
      <c r="O208" s="14">
        <v>522000</v>
      </c>
      <c r="P208" s="14">
        <v>469000</v>
      </c>
      <c r="Q208" s="14"/>
    </row>
    <row r="209" spans="1:17" ht="22.5" x14ac:dyDescent="0.25">
      <c r="A209" s="11" t="s">
        <v>2684</v>
      </c>
      <c r="B209" s="13" t="s">
        <v>139</v>
      </c>
      <c r="C209" s="62" t="s">
        <v>2650</v>
      </c>
      <c r="D209" s="13" t="s">
        <v>2651</v>
      </c>
      <c r="E209" s="14" t="s">
        <v>455</v>
      </c>
      <c r="F209" s="14" t="s">
        <v>11</v>
      </c>
      <c r="G209" s="13"/>
      <c r="H209" s="14">
        <f>G209+I209</f>
        <v>1</v>
      </c>
      <c r="I209" s="14">
        <v>1</v>
      </c>
      <c r="J209" s="14">
        <v>1</v>
      </c>
      <c r="K209" s="13" t="s">
        <v>958</v>
      </c>
      <c r="L209" s="14" t="s">
        <v>271</v>
      </c>
      <c r="M209" s="14">
        <v>9616</v>
      </c>
      <c r="N209" s="14">
        <v>6628</v>
      </c>
      <c r="O209" s="14">
        <v>496160</v>
      </c>
      <c r="P209" s="14">
        <v>466280</v>
      </c>
      <c r="Q209" s="14"/>
    </row>
    <row r="210" spans="1:17" x14ac:dyDescent="0.25">
      <c r="A210" s="11" t="s">
        <v>2684</v>
      </c>
      <c r="B210" s="13" t="s">
        <v>139</v>
      </c>
      <c r="C210" s="62" t="s">
        <v>2774</v>
      </c>
      <c r="D210" s="13" t="s">
        <v>18</v>
      </c>
      <c r="E210" s="14" t="s">
        <v>455</v>
      </c>
      <c r="F210" s="14" t="s">
        <v>11</v>
      </c>
      <c r="G210" s="13"/>
      <c r="H210" s="14">
        <f t="shared" si="5"/>
        <v>1</v>
      </c>
      <c r="I210" s="14">
        <v>1</v>
      </c>
      <c r="J210" s="14">
        <v>1</v>
      </c>
      <c r="K210" s="13" t="s">
        <v>1391</v>
      </c>
      <c r="L210" s="14" t="s">
        <v>137</v>
      </c>
      <c r="M210" s="14">
        <v>30</v>
      </c>
      <c r="N210" s="14">
        <v>707</v>
      </c>
      <c r="O210" s="14">
        <v>503000</v>
      </c>
      <c r="P210" s="14">
        <v>470700</v>
      </c>
      <c r="Q210" s="14"/>
    </row>
    <row r="211" spans="1:17" ht="22.5" x14ac:dyDescent="0.25">
      <c r="A211" s="11" t="s">
        <v>2684</v>
      </c>
      <c r="B211" s="13" t="s">
        <v>139</v>
      </c>
      <c r="C211" s="62" t="s">
        <v>454</v>
      </c>
      <c r="D211" s="13" t="s">
        <v>2416</v>
      </c>
      <c r="E211" s="14" t="s">
        <v>455</v>
      </c>
      <c r="F211" s="14" t="s">
        <v>11</v>
      </c>
      <c r="G211" s="13"/>
      <c r="H211" s="14">
        <f t="shared" si="5"/>
        <v>1</v>
      </c>
      <c r="I211" s="14">
        <v>1</v>
      </c>
      <c r="J211" s="14">
        <v>1</v>
      </c>
      <c r="K211" s="13" t="s">
        <v>3084</v>
      </c>
      <c r="L211" s="14" t="s">
        <v>137</v>
      </c>
      <c r="M211" s="14">
        <v>99</v>
      </c>
      <c r="N211" s="14">
        <v>657</v>
      </c>
      <c r="O211" s="14">
        <v>509900</v>
      </c>
      <c r="P211" s="14">
        <v>465700</v>
      </c>
      <c r="Q211" s="14"/>
    </row>
    <row r="212" spans="1:17" x14ac:dyDescent="0.25">
      <c r="A212" s="11" t="s">
        <v>2684</v>
      </c>
      <c r="B212" s="13" t="s">
        <v>139</v>
      </c>
      <c r="C212" s="62" t="s">
        <v>454</v>
      </c>
      <c r="D212" s="13" t="s">
        <v>18</v>
      </c>
      <c r="E212" s="14" t="s">
        <v>455</v>
      </c>
      <c r="F212" s="14" t="s">
        <v>11</v>
      </c>
      <c r="G212" s="13"/>
      <c r="H212" s="14">
        <f>G212+I212</f>
        <v>1</v>
      </c>
      <c r="I212" s="14">
        <v>1</v>
      </c>
      <c r="J212" s="14">
        <v>1</v>
      </c>
      <c r="K212" s="13" t="s">
        <v>1391</v>
      </c>
      <c r="L212" s="14" t="s">
        <v>137</v>
      </c>
      <c r="M212" s="14">
        <v>99</v>
      </c>
      <c r="N212" s="14">
        <v>657</v>
      </c>
      <c r="O212" s="14">
        <v>509900</v>
      </c>
      <c r="P212" s="14">
        <v>465700</v>
      </c>
      <c r="Q212" s="14"/>
    </row>
    <row r="213" spans="1:17" x14ac:dyDescent="0.25">
      <c r="A213" s="11" t="s">
        <v>2684</v>
      </c>
      <c r="B213" s="13" t="s">
        <v>139</v>
      </c>
      <c r="C213" s="62" t="s">
        <v>1371</v>
      </c>
      <c r="D213" s="13" t="s">
        <v>26</v>
      </c>
      <c r="E213" s="14" t="s">
        <v>455</v>
      </c>
      <c r="F213" s="14" t="s">
        <v>11</v>
      </c>
      <c r="G213" s="13"/>
      <c r="H213" s="14">
        <f t="shared" si="5"/>
        <v>3</v>
      </c>
      <c r="I213" s="14">
        <v>3</v>
      </c>
      <c r="J213" s="14">
        <v>2</v>
      </c>
      <c r="K213" s="13" t="s">
        <v>2430</v>
      </c>
      <c r="L213" s="14" t="s">
        <v>137</v>
      </c>
      <c r="M213" s="14">
        <v>29</v>
      </c>
      <c r="N213" s="14">
        <v>761</v>
      </c>
      <c r="O213" s="14">
        <v>502900</v>
      </c>
      <c r="P213" s="14">
        <v>476100</v>
      </c>
      <c r="Q213" s="14"/>
    </row>
    <row r="214" spans="1:17" x14ac:dyDescent="0.25">
      <c r="A214" s="11" t="s">
        <v>2684</v>
      </c>
      <c r="B214" s="13" t="s">
        <v>269</v>
      </c>
      <c r="C214" s="62" t="s">
        <v>3028</v>
      </c>
      <c r="D214" s="13" t="s">
        <v>8</v>
      </c>
      <c r="E214" s="13" t="s">
        <v>3029</v>
      </c>
      <c r="F214" s="14" t="s">
        <v>11</v>
      </c>
      <c r="G214" s="13"/>
      <c r="H214" s="14">
        <f t="shared" si="5"/>
        <v>1</v>
      </c>
      <c r="I214" s="14">
        <v>1</v>
      </c>
      <c r="J214" s="14">
        <v>1</v>
      </c>
      <c r="K214" s="13" t="s">
        <v>3022</v>
      </c>
      <c r="L214" s="14" t="s">
        <v>271</v>
      </c>
      <c r="M214" s="14">
        <v>873</v>
      </c>
      <c r="N214" s="14">
        <v>934</v>
      </c>
      <c r="O214" s="14">
        <v>487300</v>
      </c>
      <c r="P214" s="14">
        <v>493400</v>
      </c>
      <c r="Q214" s="14"/>
    </row>
    <row r="215" spans="1:17" x14ac:dyDescent="0.25">
      <c r="A215" s="11" t="s">
        <v>2684</v>
      </c>
      <c r="B215" s="13" t="s">
        <v>269</v>
      </c>
      <c r="C215" s="62" t="s">
        <v>2767</v>
      </c>
      <c r="D215" s="13" t="s">
        <v>18</v>
      </c>
      <c r="E215" s="13" t="s">
        <v>2768</v>
      </c>
      <c r="F215" s="14" t="s">
        <v>11</v>
      </c>
      <c r="G215" s="13"/>
      <c r="H215" s="14">
        <f t="shared" ref="H215:H253" si="7">G215+I215</f>
        <v>1</v>
      </c>
      <c r="I215" s="14">
        <v>1</v>
      </c>
      <c r="J215" s="14">
        <v>1</v>
      </c>
      <c r="K215" s="13" t="s">
        <v>1391</v>
      </c>
      <c r="L215" s="14" t="s">
        <v>271</v>
      </c>
      <c r="M215" s="14">
        <v>3608</v>
      </c>
      <c r="N215" s="14">
        <v>7185</v>
      </c>
      <c r="O215" s="14">
        <v>436080</v>
      </c>
      <c r="P215" s="14">
        <v>471850</v>
      </c>
      <c r="Q215" s="14"/>
    </row>
    <row r="216" spans="1:17" x14ac:dyDescent="0.25">
      <c r="A216" s="11" t="s">
        <v>2684</v>
      </c>
      <c r="B216" s="13" t="s">
        <v>269</v>
      </c>
      <c r="C216" s="62" t="s">
        <v>2771</v>
      </c>
      <c r="D216" s="13" t="s">
        <v>18</v>
      </c>
      <c r="E216" s="13" t="s">
        <v>450</v>
      </c>
      <c r="F216" s="14" t="s">
        <v>11</v>
      </c>
      <c r="G216" s="13"/>
      <c r="H216" s="14">
        <f t="shared" si="7"/>
        <v>1</v>
      </c>
      <c r="I216" s="14">
        <v>1</v>
      </c>
      <c r="J216" s="14">
        <v>1</v>
      </c>
      <c r="K216" s="13" t="s">
        <v>1391</v>
      </c>
      <c r="L216" s="14" t="s">
        <v>431</v>
      </c>
      <c r="M216" s="14">
        <v>9823</v>
      </c>
      <c r="N216" s="14">
        <v>8728</v>
      </c>
      <c r="O216" s="14">
        <v>398230</v>
      </c>
      <c r="P216" s="14">
        <v>487280</v>
      </c>
      <c r="Q216" s="14"/>
    </row>
    <row r="217" spans="1:17" ht="22.5" x14ac:dyDescent="0.25">
      <c r="A217" s="11" t="s">
        <v>2684</v>
      </c>
      <c r="B217" s="13" t="s">
        <v>269</v>
      </c>
      <c r="C217" s="62" t="s">
        <v>2442</v>
      </c>
      <c r="D217" s="13" t="s">
        <v>2443</v>
      </c>
      <c r="E217" s="13" t="s">
        <v>515</v>
      </c>
      <c r="F217" s="14" t="s">
        <v>11</v>
      </c>
      <c r="G217" s="13"/>
      <c r="H217" s="14">
        <f t="shared" si="7"/>
        <v>1</v>
      </c>
      <c r="I217" s="14">
        <v>1</v>
      </c>
      <c r="J217" s="14">
        <v>1</v>
      </c>
      <c r="K217" s="13" t="s">
        <v>1552</v>
      </c>
      <c r="L217" s="14" t="s">
        <v>271</v>
      </c>
      <c r="M217" s="14">
        <v>3907</v>
      </c>
      <c r="N217" s="14">
        <v>6659</v>
      </c>
      <c r="O217" s="14">
        <v>439070</v>
      </c>
      <c r="P217" s="14">
        <v>466590</v>
      </c>
      <c r="Q217" s="14"/>
    </row>
    <row r="218" spans="1:17" x14ac:dyDescent="0.25">
      <c r="A218" s="11" t="s">
        <v>2684</v>
      </c>
      <c r="B218" s="13" t="s">
        <v>269</v>
      </c>
      <c r="C218" s="62" t="s">
        <v>270</v>
      </c>
      <c r="D218" s="13" t="s">
        <v>26</v>
      </c>
      <c r="E218" s="14" t="s">
        <v>272</v>
      </c>
      <c r="F218" s="14" t="s">
        <v>11</v>
      </c>
      <c r="G218" s="13"/>
      <c r="H218" s="14">
        <f t="shared" si="7"/>
        <v>3</v>
      </c>
      <c r="I218" s="14">
        <v>3</v>
      </c>
      <c r="J218" s="14">
        <v>2</v>
      </c>
      <c r="K218" s="13" t="s">
        <v>2430</v>
      </c>
      <c r="L218" s="14" t="s">
        <v>271</v>
      </c>
      <c r="M218" s="14">
        <v>9382</v>
      </c>
      <c r="N218" s="14">
        <v>7523</v>
      </c>
      <c r="O218" s="14">
        <v>493820</v>
      </c>
      <c r="P218" s="14">
        <v>475230</v>
      </c>
      <c r="Q218" s="14"/>
    </row>
    <row r="219" spans="1:17" x14ac:dyDescent="0.25">
      <c r="A219" s="11" t="s">
        <v>2684</v>
      </c>
      <c r="B219" s="13" t="s">
        <v>269</v>
      </c>
      <c r="C219" s="62" t="s">
        <v>2686</v>
      </c>
      <c r="D219" s="13" t="s">
        <v>26</v>
      </c>
      <c r="E219" s="14" t="s">
        <v>437</v>
      </c>
      <c r="F219" s="14" t="s">
        <v>11</v>
      </c>
      <c r="G219" s="13"/>
      <c r="H219" s="14">
        <f t="shared" si="7"/>
        <v>1</v>
      </c>
      <c r="I219" s="14">
        <v>1</v>
      </c>
      <c r="J219" s="14">
        <v>1</v>
      </c>
      <c r="K219" s="13" t="s">
        <v>1103</v>
      </c>
      <c r="L219" s="14" t="s">
        <v>271</v>
      </c>
      <c r="M219" s="14">
        <v>8082</v>
      </c>
      <c r="N219" s="14">
        <v>6088</v>
      </c>
      <c r="O219" s="14">
        <v>480820</v>
      </c>
      <c r="P219" s="14">
        <v>460880</v>
      </c>
      <c r="Q219" s="14"/>
    </row>
    <row r="220" spans="1:17" x14ac:dyDescent="0.25">
      <c r="A220" s="11" t="s">
        <v>2684</v>
      </c>
      <c r="B220" s="13" t="s">
        <v>269</v>
      </c>
      <c r="C220" s="62" t="s">
        <v>3030</v>
      </c>
      <c r="D220" s="13" t="s">
        <v>8</v>
      </c>
      <c r="E220" s="13" t="s">
        <v>2454</v>
      </c>
      <c r="F220" s="14" t="s">
        <v>11</v>
      </c>
      <c r="G220" s="13"/>
      <c r="H220" s="14">
        <f t="shared" si="7"/>
        <v>1</v>
      </c>
      <c r="I220" s="14">
        <v>1</v>
      </c>
      <c r="J220" s="14">
        <v>1</v>
      </c>
      <c r="K220" s="13" t="s">
        <v>3022</v>
      </c>
      <c r="L220" s="14" t="s">
        <v>218</v>
      </c>
      <c r="M220" s="14">
        <v>850</v>
      </c>
      <c r="N220" s="14">
        <v>46</v>
      </c>
      <c r="O220" s="14">
        <v>485000</v>
      </c>
      <c r="P220" s="14">
        <v>504600</v>
      </c>
      <c r="Q220" s="14"/>
    </row>
    <row r="221" spans="1:17" x14ac:dyDescent="0.25">
      <c r="A221" s="11" t="s">
        <v>2684</v>
      </c>
      <c r="B221" s="13" t="s">
        <v>269</v>
      </c>
      <c r="C221" s="62" t="s">
        <v>2769</v>
      </c>
      <c r="D221" s="13" t="s">
        <v>18</v>
      </c>
      <c r="E221" s="13" t="s">
        <v>2768</v>
      </c>
      <c r="F221" s="14" t="s">
        <v>11</v>
      </c>
      <c r="G221" s="13"/>
      <c r="H221" s="14">
        <f t="shared" si="7"/>
        <v>1</v>
      </c>
      <c r="I221" s="14">
        <v>1</v>
      </c>
      <c r="J221" s="14">
        <v>1</v>
      </c>
      <c r="K221" s="13" t="s">
        <v>1391</v>
      </c>
      <c r="L221" s="14" t="s">
        <v>271</v>
      </c>
      <c r="M221" s="14">
        <v>3526</v>
      </c>
      <c r="N221" s="14">
        <v>7353</v>
      </c>
      <c r="O221" s="14">
        <v>435260</v>
      </c>
      <c r="P221" s="14">
        <v>473530</v>
      </c>
      <c r="Q221" s="14"/>
    </row>
    <row r="222" spans="1:17" x14ac:dyDescent="0.25">
      <c r="A222" s="11" t="s">
        <v>2684</v>
      </c>
      <c r="B222" s="13" t="s">
        <v>269</v>
      </c>
      <c r="C222" s="62" t="s">
        <v>2770</v>
      </c>
      <c r="D222" s="13" t="s">
        <v>18</v>
      </c>
      <c r="E222" s="13" t="s">
        <v>2768</v>
      </c>
      <c r="F222" s="14" t="s">
        <v>11</v>
      </c>
      <c r="G222" s="13"/>
      <c r="H222" s="14">
        <f t="shared" si="7"/>
        <v>1</v>
      </c>
      <c r="I222" s="14">
        <v>1</v>
      </c>
      <c r="J222" s="14">
        <v>1</v>
      </c>
      <c r="K222" s="13" t="s">
        <v>1391</v>
      </c>
      <c r="L222" s="14" t="s">
        <v>271</v>
      </c>
      <c r="M222" s="14">
        <v>3229</v>
      </c>
      <c r="N222" s="14">
        <v>7484</v>
      </c>
      <c r="O222" s="14">
        <v>432290</v>
      </c>
      <c r="P222" s="14">
        <v>474840</v>
      </c>
      <c r="Q222" s="14"/>
    </row>
    <row r="223" spans="1:17" x14ac:dyDescent="0.25">
      <c r="A223" s="11" t="s">
        <v>2684</v>
      </c>
      <c r="B223" s="13" t="s">
        <v>269</v>
      </c>
      <c r="C223" s="62" t="s">
        <v>3031</v>
      </c>
      <c r="D223" s="13" t="s">
        <v>8</v>
      </c>
      <c r="E223" s="13" t="s">
        <v>1924</v>
      </c>
      <c r="F223" s="14" t="s">
        <v>11</v>
      </c>
      <c r="G223" s="13"/>
      <c r="H223" s="14">
        <f t="shared" si="7"/>
        <v>1</v>
      </c>
      <c r="I223" s="14">
        <v>1</v>
      </c>
      <c r="J223" s="14">
        <v>1</v>
      </c>
      <c r="K223" s="13" t="s">
        <v>3022</v>
      </c>
      <c r="L223" s="14" t="s">
        <v>271</v>
      </c>
      <c r="M223" s="14">
        <v>9687</v>
      </c>
      <c r="N223" s="14">
        <v>9725</v>
      </c>
      <c r="O223" s="14">
        <v>496870</v>
      </c>
      <c r="P223" s="14">
        <v>497250</v>
      </c>
      <c r="Q223" s="14"/>
    </row>
    <row r="224" spans="1:17" x14ac:dyDescent="0.25">
      <c r="A224" s="11" t="s">
        <v>2684</v>
      </c>
      <c r="B224" s="13" t="s">
        <v>269</v>
      </c>
      <c r="C224" s="62" t="s">
        <v>1127</v>
      </c>
      <c r="D224" s="13" t="s">
        <v>2049</v>
      </c>
      <c r="E224" s="14" t="s">
        <v>405</v>
      </c>
      <c r="F224" s="14" t="s">
        <v>11</v>
      </c>
      <c r="G224" s="13">
        <v>1</v>
      </c>
      <c r="H224" s="14">
        <f t="shared" si="7"/>
        <v>2</v>
      </c>
      <c r="I224" s="14">
        <v>1</v>
      </c>
      <c r="J224" s="14">
        <v>2</v>
      </c>
      <c r="K224" s="13" t="s">
        <v>2836</v>
      </c>
      <c r="L224" s="14" t="s">
        <v>271</v>
      </c>
      <c r="M224" s="14">
        <v>2854</v>
      </c>
      <c r="N224" s="14">
        <v>7946</v>
      </c>
      <c r="O224" s="14">
        <v>428540</v>
      </c>
      <c r="P224" s="14">
        <v>479460</v>
      </c>
      <c r="Q224" s="14"/>
    </row>
    <row r="225" spans="1:17" ht="22.5" x14ac:dyDescent="0.25">
      <c r="A225" s="11" t="s">
        <v>2684</v>
      </c>
      <c r="B225" s="13" t="s">
        <v>269</v>
      </c>
      <c r="C225" s="62" t="s">
        <v>1620</v>
      </c>
      <c r="D225" s="13" t="s">
        <v>540</v>
      </c>
      <c r="E225" s="14" t="s">
        <v>437</v>
      </c>
      <c r="F225" s="14" t="s">
        <v>11</v>
      </c>
      <c r="G225" s="13"/>
      <c r="H225" s="14">
        <f t="shared" si="7"/>
        <v>1</v>
      </c>
      <c r="I225" s="14">
        <v>1</v>
      </c>
      <c r="J225" s="14">
        <v>1</v>
      </c>
      <c r="K225" s="13" t="s">
        <v>2886</v>
      </c>
      <c r="L225" s="14" t="s">
        <v>271</v>
      </c>
      <c r="M225" s="14">
        <v>8363</v>
      </c>
      <c r="N225" s="14">
        <v>6345</v>
      </c>
      <c r="O225" s="14">
        <v>483630</v>
      </c>
      <c r="P225" s="14">
        <v>463450</v>
      </c>
      <c r="Q225" s="14"/>
    </row>
    <row r="226" spans="1:17" x14ac:dyDescent="0.25">
      <c r="A226" s="11" t="s">
        <v>2684</v>
      </c>
      <c r="B226" s="13" t="s">
        <v>269</v>
      </c>
      <c r="C226" s="62" t="s">
        <v>2772</v>
      </c>
      <c r="D226" s="13" t="s">
        <v>18</v>
      </c>
      <c r="E226" s="13" t="s">
        <v>2773</v>
      </c>
      <c r="F226" s="14" t="s">
        <v>11</v>
      </c>
      <c r="G226" s="13"/>
      <c r="H226" s="14">
        <f t="shared" si="7"/>
        <v>1</v>
      </c>
      <c r="I226" s="14">
        <v>1</v>
      </c>
      <c r="J226" s="14">
        <v>1</v>
      </c>
      <c r="K226" s="13" t="s">
        <v>1391</v>
      </c>
      <c r="L226" s="14" t="s">
        <v>271</v>
      </c>
      <c r="M226" s="14">
        <v>140</v>
      </c>
      <c r="N226" s="14">
        <v>6541</v>
      </c>
      <c r="O226" s="14">
        <v>401400</v>
      </c>
      <c r="P226" s="14">
        <v>465410</v>
      </c>
      <c r="Q226" s="14"/>
    </row>
    <row r="227" spans="1:17" x14ac:dyDescent="0.25">
      <c r="A227" s="11" t="s">
        <v>2684</v>
      </c>
      <c r="B227" s="13" t="s">
        <v>2079</v>
      </c>
      <c r="C227" s="62" t="s">
        <v>2080</v>
      </c>
      <c r="D227" s="13" t="s">
        <v>18</v>
      </c>
      <c r="E227" s="14" t="s">
        <v>2080</v>
      </c>
      <c r="F227" s="14" t="s">
        <v>11</v>
      </c>
      <c r="G227" s="13"/>
      <c r="H227" s="14">
        <f t="shared" si="7"/>
        <v>1</v>
      </c>
      <c r="I227" s="14">
        <v>1</v>
      </c>
      <c r="J227" s="14">
        <v>1</v>
      </c>
      <c r="K227" s="13" t="s">
        <v>1391</v>
      </c>
      <c r="L227" s="14" t="s">
        <v>271</v>
      </c>
      <c r="M227" s="14">
        <v>4746</v>
      </c>
      <c r="N227" s="14">
        <v>2424</v>
      </c>
      <c r="O227" s="14">
        <v>447460</v>
      </c>
      <c r="P227" s="14">
        <v>424240</v>
      </c>
      <c r="Q227" s="14"/>
    </row>
    <row r="228" spans="1:17" x14ac:dyDescent="0.25">
      <c r="A228" s="11" t="s">
        <v>2684</v>
      </c>
      <c r="B228" s="13" t="s">
        <v>2079</v>
      </c>
      <c r="C228" s="62" t="s">
        <v>3026</v>
      </c>
      <c r="D228" s="13" t="s">
        <v>8</v>
      </c>
      <c r="E228" s="14" t="s">
        <v>3027</v>
      </c>
      <c r="F228" s="14" t="s">
        <v>11</v>
      </c>
      <c r="G228" s="13"/>
      <c r="H228" s="14">
        <f t="shared" si="7"/>
        <v>1</v>
      </c>
      <c r="I228" s="14">
        <v>1</v>
      </c>
      <c r="J228" s="14">
        <v>1</v>
      </c>
      <c r="K228" s="13" t="s">
        <v>3022</v>
      </c>
      <c r="L228" s="14" t="s">
        <v>271</v>
      </c>
      <c r="M228" s="14">
        <v>126</v>
      </c>
      <c r="N228" s="14">
        <v>450</v>
      </c>
      <c r="O228" s="14">
        <v>412600</v>
      </c>
      <c r="P228" s="14">
        <v>445000</v>
      </c>
      <c r="Q228" s="14"/>
    </row>
    <row r="229" spans="1:17" ht="33.75" x14ac:dyDescent="0.25">
      <c r="A229" s="11" t="s">
        <v>2684</v>
      </c>
      <c r="B229" s="13" t="s">
        <v>1682</v>
      </c>
      <c r="C229" s="62" t="s">
        <v>1683</v>
      </c>
      <c r="D229" s="13" t="s">
        <v>2925</v>
      </c>
      <c r="E229" s="14" t="s">
        <v>2928</v>
      </c>
      <c r="F229" s="14" t="s">
        <v>11</v>
      </c>
      <c r="G229" s="13"/>
      <c r="H229" s="14">
        <f t="shared" si="7"/>
        <v>1</v>
      </c>
      <c r="I229" s="14">
        <v>1</v>
      </c>
      <c r="J229" s="14">
        <v>1</v>
      </c>
      <c r="K229" s="13" t="s">
        <v>1252</v>
      </c>
      <c r="L229" s="14" t="s">
        <v>697</v>
      </c>
      <c r="M229" s="14">
        <v>53546</v>
      </c>
      <c r="N229" s="14">
        <v>87430</v>
      </c>
      <c r="O229" s="14">
        <v>453546</v>
      </c>
      <c r="P229" s="14">
        <v>87430</v>
      </c>
      <c r="Q229" s="14"/>
    </row>
    <row r="230" spans="1:17" ht="33.75" x14ac:dyDescent="0.25">
      <c r="A230" s="11" t="s">
        <v>2684</v>
      </c>
      <c r="B230" s="13" t="s">
        <v>231</v>
      </c>
      <c r="C230" s="62" t="s">
        <v>2055</v>
      </c>
      <c r="D230" s="13" t="s">
        <v>2056</v>
      </c>
      <c r="E230" s="14" t="s">
        <v>86</v>
      </c>
      <c r="F230" s="14" t="s">
        <v>35</v>
      </c>
      <c r="G230" s="13"/>
      <c r="H230" s="14">
        <f t="shared" si="7"/>
        <v>2</v>
      </c>
      <c r="I230" s="14">
        <v>2</v>
      </c>
      <c r="J230" s="14">
        <v>1</v>
      </c>
      <c r="K230" s="13" t="s">
        <v>846</v>
      </c>
      <c r="L230" s="14" t="s">
        <v>115</v>
      </c>
      <c r="M230" s="14">
        <v>7792</v>
      </c>
      <c r="N230" s="14">
        <v>1967</v>
      </c>
      <c r="O230" s="14">
        <v>377920</v>
      </c>
      <c r="P230" s="14">
        <v>819670</v>
      </c>
      <c r="Q230" s="14"/>
    </row>
    <row r="231" spans="1:17" x14ac:dyDescent="0.25">
      <c r="A231" s="11" t="s">
        <v>2684</v>
      </c>
      <c r="B231" s="13" t="s">
        <v>231</v>
      </c>
      <c r="C231" s="62" t="s">
        <v>2941</v>
      </c>
      <c r="D231" s="13" t="s">
        <v>2943</v>
      </c>
      <c r="E231" s="14" t="s">
        <v>232</v>
      </c>
      <c r="F231" s="14" t="s">
        <v>35</v>
      </c>
      <c r="G231" s="13"/>
      <c r="H231" s="14">
        <f t="shared" si="7"/>
        <v>1</v>
      </c>
      <c r="I231" s="14">
        <v>1</v>
      </c>
      <c r="J231" s="14">
        <v>1</v>
      </c>
      <c r="K231" s="13" t="s">
        <v>1258</v>
      </c>
      <c r="L231" s="14" t="s">
        <v>130</v>
      </c>
      <c r="M231" s="14">
        <v>9071</v>
      </c>
      <c r="N231" s="14">
        <v>9733</v>
      </c>
      <c r="O231" s="14">
        <v>390710</v>
      </c>
      <c r="P231" s="14">
        <v>797330</v>
      </c>
      <c r="Q231" s="14"/>
    </row>
    <row r="232" spans="1:17" x14ac:dyDescent="0.25">
      <c r="A232" s="11" t="s">
        <v>2684</v>
      </c>
      <c r="B232" s="13" t="s">
        <v>231</v>
      </c>
      <c r="C232" s="62" t="s">
        <v>2791</v>
      </c>
      <c r="D232" s="13" t="s">
        <v>18</v>
      </c>
      <c r="E232" s="14" t="s">
        <v>86</v>
      </c>
      <c r="F232" s="14" t="s">
        <v>35</v>
      </c>
      <c r="G232" s="13"/>
      <c r="H232" s="14">
        <f t="shared" si="7"/>
        <v>1</v>
      </c>
      <c r="I232" s="14">
        <v>1</v>
      </c>
      <c r="J232" s="14">
        <v>1</v>
      </c>
      <c r="K232" s="13" t="s">
        <v>846</v>
      </c>
      <c r="L232" s="14" t="s">
        <v>115</v>
      </c>
      <c r="M232" s="14">
        <v>449</v>
      </c>
      <c r="N232" s="14">
        <v>307</v>
      </c>
      <c r="O232" s="14">
        <v>344900</v>
      </c>
      <c r="P232" s="14">
        <v>830700</v>
      </c>
      <c r="Q232" s="14"/>
    </row>
    <row r="233" spans="1:17" s="57" customFormat="1" x14ac:dyDescent="0.25">
      <c r="A233" s="11" t="s">
        <v>2684</v>
      </c>
      <c r="B233" s="55" t="s">
        <v>231</v>
      </c>
      <c r="C233" s="64" t="s">
        <v>2609</v>
      </c>
      <c r="D233" s="55" t="s">
        <v>8</v>
      </c>
      <c r="E233" s="57" t="s">
        <v>86</v>
      </c>
      <c r="F233" s="57" t="s">
        <v>35</v>
      </c>
      <c r="G233" s="55"/>
      <c r="H233" s="57">
        <f t="shared" si="7"/>
        <v>3</v>
      </c>
      <c r="I233" s="57">
        <v>3</v>
      </c>
      <c r="J233" s="57">
        <v>3</v>
      </c>
      <c r="K233" s="55" t="s">
        <v>1536</v>
      </c>
      <c r="L233" s="57" t="s">
        <v>115</v>
      </c>
      <c r="M233" s="57">
        <v>732</v>
      </c>
      <c r="N233" s="57">
        <v>207</v>
      </c>
      <c r="O233" s="57">
        <v>373200</v>
      </c>
      <c r="P233" s="57">
        <v>820700</v>
      </c>
    </row>
    <row r="234" spans="1:17" ht="22.5" x14ac:dyDescent="0.25">
      <c r="A234" s="11" t="s">
        <v>2684</v>
      </c>
      <c r="B234" s="13" t="s">
        <v>231</v>
      </c>
      <c r="C234" s="61" t="s">
        <v>3076</v>
      </c>
      <c r="D234" s="13" t="s">
        <v>8</v>
      </c>
      <c r="E234" s="14" t="s">
        <v>86</v>
      </c>
      <c r="F234" s="14" t="s">
        <v>35</v>
      </c>
      <c r="G234" s="13"/>
      <c r="H234" s="14">
        <f t="shared" si="7"/>
        <v>1</v>
      </c>
      <c r="I234" s="14">
        <v>1</v>
      </c>
      <c r="J234" s="14">
        <v>1</v>
      </c>
      <c r="K234" s="13" t="s">
        <v>3068</v>
      </c>
      <c r="L234" s="14" t="s">
        <v>115</v>
      </c>
      <c r="M234" s="14">
        <v>6994</v>
      </c>
      <c r="N234" s="14">
        <v>649</v>
      </c>
      <c r="O234" s="14">
        <v>369940</v>
      </c>
      <c r="P234" s="14">
        <v>806490</v>
      </c>
      <c r="Q234" s="14"/>
    </row>
    <row r="235" spans="1:17" ht="22.5" x14ac:dyDescent="0.25">
      <c r="A235" s="11" t="s">
        <v>2684</v>
      </c>
      <c r="B235" s="13" t="s">
        <v>231</v>
      </c>
      <c r="C235" s="61" t="s">
        <v>3063</v>
      </c>
      <c r="D235" s="13" t="s">
        <v>2943</v>
      </c>
      <c r="E235" s="14" t="s">
        <v>86</v>
      </c>
      <c r="F235" s="14" t="s">
        <v>35</v>
      </c>
      <c r="G235" s="13"/>
      <c r="H235" s="14">
        <f t="shared" si="7"/>
        <v>1</v>
      </c>
      <c r="I235" s="14">
        <v>1</v>
      </c>
      <c r="J235" s="14">
        <v>1</v>
      </c>
      <c r="K235" s="13" t="s">
        <v>3022</v>
      </c>
      <c r="L235" s="14" t="s">
        <v>3064</v>
      </c>
      <c r="M235" s="14">
        <v>108</v>
      </c>
      <c r="N235" s="14">
        <v>2628</v>
      </c>
      <c r="O235" s="14">
        <v>401080</v>
      </c>
      <c r="P235" s="14">
        <v>826280</v>
      </c>
      <c r="Q235" s="14"/>
    </row>
    <row r="236" spans="1:17" x14ac:dyDescent="0.25">
      <c r="A236" s="11" t="s">
        <v>2684</v>
      </c>
      <c r="B236" s="13" t="s">
        <v>231</v>
      </c>
      <c r="C236" s="62" t="s">
        <v>2940</v>
      </c>
      <c r="D236" s="13" t="s">
        <v>2943</v>
      </c>
      <c r="E236" s="14" t="s">
        <v>232</v>
      </c>
      <c r="F236" s="14" t="s">
        <v>35</v>
      </c>
      <c r="G236" s="13"/>
      <c r="H236" s="14">
        <f t="shared" si="7"/>
        <v>1</v>
      </c>
      <c r="I236" s="14">
        <v>1</v>
      </c>
      <c r="J236" s="14">
        <v>1</v>
      </c>
      <c r="K236" s="13" t="s">
        <v>1258</v>
      </c>
      <c r="L236" s="14" t="s">
        <v>115</v>
      </c>
      <c r="M236" s="14">
        <v>6165</v>
      </c>
      <c r="N236" s="14">
        <v>365</v>
      </c>
      <c r="O236" s="14">
        <v>361650</v>
      </c>
      <c r="P236" s="14">
        <v>803650</v>
      </c>
      <c r="Q236" s="14"/>
    </row>
    <row r="237" spans="1:17" ht="22.5" x14ac:dyDescent="0.25">
      <c r="A237" s="11" t="s">
        <v>2684</v>
      </c>
      <c r="B237" s="13" t="s">
        <v>231</v>
      </c>
      <c r="C237" s="61" t="s">
        <v>3077</v>
      </c>
      <c r="D237" s="13" t="s">
        <v>8</v>
      </c>
      <c r="E237" s="14" t="s">
        <v>86</v>
      </c>
      <c r="F237" s="14" t="s">
        <v>35</v>
      </c>
      <c r="G237" s="13"/>
      <c r="H237" s="14">
        <f t="shared" si="7"/>
        <v>1</v>
      </c>
      <c r="I237" s="14">
        <v>1</v>
      </c>
      <c r="J237" s="14">
        <v>1</v>
      </c>
      <c r="K237" s="13" t="s">
        <v>3068</v>
      </c>
      <c r="L237" s="14" t="s">
        <v>115</v>
      </c>
      <c r="M237" s="14">
        <v>7159</v>
      </c>
      <c r="N237" s="14">
        <v>570</v>
      </c>
      <c r="O237" s="14">
        <v>371590</v>
      </c>
      <c r="P237" s="14">
        <v>805700</v>
      </c>
      <c r="Q237" s="14"/>
    </row>
    <row r="238" spans="1:17" ht="22.5" x14ac:dyDescent="0.25">
      <c r="A238" s="11" t="s">
        <v>2684</v>
      </c>
      <c r="B238" s="13" t="s">
        <v>953</v>
      </c>
      <c r="C238" s="62" t="s">
        <v>954</v>
      </c>
      <c r="D238" s="13" t="s">
        <v>955</v>
      </c>
      <c r="E238" s="14" t="s">
        <v>957</v>
      </c>
      <c r="F238" s="14" t="s">
        <v>35</v>
      </c>
      <c r="G238" s="13"/>
      <c r="H238" s="14">
        <f t="shared" si="7"/>
        <v>1</v>
      </c>
      <c r="I238" s="14">
        <v>1</v>
      </c>
      <c r="J238" s="14">
        <v>1</v>
      </c>
      <c r="K238" s="13" t="s">
        <v>1552</v>
      </c>
      <c r="L238" s="14" t="s">
        <v>956</v>
      </c>
      <c r="M238" s="14">
        <v>730</v>
      </c>
      <c r="N238" s="14">
        <v>525</v>
      </c>
      <c r="O238" s="14">
        <v>173000</v>
      </c>
      <c r="P238" s="14">
        <v>652500</v>
      </c>
      <c r="Q238" s="14"/>
    </row>
    <row r="239" spans="1:17" s="57" customFormat="1" x14ac:dyDescent="0.25">
      <c r="A239" s="11" t="s">
        <v>2684</v>
      </c>
      <c r="B239" s="55" t="s">
        <v>953</v>
      </c>
      <c r="C239" s="64" t="s">
        <v>2801</v>
      </c>
      <c r="D239" s="55" t="s">
        <v>18</v>
      </c>
      <c r="E239" s="57" t="s">
        <v>1017</v>
      </c>
      <c r="F239" s="57" t="s">
        <v>35</v>
      </c>
      <c r="G239" s="55"/>
      <c r="H239" s="57">
        <f t="shared" si="7"/>
        <v>1</v>
      </c>
      <c r="I239" s="57">
        <v>1</v>
      </c>
      <c r="J239" s="57">
        <v>1</v>
      </c>
      <c r="K239" s="55" t="s">
        <v>1396</v>
      </c>
      <c r="L239" s="57" t="s">
        <v>956</v>
      </c>
      <c r="M239" s="57">
        <v>83317</v>
      </c>
      <c r="N239" s="57">
        <v>96277</v>
      </c>
      <c r="O239" s="57">
        <v>183317</v>
      </c>
      <c r="P239" s="57">
        <v>696277</v>
      </c>
    </row>
    <row r="240" spans="1:17" x14ac:dyDescent="0.25">
      <c r="A240" s="11" t="s">
        <v>2684</v>
      </c>
      <c r="B240" s="13" t="s">
        <v>953</v>
      </c>
      <c r="C240" s="62" t="s">
        <v>3065</v>
      </c>
      <c r="D240" s="13" t="s">
        <v>2943</v>
      </c>
      <c r="E240" s="14" t="s">
        <v>1017</v>
      </c>
      <c r="F240" s="14" t="s">
        <v>35</v>
      </c>
      <c r="G240" s="13"/>
      <c r="H240" s="14">
        <f t="shared" si="7"/>
        <v>1</v>
      </c>
      <c r="I240" s="14">
        <v>1</v>
      </c>
      <c r="J240" s="14">
        <v>1</v>
      </c>
      <c r="K240" s="13" t="s">
        <v>3022</v>
      </c>
      <c r="L240" s="14" t="s">
        <v>1275</v>
      </c>
      <c r="M240" s="14">
        <v>830</v>
      </c>
      <c r="N240" s="14">
        <v>50</v>
      </c>
      <c r="O240" s="14">
        <v>183000</v>
      </c>
      <c r="P240" s="14">
        <v>705000</v>
      </c>
      <c r="Q240" s="14"/>
    </row>
    <row r="241" spans="1:17" x14ac:dyDescent="0.25">
      <c r="A241" s="11" t="s">
        <v>2684</v>
      </c>
      <c r="B241" s="13" t="s">
        <v>394</v>
      </c>
      <c r="C241" s="61" t="s">
        <v>3060</v>
      </c>
      <c r="D241" s="13" t="s">
        <v>8</v>
      </c>
      <c r="E241" s="14" t="s">
        <v>394</v>
      </c>
      <c r="F241" s="14" t="s">
        <v>35</v>
      </c>
      <c r="G241" s="13"/>
      <c r="H241" s="14">
        <f t="shared" si="7"/>
        <v>1</v>
      </c>
      <c r="I241" s="14">
        <v>1</v>
      </c>
      <c r="J241" s="14">
        <v>1</v>
      </c>
      <c r="K241" s="13" t="s">
        <v>3022</v>
      </c>
      <c r="L241" s="14" t="s">
        <v>398</v>
      </c>
      <c r="M241" s="14">
        <v>560</v>
      </c>
      <c r="N241" s="14">
        <v>521</v>
      </c>
      <c r="O241" s="14">
        <v>356000</v>
      </c>
      <c r="P241" s="14">
        <v>652100</v>
      </c>
      <c r="Q241" s="14"/>
    </row>
    <row r="242" spans="1:17" x14ac:dyDescent="0.25">
      <c r="A242" s="11" t="s">
        <v>2684</v>
      </c>
      <c r="B242" s="13" t="s">
        <v>394</v>
      </c>
      <c r="C242" s="61" t="s">
        <v>2800</v>
      </c>
      <c r="D242" s="13" t="s">
        <v>18</v>
      </c>
      <c r="E242" s="14" t="s">
        <v>394</v>
      </c>
      <c r="F242" s="14" t="s">
        <v>35</v>
      </c>
      <c r="G242" s="13"/>
      <c r="H242" s="14">
        <f t="shared" si="7"/>
        <v>1</v>
      </c>
      <c r="I242" s="14">
        <v>1</v>
      </c>
      <c r="J242" s="14">
        <v>1</v>
      </c>
      <c r="K242" s="13" t="s">
        <v>1396</v>
      </c>
      <c r="L242" s="14" t="s">
        <v>398</v>
      </c>
      <c r="M242" s="14">
        <v>4869</v>
      </c>
      <c r="N242" s="14">
        <v>5227</v>
      </c>
      <c r="O242" s="14">
        <v>348690</v>
      </c>
      <c r="P242" s="14">
        <v>652270</v>
      </c>
      <c r="Q242" s="14"/>
    </row>
    <row r="243" spans="1:17" ht="22.5" x14ac:dyDescent="0.25">
      <c r="A243" s="11" t="s">
        <v>2684</v>
      </c>
      <c r="B243" s="13" t="s">
        <v>394</v>
      </c>
      <c r="C243" s="61" t="s">
        <v>2798</v>
      </c>
      <c r="D243" s="13" t="s">
        <v>18</v>
      </c>
      <c r="E243" s="14" t="s">
        <v>394</v>
      </c>
      <c r="F243" s="14" t="s">
        <v>35</v>
      </c>
      <c r="G243" s="13"/>
      <c r="H243" s="14">
        <f t="shared" si="7"/>
        <v>1</v>
      </c>
      <c r="I243" s="14">
        <v>1</v>
      </c>
      <c r="J243" s="14">
        <v>1</v>
      </c>
      <c r="K243" s="13" t="s">
        <v>846</v>
      </c>
      <c r="L243" s="14" t="s">
        <v>398</v>
      </c>
      <c r="M243" s="14">
        <v>1142</v>
      </c>
      <c r="N243" s="14">
        <v>3363</v>
      </c>
      <c r="O243" s="14">
        <v>311420</v>
      </c>
      <c r="P243" s="14">
        <v>633630</v>
      </c>
      <c r="Q243" s="14"/>
    </row>
    <row r="244" spans="1:17" x14ac:dyDescent="0.25">
      <c r="A244" s="11" t="s">
        <v>2684</v>
      </c>
      <c r="B244" s="13" t="s">
        <v>394</v>
      </c>
      <c r="C244" s="62" t="s">
        <v>3107</v>
      </c>
      <c r="D244" s="13" t="s">
        <v>121</v>
      </c>
      <c r="E244" s="14" t="s">
        <v>1014</v>
      </c>
      <c r="F244" s="14" t="s">
        <v>35</v>
      </c>
      <c r="G244" s="13"/>
      <c r="H244" s="14">
        <f t="shared" si="7"/>
        <v>1</v>
      </c>
      <c r="I244" s="14">
        <v>1</v>
      </c>
      <c r="J244" s="14">
        <v>1</v>
      </c>
      <c r="K244" s="13" t="s">
        <v>1552</v>
      </c>
      <c r="L244" s="14" t="s">
        <v>398</v>
      </c>
      <c r="M244" s="14">
        <v>791</v>
      </c>
      <c r="N244" s="14">
        <v>192</v>
      </c>
      <c r="O244" s="14">
        <v>379100</v>
      </c>
      <c r="P244" s="14">
        <v>619200</v>
      </c>
      <c r="Q244" s="14"/>
    </row>
    <row r="245" spans="1:17" ht="22.5" x14ac:dyDescent="0.25">
      <c r="A245" s="11" t="s">
        <v>2684</v>
      </c>
      <c r="B245" s="13" t="s">
        <v>394</v>
      </c>
      <c r="C245" s="61" t="s">
        <v>2942</v>
      </c>
      <c r="D245" s="13" t="s">
        <v>2943</v>
      </c>
      <c r="E245" s="13" t="s">
        <v>2944</v>
      </c>
      <c r="F245" s="14" t="s">
        <v>35</v>
      </c>
      <c r="G245" s="13"/>
      <c r="H245" s="14">
        <f t="shared" si="7"/>
        <v>2</v>
      </c>
      <c r="I245" s="14">
        <v>2</v>
      </c>
      <c r="J245" s="14">
        <v>1</v>
      </c>
      <c r="K245" s="13" t="s">
        <v>1258</v>
      </c>
      <c r="L245" s="14" t="s">
        <v>398</v>
      </c>
      <c r="M245" s="14">
        <v>851</v>
      </c>
      <c r="N245" s="14">
        <v>2346</v>
      </c>
      <c r="O245" s="14">
        <v>308510</v>
      </c>
      <c r="P245" s="14">
        <v>623460</v>
      </c>
      <c r="Q245" s="14"/>
    </row>
    <row r="246" spans="1:17" x14ac:dyDescent="0.25">
      <c r="A246" s="11" t="s">
        <v>2684</v>
      </c>
      <c r="B246" s="13" t="s">
        <v>238</v>
      </c>
      <c r="C246" s="62" t="s">
        <v>2714</v>
      </c>
      <c r="D246" s="13" t="s">
        <v>1940</v>
      </c>
      <c r="E246" s="14" t="s">
        <v>236</v>
      </c>
      <c r="F246" s="14" t="s">
        <v>35</v>
      </c>
      <c r="G246" s="13">
        <v>1</v>
      </c>
      <c r="H246" s="14">
        <f t="shared" si="7"/>
        <v>2</v>
      </c>
      <c r="I246" s="14">
        <v>1</v>
      </c>
      <c r="J246" s="14">
        <v>1</v>
      </c>
      <c r="K246" s="13" t="s">
        <v>752</v>
      </c>
      <c r="L246" s="14" t="s">
        <v>133</v>
      </c>
      <c r="M246" s="14">
        <v>260</v>
      </c>
      <c r="N246" s="14">
        <v>442</v>
      </c>
      <c r="O246" s="14">
        <v>326000</v>
      </c>
      <c r="P246" s="14">
        <v>944200</v>
      </c>
      <c r="Q246" s="14"/>
    </row>
    <row r="247" spans="1:17" x14ac:dyDescent="0.25">
      <c r="A247" s="11" t="s">
        <v>2684</v>
      </c>
      <c r="B247" s="13" t="s">
        <v>238</v>
      </c>
      <c r="C247" s="62" t="s">
        <v>239</v>
      </c>
      <c r="D247" s="13" t="s">
        <v>26</v>
      </c>
      <c r="E247" s="14" t="s">
        <v>236</v>
      </c>
      <c r="F247" s="14" t="s">
        <v>35</v>
      </c>
      <c r="G247" s="13"/>
      <c r="H247" s="14">
        <f t="shared" si="7"/>
        <v>3</v>
      </c>
      <c r="I247" s="14">
        <v>3</v>
      </c>
      <c r="J247" s="14">
        <v>3</v>
      </c>
      <c r="K247" s="13" t="s">
        <v>2716</v>
      </c>
      <c r="L247" s="14" t="s">
        <v>133</v>
      </c>
      <c r="M247" s="14">
        <v>2601</v>
      </c>
      <c r="N247" s="14">
        <v>4420</v>
      </c>
      <c r="O247" s="14">
        <v>326010</v>
      </c>
      <c r="P247" s="14">
        <v>944200</v>
      </c>
      <c r="Q247" s="14"/>
    </row>
    <row r="248" spans="1:17" ht="22.5" x14ac:dyDescent="0.25">
      <c r="A248" s="11" t="s">
        <v>2684</v>
      </c>
      <c r="B248" s="13" t="s">
        <v>238</v>
      </c>
      <c r="C248" s="62" t="s">
        <v>1081</v>
      </c>
      <c r="D248" s="13" t="s">
        <v>1082</v>
      </c>
      <c r="E248" s="14" t="s">
        <v>236</v>
      </c>
      <c r="F248" s="14" t="s">
        <v>35</v>
      </c>
      <c r="G248" s="13">
        <v>1</v>
      </c>
      <c r="H248" s="14">
        <f t="shared" si="7"/>
        <v>4</v>
      </c>
      <c r="I248" s="14">
        <v>3</v>
      </c>
      <c r="J248" s="14">
        <v>2</v>
      </c>
      <c r="K248" s="13" t="s">
        <v>2715</v>
      </c>
      <c r="L248" s="14" t="s">
        <v>133</v>
      </c>
      <c r="M248" s="14">
        <v>2608</v>
      </c>
      <c r="N248" s="14">
        <v>4403</v>
      </c>
      <c r="O248" s="14">
        <v>326080</v>
      </c>
      <c r="P248" s="14">
        <v>944030</v>
      </c>
      <c r="Q248" s="14"/>
    </row>
    <row r="249" spans="1:17" ht="22.5" x14ac:dyDescent="0.25">
      <c r="A249" s="11" t="s">
        <v>2684</v>
      </c>
      <c r="B249" s="13" t="s">
        <v>238</v>
      </c>
      <c r="C249" s="63" t="s">
        <v>2610</v>
      </c>
      <c r="D249" s="13" t="s">
        <v>955</v>
      </c>
      <c r="E249" s="14" t="s">
        <v>236</v>
      </c>
      <c r="F249" s="14" t="s">
        <v>35</v>
      </c>
      <c r="G249" s="13"/>
      <c r="H249" s="14">
        <f t="shared" si="7"/>
        <v>1</v>
      </c>
      <c r="I249" s="14">
        <v>1</v>
      </c>
      <c r="J249" s="14">
        <v>1</v>
      </c>
      <c r="K249" s="13" t="s">
        <v>1559</v>
      </c>
      <c r="L249" s="14" t="s">
        <v>133</v>
      </c>
      <c r="M249" s="14">
        <v>29515</v>
      </c>
      <c r="N249" s="14">
        <v>38405</v>
      </c>
      <c r="O249" s="14">
        <v>329515</v>
      </c>
      <c r="P249" s="14">
        <v>938405</v>
      </c>
      <c r="Q249" s="14"/>
    </row>
    <row r="250" spans="1:17" ht="22.5" x14ac:dyDescent="0.25">
      <c r="A250" s="11" t="s">
        <v>2684</v>
      </c>
      <c r="B250" s="13" t="s">
        <v>238</v>
      </c>
      <c r="C250" s="62" t="s">
        <v>1533</v>
      </c>
      <c r="D250" s="13" t="s">
        <v>41</v>
      </c>
      <c r="E250" s="13" t="s">
        <v>236</v>
      </c>
      <c r="F250" s="14" t="s">
        <v>35</v>
      </c>
      <c r="G250" s="13">
        <v>1</v>
      </c>
      <c r="H250" s="14">
        <f t="shared" si="7"/>
        <v>2</v>
      </c>
      <c r="I250" s="14">
        <v>1</v>
      </c>
      <c r="J250" s="14">
        <v>2</v>
      </c>
      <c r="K250" s="13" t="s">
        <v>2718</v>
      </c>
      <c r="L250" s="14" t="s">
        <v>133</v>
      </c>
      <c r="M250" s="14">
        <v>30492</v>
      </c>
      <c r="N250" s="14">
        <v>43464</v>
      </c>
      <c r="O250" s="14">
        <v>330492</v>
      </c>
      <c r="P250" s="14">
        <v>943464</v>
      </c>
      <c r="Q250" s="14"/>
    </row>
    <row r="251" spans="1:17" ht="22.5" x14ac:dyDescent="0.25">
      <c r="A251" s="11" t="s">
        <v>2684</v>
      </c>
      <c r="B251" s="13" t="s">
        <v>226</v>
      </c>
      <c r="C251" s="62" t="s">
        <v>2797</v>
      </c>
      <c r="D251" s="13" t="s">
        <v>26</v>
      </c>
      <c r="E251" s="13" t="s">
        <v>228</v>
      </c>
      <c r="F251" s="14" t="s">
        <v>35</v>
      </c>
      <c r="G251" s="13"/>
      <c r="H251" s="14">
        <f t="shared" si="7"/>
        <v>1</v>
      </c>
      <c r="I251" s="14">
        <v>1</v>
      </c>
      <c r="J251" s="14">
        <v>1</v>
      </c>
      <c r="K251" s="13" t="s">
        <v>846</v>
      </c>
      <c r="L251" s="14" t="s">
        <v>166</v>
      </c>
      <c r="M251" s="14">
        <v>2194</v>
      </c>
      <c r="N251" s="14">
        <v>7465</v>
      </c>
      <c r="O251" s="14">
        <v>321940</v>
      </c>
      <c r="P251" s="14">
        <v>574650</v>
      </c>
      <c r="Q251" s="14"/>
    </row>
    <row r="252" spans="1:17" ht="33.75" x14ac:dyDescent="0.25">
      <c r="A252" s="11" t="s">
        <v>2684</v>
      </c>
      <c r="B252" s="13" t="s">
        <v>226</v>
      </c>
      <c r="C252" s="61" t="s">
        <v>3058</v>
      </c>
      <c r="D252" s="13" t="s">
        <v>8</v>
      </c>
      <c r="E252" s="13" t="s">
        <v>228</v>
      </c>
      <c r="F252" s="14" t="s">
        <v>35</v>
      </c>
      <c r="G252" s="13"/>
      <c r="H252" s="14">
        <f t="shared" si="7"/>
        <v>1</v>
      </c>
      <c r="I252" s="14">
        <v>1</v>
      </c>
      <c r="J252" s="14">
        <v>1</v>
      </c>
      <c r="K252" s="13" t="s">
        <v>3022</v>
      </c>
      <c r="L252" s="14" t="s">
        <v>229</v>
      </c>
      <c r="M252" s="14">
        <v>5096</v>
      </c>
      <c r="N252" s="14">
        <v>5821</v>
      </c>
      <c r="O252" s="14">
        <v>250960</v>
      </c>
      <c r="P252" s="14">
        <v>558210</v>
      </c>
      <c r="Q252" s="14"/>
    </row>
    <row r="253" spans="1:17" ht="22.5" x14ac:dyDescent="0.25">
      <c r="A253" s="11" t="s">
        <v>2684</v>
      </c>
      <c r="B253" s="13" t="s">
        <v>226</v>
      </c>
      <c r="C253" s="61" t="s">
        <v>3066</v>
      </c>
      <c r="D253" s="13" t="s">
        <v>8</v>
      </c>
      <c r="E253" s="13" t="s">
        <v>3067</v>
      </c>
      <c r="F253" s="14" t="s">
        <v>35</v>
      </c>
      <c r="G253" s="13"/>
      <c r="H253" s="14">
        <f t="shared" si="7"/>
        <v>1</v>
      </c>
      <c r="I253" s="14">
        <v>1</v>
      </c>
      <c r="J253" s="14">
        <v>1</v>
      </c>
      <c r="K253" s="13" t="s">
        <v>1529</v>
      </c>
      <c r="L253" s="14" t="s">
        <v>229</v>
      </c>
      <c r="M253" s="14">
        <v>529</v>
      </c>
      <c r="N253" s="14">
        <v>571</v>
      </c>
      <c r="O253" s="14">
        <v>252900</v>
      </c>
      <c r="P253" s="14">
        <v>557100</v>
      </c>
      <c r="Q253" s="14"/>
    </row>
    <row r="254" spans="1:17" ht="22.5" x14ac:dyDescent="0.25">
      <c r="A254" s="11" t="s">
        <v>2684</v>
      </c>
      <c r="B254" s="13" t="s">
        <v>226</v>
      </c>
      <c r="C254" s="62" t="s">
        <v>1765</v>
      </c>
      <c r="D254" s="13" t="s">
        <v>2945</v>
      </c>
      <c r="E254" s="13" t="s">
        <v>1766</v>
      </c>
      <c r="F254" s="14" t="s">
        <v>35</v>
      </c>
      <c r="G254" s="13"/>
      <c r="H254" s="14">
        <f t="shared" ref="H254:H295" si="8">G254+I254</f>
        <v>2</v>
      </c>
      <c r="I254" s="14">
        <v>2</v>
      </c>
      <c r="J254" s="14">
        <v>1</v>
      </c>
      <c r="K254" s="13" t="s">
        <v>1258</v>
      </c>
      <c r="L254" s="14" t="s">
        <v>229</v>
      </c>
      <c r="M254" s="14">
        <v>967</v>
      </c>
      <c r="N254" s="14">
        <v>882</v>
      </c>
      <c r="O254" s="14">
        <v>296700</v>
      </c>
      <c r="P254" s="14">
        <v>588200</v>
      </c>
      <c r="Q254" s="14"/>
    </row>
    <row r="255" spans="1:17" ht="22.5" x14ac:dyDescent="0.25">
      <c r="A255" s="11" t="s">
        <v>2684</v>
      </c>
      <c r="B255" s="13" t="s">
        <v>1641</v>
      </c>
      <c r="C255" s="61" t="s">
        <v>2946</v>
      </c>
      <c r="D255" s="13" t="s">
        <v>2943</v>
      </c>
      <c r="E255" s="13" t="s">
        <v>1017</v>
      </c>
      <c r="F255" s="14" t="s">
        <v>35</v>
      </c>
      <c r="G255" s="13"/>
      <c r="H255" s="14">
        <f>G255+I255</f>
        <v>2</v>
      </c>
      <c r="I255" s="14">
        <v>2</v>
      </c>
      <c r="J255" s="14">
        <v>1</v>
      </c>
      <c r="K255" s="13" t="s">
        <v>1258</v>
      </c>
      <c r="L255" s="14" t="s">
        <v>429</v>
      </c>
      <c r="M255" s="14">
        <v>6886</v>
      </c>
      <c r="N255" s="14">
        <v>3042</v>
      </c>
      <c r="O255" s="14">
        <v>268860</v>
      </c>
      <c r="P255" s="14">
        <v>630420</v>
      </c>
      <c r="Q255" s="14"/>
    </row>
    <row r="256" spans="1:17" ht="22.5" x14ac:dyDescent="0.25">
      <c r="A256" s="11" t="s">
        <v>2684</v>
      </c>
      <c r="B256" s="13" t="s">
        <v>676</v>
      </c>
      <c r="C256" s="62" t="s">
        <v>966</v>
      </c>
      <c r="D256" s="13" t="s">
        <v>41</v>
      </c>
      <c r="E256" s="14" t="s">
        <v>428</v>
      </c>
      <c r="F256" s="14" t="s">
        <v>35</v>
      </c>
      <c r="G256" s="13"/>
      <c r="H256" s="14">
        <f t="shared" si="8"/>
        <v>2</v>
      </c>
      <c r="I256" s="14">
        <v>2</v>
      </c>
      <c r="J256" s="14">
        <v>1</v>
      </c>
      <c r="K256" s="13" t="s">
        <v>486</v>
      </c>
      <c r="L256" s="14" t="s">
        <v>956</v>
      </c>
      <c r="M256" s="14">
        <v>991</v>
      </c>
      <c r="N256" s="14">
        <v>262</v>
      </c>
      <c r="O256" s="14">
        <v>199100</v>
      </c>
      <c r="P256" s="14">
        <v>626200</v>
      </c>
      <c r="Q256" s="14"/>
    </row>
    <row r="257" spans="1:17" ht="33.75" x14ac:dyDescent="0.25">
      <c r="A257" s="11" t="s">
        <v>2684</v>
      </c>
      <c r="B257" s="13" t="s">
        <v>249</v>
      </c>
      <c r="C257" s="62" t="s">
        <v>458</v>
      </c>
      <c r="D257" s="13" t="s">
        <v>2712</v>
      </c>
      <c r="E257" s="14" t="s">
        <v>236</v>
      </c>
      <c r="F257" s="14" t="s">
        <v>35</v>
      </c>
      <c r="G257" s="13"/>
      <c r="H257" s="14">
        <f t="shared" si="8"/>
        <v>1</v>
      </c>
      <c r="I257" s="14">
        <v>1</v>
      </c>
      <c r="J257" s="14">
        <v>1</v>
      </c>
      <c r="K257" s="13" t="s">
        <v>488</v>
      </c>
      <c r="L257" s="14" t="s">
        <v>460</v>
      </c>
      <c r="M257" s="14">
        <v>7576</v>
      </c>
      <c r="N257" s="14">
        <v>4447</v>
      </c>
      <c r="O257" s="14">
        <v>275760</v>
      </c>
      <c r="P257" s="14">
        <v>844470</v>
      </c>
      <c r="Q257" s="14"/>
    </row>
    <row r="258" spans="1:17" ht="22.5" x14ac:dyDescent="0.25">
      <c r="A258" s="11" t="s">
        <v>2684</v>
      </c>
      <c r="B258" s="13" t="s">
        <v>249</v>
      </c>
      <c r="C258" s="61" t="s">
        <v>3062</v>
      </c>
      <c r="D258" s="13" t="s">
        <v>8</v>
      </c>
      <c r="E258" s="14" t="s">
        <v>236</v>
      </c>
      <c r="F258" s="14" t="s">
        <v>35</v>
      </c>
      <c r="G258" s="13"/>
      <c r="H258" s="14">
        <f t="shared" si="8"/>
        <v>1</v>
      </c>
      <c r="I258" s="14">
        <v>1</v>
      </c>
      <c r="J258" s="14">
        <v>1</v>
      </c>
      <c r="K258" s="13" t="s">
        <v>3022</v>
      </c>
      <c r="L258" s="14" t="s">
        <v>460</v>
      </c>
      <c r="M258" s="14">
        <v>964</v>
      </c>
      <c r="N258" s="14">
        <v>213</v>
      </c>
      <c r="O258" s="14">
        <v>296400</v>
      </c>
      <c r="P258" s="14">
        <v>821300</v>
      </c>
      <c r="Q258" s="14"/>
    </row>
    <row r="259" spans="1:17" x14ac:dyDescent="0.25">
      <c r="A259" s="11" t="s">
        <v>2684</v>
      </c>
      <c r="B259" s="13" t="s">
        <v>249</v>
      </c>
      <c r="C259" s="62" t="s">
        <v>2947</v>
      </c>
      <c r="D259" s="13" t="s">
        <v>2943</v>
      </c>
      <c r="E259" s="14" t="s">
        <v>236</v>
      </c>
      <c r="F259" s="14" t="s">
        <v>35</v>
      </c>
      <c r="G259" s="13"/>
      <c r="H259" s="14">
        <f>G259+I259</f>
        <v>1</v>
      </c>
      <c r="I259" s="14">
        <v>1</v>
      </c>
      <c r="J259" s="14">
        <v>1</v>
      </c>
      <c r="K259" s="13" t="s">
        <v>1258</v>
      </c>
      <c r="L259" s="14" t="s">
        <v>460</v>
      </c>
      <c r="M259" s="14">
        <v>7511</v>
      </c>
      <c r="N259" s="14">
        <v>4378</v>
      </c>
      <c r="O259" s="14">
        <v>275110</v>
      </c>
      <c r="P259" s="14">
        <v>843780</v>
      </c>
      <c r="Q259" s="14"/>
    </row>
    <row r="260" spans="1:17" x14ac:dyDescent="0.25">
      <c r="A260" s="11" t="s">
        <v>2684</v>
      </c>
      <c r="B260" s="13" t="s">
        <v>249</v>
      </c>
      <c r="C260" s="62" t="s">
        <v>3061</v>
      </c>
      <c r="D260" s="13" t="s">
        <v>8</v>
      </c>
      <c r="E260" s="14" t="s">
        <v>236</v>
      </c>
      <c r="F260" s="14" t="s">
        <v>35</v>
      </c>
      <c r="G260" s="13"/>
      <c r="H260" s="14">
        <f>G260+I260</f>
        <v>1</v>
      </c>
      <c r="I260" s="14">
        <v>1</v>
      </c>
      <c r="J260" s="14">
        <v>1</v>
      </c>
      <c r="K260" s="13" t="s">
        <v>3022</v>
      </c>
      <c r="L260" s="14" t="s">
        <v>460</v>
      </c>
      <c r="M260" s="14">
        <v>7274</v>
      </c>
      <c r="N260" s="14">
        <v>4119</v>
      </c>
      <c r="O260" s="14">
        <v>272740</v>
      </c>
      <c r="P260" s="14">
        <v>841190</v>
      </c>
      <c r="Q260" s="14"/>
    </row>
    <row r="261" spans="1:17" x14ac:dyDescent="0.25">
      <c r="A261" s="11" t="s">
        <v>2684</v>
      </c>
      <c r="B261" s="13" t="s">
        <v>1709</v>
      </c>
      <c r="C261" s="62" t="s">
        <v>3059</v>
      </c>
      <c r="D261" s="13" t="s">
        <v>8</v>
      </c>
      <c r="E261" s="14" t="s">
        <v>1709</v>
      </c>
      <c r="F261" s="14" t="s">
        <v>35</v>
      </c>
      <c r="G261" s="13"/>
      <c r="H261" s="14">
        <f>G261+I261</f>
        <v>1</v>
      </c>
      <c r="I261" s="14">
        <v>1</v>
      </c>
      <c r="J261" s="14">
        <v>1</v>
      </c>
      <c r="K261" s="13" t="s">
        <v>3022</v>
      </c>
      <c r="L261" s="14" t="s">
        <v>398</v>
      </c>
      <c r="M261" s="14">
        <v>226</v>
      </c>
      <c r="N261" s="14">
        <v>621</v>
      </c>
      <c r="O261" s="14">
        <v>322600</v>
      </c>
      <c r="P261" s="14">
        <v>662100</v>
      </c>
      <c r="Q261" s="14"/>
    </row>
    <row r="262" spans="1:17" ht="22.5" x14ac:dyDescent="0.25">
      <c r="A262" s="11" t="s">
        <v>2684</v>
      </c>
      <c r="B262" s="13" t="s">
        <v>34</v>
      </c>
      <c r="C262" s="62" t="s">
        <v>33</v>
      </c>
      <c r="D262" s="13" t="s">
        <v>1278</v>
      </c>
      <c r="E262" s="13" t="s">
        <v>1070</v>
      </c>
      <c r="F262" s="14" t="s">
        <v>35</v>
      </c>
      <c r="G262" s="13">
        <v>8</v>
      </c>
      <c r="H262" s="14">
        <f t="shared" si="8"/>
        <v>8</v>
      </c>
      <c r="J262" s="14">
        <v>5</v>
      </c>
      <c r="K262" s="13" t="s">
        <v>2717</v>
      </c>
      <c r="L262" s="14" t="s">
        <v>114</v>
      </c>
      <c r="M262" s="14">
        <v>57283</v>
      </c>
      <c r="N262" s="14">
        <v>5722</v>
      </c>
      <c r="O262" s="14">
        <v>353283</v>
      </c>
      <c r="P262" s="14">
        <v>1005722</v>
      </c>
      <c r="Q262" s="14"/>
    </row>
    <row r="263" spans="1:17" x14ac:dyDescent="0.25">
      <c r="A263" s="11" t="s">
        <v>2684</v>
      </c>
      <c r="B263" s="13" t="s">
        <v>34</v>
      </c>
      <c r="C263" s="62" t="s">
        <v>1063</v>
      </c>
      <c r="D263" s="13" t="s">
        <v>753</v>
      </c>
      <c r="E263" s="14" t="s">
        <v>469</v>
      </c>
      <c r="F263" s="14" t="s">
        <v>35</v>
      </c>
      <c r="G263" s="13"/>
      <c r="H263" s="14">
        <f t="shared" si="8"/>
        <v>2</v>
      </c>
      <c r="I263" s="14">
        <v>2</v>
      </c>
      <c r="J263" s="14">
        <v>1</v>
      </c>
      <c r="K263" s="13" t="s">
        <v>513</v>
      </c>
      <c r="L263" s="14" t="s">
        <v>114</v>
      </c>
      <c r="M263" s="14">
        <v>4142</v>
      </c>
      <c r="N263" s="14">
        <v>2761</v>
      </c>
      <c r="O263" s="14">
        <v>341420</v>
      </c>
      <c r="P263" s="14">
        <v>1027610</v>
      </c>
      <c r="Q263" s="14"/>
    </row>
    <row r="264" spans="1:17" ht="22.5" x14ac:dyDescent="0.25">
      <c r="A264" s="11" t="s">
        <v>2684</v>
      </c>
      <c r="B264" s="13" t="s">
        <v>34</v>
      </c>
      <c r="C264" s="62" t="s">
        <v>2053</v>
      </c>
      <c r="D264" s="13" t="s">
        <v>41</v>
      </c>
      <c r="E264" s="14" t="s">
        <v>33</v>
      </c>
      <c r="F264" s="14" t="s">
        <v>35</v>
      </c>
      <c r="G264" s="13"/>
      <c r="H264" s="14">
        <f>G264+I264</f>
        <v>1</v>
      </c>
      <c r="I264" s="14">
        <v>1</v>
      </c>
      <c r="J264" s="14">
        <v>1</v>
      </c>
      <c r="K264" s="13" t="s">
        <v>752</v>
      </c>
      <c r="L264" s="14" t="s">
        <v>114</v>
      </c>
      <c r="M264" s="14">
        <v>3642</v>
      </c>
      <c r="N264" s="14">
        <v>1277</v>
      </c>
      <c r="O264" s="14">
        <v>336420</v>
      </c>
      <c r="P264" s="14">
        <v>1012770</v>
      </c>
      <c r="Q264" s="14"/>
    </row>
    <row r="265" spans="1:17" ht="22.5" x14ac:dyDescent="0.25">
      <c r="A265" s="11" t="s">
        <v>2684</v>
      </c>
      <c r="B265" s="13" t="s">
        <v>34</v>
      </c>
      <c r="C265" s="61" t="s">
        <v>2713</v>
      </c>
      <c r="D265" s="13" t="s">
        <v>41</v>
      </c>
      <c r="E265" s="14" t="s">
        <v>1052</v>
      </c>
      <c r="F265" s="14" t="s">
        <v>35</v>
      </c>
      <c r="G265" s="13"/>
      <c r="H265" s="14">
        <f t="shared" si="8"/>
        <v>1</v>
      </c>
      <c r="I265" s="14">
        <v>1</v>
      </c>
      <c r="J265" s="14">
        <v>1</v>
      </c>
      <c r="K265" s="13" t="s">
        <v>752</v>
      </c>
      <c r="L265" s="14" t="s">
        <v>114</v>
      </c>
      <c r="M265" s="14">
        <v>5602</v>
      </c>
      <c r="N265" s="14">
        <v>3242</v>
      </c>
      <c r="O265" s="14">
        <v>356020</v>
      </c>
      <c r="P265" s="14">
        <v>1032420</v>
      </c>
      <c r="Q265" s="14"/>
    </row>
    <row r="266" spans="1:17" ht="22.5" x14ac:dyDescent="0.25">
      <c r="A266" s="11" t="s">
        <v>2684</v>
      </c>
      <c r="B266" s="13" t="s">
        <v>34</v>
      </c>
      <c r="C266" s="62" t="s">
        <v>1328</v>
      </c>
      <c r="D266" s="13" t="s">
        <v>41</v>
      </c>
      <c r="E266" s="14" t="s">
        <v>156</v>
      </c>
      <c r="F266" s="14" t="s">
        <v>35</v>
      </c>
      <c r="G266" s="13"/>
      <c r="H266" s="14">
        <f t="shared" si="8"/>
        <v>1</v>
      </c>
      <c r="I266" s="14">
        <v>1</v>
      </c>
      <c r="J266" s="14">
        <v>1</v>
      </c>
      <c r="K266" s="13" t="s">
        <v>513</v>
      </c>
      <c r="L266" s="14" t="s">
        <v>114</v>
      </c>
      <c r="M266" s="14">
        <v>5091</v>
      </c>
      <c r="N266" s="14">
        <v>5183</v>
      </c>
      <c r="O266" s="14">
        <v>350910</v>
      </c>
      <c r="P266" s="14">
        <v>1051830</v>
      </c>
      <c r="Q266" s="14"/>
    </row>
    <row r="267" spans="1:17" ht="22.5" x14ac:dyDescent="0.25">
      <c r="A267" s="11" t="s">
        <v>2684</v>
      </c>
      <c r="B267" s="13" t="s">
        <v>34</v>
      </c>
      <c r="C267" s="62" t="s">
        <v>2136</v>
      </c>
      <c r="D267" s="13" t="s">
        <v>41</v>
      </c>
      <c r="E267" s="14" t="s">
        <v>33</v>
      </c>
      <c r="F267" s="14" t="s">
        <v>35</v>
      </c>
      <c r="G267" s="13">
        <v>5</v>
      </c>
      <c r="H267" s="14">
        <f t="shared" si="8"/>
        <v>12</v>
      </c>
      <c r="I267" s="14">
        <v>7</v>
      </c>
      <c r="J267" s="14">
        <v>5</v>
      </c>
      <c r="K267" s="13" t="s">
        <v>2747</v>
      </c>
      <c r="L267" s="14" t="s">
        <v>114</v>
      </c>
      <c r="M267" s="14">
        <v>3182</v>
      </c>
      <c r="N267" s="14">
        <v>1277</v>
      </c>
      <c r="O267" s="14">
        <v>331820</v>
      </c>
      <c r="P267" s="14">
        <v>1012770</v>
      </c>
      <c r="Q267" s="14"/>
    </row>
    <row r="268" spans="1:17" x14ac:dyDescent="0.25">
      <c r="A268" s="11" t="s">
        <v>2684</v>
      </c>
      <c r="B268" s="13" t="s">
        <v>34</v>
      </c>
      <c r="C268" s="62" t="s">
        <v>1056</v>
      </c>
      <c r="D268" s="13" t="s">
        <v>753</v>
      </c>
      <c r="E268" s="14" t="s">
        <v>469</v>
      </c>
      <c r="F268" s="14" t="s">
        <v>35</v>
      </c>
      <c r="G268" s="13">
        <v>1</v>
      </c>
      <c r="H268" s="14">
        <f t="shared" si="8"/>
        <v>5</v>
      </c>
      <c r="I268" s="14">
        <v>4</v>
      </c>
      <c r="J268" s="14">
        <v>3</v>
      </c>
      <c r="K268" s="13" t="s">
        <v>2483</v>
      </c>
      <c r="L268" s="14" t="s">
        <v>114</v>
      </c>
      <c r="M268" s="14">
        <v>3722</v>
      </c>
      <c r="N268" s="14">
        <v>3048</v>
      </c>
      <c r="O268" s="14">
        <v>337220</v>
      </c>
      <c r="P268" s="14">
        <v>1030480</v>
      </c>
      <c r="Q268" s="14"/>
    </row>
    <row r="269" spans="1:17" ht="22.5" x14ac:dyDescent="0.25">
      <c r="A269" s="11" t="s">
        <v>2684</v>
      </c>
      <c r="B269" s="13" t="s">
        <v>34</v>
      </c>
      <c r="C269" s="62" t="s">
        <v>457</v>
      </c>
      <c r="D269" s="13" t="s">
        <v>1047</v>
      </c>
      <c r="E269" s="14" t="s">
        <v>33</v>
      </c>
      <c r="F269" s="14" t="s">
        <v>35</v>
      </c>
      <c r="G269" s="13"/>
      <c r="H269" s="14">
        <f t="shared" si="8"/>
        <v>1</v>
      </c>
      <c r="I269" s="14">
        <v>1</v>
      </c>
      <c r="J269" s="14">
        <v>1</v>
      </c>
      <c r="K269" s="13" t="s">
        <v>752</v>
      </c>
      <c r="L269" s="14" t="s">
        <v>114</v>
      </c>
      <c r="M269" s="14">
        <v>4177</v>
      </c>
      <c r="N269" s="14">
        <v>1292</v>
      </c>
      <c r="O269" s="14">
        <v>341770</v>
      </c>
      <c r="P269" s="14">
        <v>1012920</v>
      </c>
      <c r="Q269" s="14"/>
    </row>
    <row r="270" spans="1:17" ht="22.5" x14ac:dyDescent="0.25">
      <c r="A270" s="11" t="s">
        <v>2684</v>
      </c>
      <c r="B270" s="13" t="s">
        <v>34</v>
      </c>
      <c r="C270" s="62" t="s">
        <v>2142</v>
      </c>
      <c r="D270" s="13" t="s">
        <v>41</v>
      </c>
      <c r="E270" s="14" t="s">
        <v>33</v>
      </c>
      <c r="F270" s="14" t="s">
        <v>35</v>
      </c>
      <c r="G270" s="13"/>
      <c r="H270" s="14">
        <f t="shared" si="8"/>
        <v>1</v>
      </c>
      <c r="I270" s="14">
        <v>1</v>
      </c>
      <c r="J270" s="14">
        <v>1</v>
      </c>
      <c r="K270" s="13" t="s">
        <v>752</v>
      </c>
      <c r="L270" s="14" t="s">
        <v>114</v>
      </c>
      <c r="M270" s="14">
        <v>6766</v>
      </c>
      <c r="N270" s="14">
        <v>3779</v>
      </c>
      <c r="O270" s="14">
        <v>367660</v>
      </c>
      <c r="P270" s="14">
        <v>1037790</v>
      </c>
      <c r="Q270" s="14"/>
    </row>
    <row r="271" spans="1:17" x14ac:dyDescent="0.25">
      <c r="A271" s="11" t="s">
        <v>2684</v>
      </c>
      <c r="B271" s="13" t="s">
        <v>34</v>
      </c>
      <c r="C271" s="62" t="s">
        <v>1037</v>
      </c>
      <c r="D271" s="13" t="s">
        <v>18</v>
      </c>
      <c r="E271" s="14" t="s">
        <v>33</v>
      </c>
      <c r="F271" s="14" t="s">
        <v>35</v>
      </c>
      <c r="G271" s="13"/>
      <c r="H271" s="14">
        <f t="shared" si="8"/>
        <v>2</v>
      </c>
      <c r="I271" s="14">
        <v>2</v>
      </c>
      <c r="J271" s="14">
        <v>1</v>
      </c>
      <c r="K271" s="13" t="s">
        <v>1391</v>
      </c>
      <c r="L271" s="14" t="s">
        <v>114</v>
      </c>
      <c r="M271" s="14">
        <v>2834</v>
      </c>
      <c r="N271" s="14">
        <v>1450</v>
      </c>
      <c r="O271" s="14">
        <v>328340</v>
      </c>
      <c r="P271" s="14">
        <v>1014500</v>
      </c>
      <c r="Q271" s="14"/>
    </row>
    <row r="272" spans="1:17" x14ac:dyDescent="0.25">
      <c r="A272" s="11" t="s">
        <v>2684</v>
      </c>
      <c r="B272" s="13" t="s">
        <v>34</v>
      </c>
      <c r="C272" s="62" t="s">
        <v>37</v>
      </c>
      <c r="D272" s="13" t="s">
        <v>8</v>
      </c>
      <c r="E272" s="14" t="s">
        <v>33</v>
      </c>
      <c r="F272" s="14" t="s">
        <v>35</v>
      </c>
      <c r="G272" s="13"/>
      <c r="H272" s="14">
        <f t="shared" si="8"/>
        <v>5</v>
      </c>
      <c r="I272" s="14">
        <v>5</v>
      </c>
      <c r="J272" s="14">
        <v>2</v>
      </c>
      <c r="K272" s="13" t="s">
        <v>2782</v>
      </c>
      <c r="L272" s="14" t="s">
        <v>114</v>
      </c>
      <c r="M272" s="14">
        <v>2945</v>
      </c>
      <c r="N272" s="14">
        <v>1335</v>
      </c>
      <c r="O272" s="14">
        <v>329450</v>
      </c>
      <c r="P272" s="14">
        <v>1013350</v>
      </c>
      <c r="Q272" s="14"/>
    </row>
    <row r="273" spans="1:17" x14ac:dyDescent="0.25">
      <c r="A273" s="11" t="s">
        <v>2684</v>
      </c>
      <c r="B273" s="13" t="s">
        <v>34</v>
      </c>
      <c r="C273" s="62" t="s">
        <v>468</v>
      </c>
      <c r="D273" s="13" t="s">
        <v>39</v>
      </c>
      <c r="E273" s="14" t="s">
        <v>469</v>
      </c>
      <c r="F273" s="14" t="s">
        <v>35</v>
      </c>
      <c r="G273" s="13">
        <v>1</v>
      </c>
      <c r="H273" s="14">
        <f t="shared" si="8"/>
        <v>3</v>
      </c>
      <c r="I273" s="14">
        <v>2</v>
      </c>
      <c r="J273" s="14">
        <v>3</v>
      </c>
      <c r="K273" s="13" t="s">
        <v>2654</v>
      </c>
      <c r="L273" s="14" t="s">
        <v>114</v>
      </c>
      <c r="M273" s="14">
        <v>4398</v>
      </c>
      <c r="N273" s="14">
        <v>3224</v>
      </c>
      <c r="O273" s="14">
        <v>343980</v>
      </c>
      <c r="P273" s="14">
        <v>1032240</v>
      </c>
      <c r="Q273" s="14"/>
    </row>
    <row r="274" spans="1:17" x14ac:dyDescent="0.25">
      <c r="A274" s="11" t="s">
        <v>2684</v>
      </c>
      <c r="B274" s="13" t="s">
        <v>34</v>
      </c>
      <c r="C274" s="62" t="s">
        <v>38</v>
      </c>
      <c r="D274" s="13" t="s">
        <v>39</v>
      </c>
      <c r="E274" s="14" t="s">
        <v>33</v>
      </c>
      <c r="F274" s="14" t="s">
        <v>35</v>
      </c>
      <c r="G274" s="13"/>
      <c r="H274" s="14">
        <f t="shared" si="8"/>
        <v>11</v>
      </c>
      <c r="I274" s="14">
        <v>11</v>
      </c>
      <c r="J274" s="14">
        <v>5</v>
      </c>
      <c r="K274" s="13" t="s">
        <v>2653</v>
      </c>
      <c r="L274" s="14" t="s">
        <v>114</v>
      </c>
      <c r="M274" s="14">
        <v>2312</v>
      </c>
      <c r="N274" s="14">
        <v>1874</v>
      </c>
      <c r="O274" s="14">
        <v>323120</v>
      </c>
      <c r="P274" s="14">
        <v>1018740</v>
      </c>
      <c r="Q274" s="14"/>
    </row>
    <row r="275" spans="1:17" x14ac:dyDescent="0.25">
      <c r="A275" s="11" t="s">
        <v>2684</v>
      </c>
      <c r="B275" s="13" t="s">
        <v>34</v>
      </c>
      <c r="C275" s="62" t="s">
        <v>36</v>
      </c>
      <c r="D275" s="13" t="s">
        <v>8</v>
      </c>
      <c r="E275" s="14" t="s">
        <v>33</v>
      </c>
      <c r="F275" s="14" t="s">
        <v>35</v>
      </c>
      <c r="G275" s="13"/>
      <c r="H275" s="14">
        <f t="shared" si="8"/>
        <v>5</v>
      </c>
      <c r="I275" s="14">
        <v>5</v>
      </c>
      <c r="J275" s="14">
        <v>2</v>
      </c>
      <c r="K275" s="13" t="s">
        <v>2782</v>
      </c>
      <c r="L275" s="14" t="s">
        <v>114</v>
      </c>
      <c r="M275" s="14">
        <v>3067</v>
      </c>
      <c r="N275" s="14">
        <v>1252</v>
      </c>
      <c r="O275" s="14">
        <v>330670</v>
      </c>
      <c r="P275" s="14">
        <v>1012520</v>
      </c>
      <c r="Q275" s="14"/>
    </row>
    <row r="276" spans="1:17" ht="22.5" x14ac:dyDescent="0.25">
      <c r="A276" s="11" t="s">
        <v>2684</v>
      </c>
      <c r="B276" s="13" t="s">
        <v>34</v>
      </c>
      <c r="C276" s="62" t="s">
        <v>1415</v>
      </c>
      <c r="D276" s="13" t="s">
        <v>41</v>
      </c>
      <c r="E276" s="13" t="s">
        <v>33</v>
      </c>
      <c r="F276" s="14" t="s">
        <v>35</v>
      </c>
      <c r="G276" s="13"/>
      <c r="H276" s="14">
        <f t="shared" si="8"/>
        <v>1</v>
      </c>
      <c r="I276" s="14">
        <v>1</v>
      </c>
      <c r="J276" s="14">
        <v>1</v>
      </c>
      <c r="K276" s="13" t="s">
        <v>513</v>
      </c>
      <c r="L276" s="14" t="s">
        <v>114</v>
      </c>
      <c r="M276" s="14">
        <v>2829</v>
      </c>
      <c r="N276" s="14">
        <v>1172</v>
      </c>
      <c r="O276" s="14">
        <v>328290</v>
      </c>
      <c r="P276" s="14">
        <v>1011720</v>
      </c>
      <c r="Q276" s="14"/>
    </row>
    <row r="277" spans="1:17" ht="22.5" x14ac:dyDescent="0.25">
      <c r="A277" s="11" t="s">
        <v>2684</v>
      </c>
      <c r="B277" s="13" t="s">
        <v>34</v>
      </c>
      <c r="C277" s="62" t="s">
        <v>1049</v>
      </c>
      <c r="D277" s="13" t="s">
        <v>1047</v>
      </c>
      <c r="E277" s="13" t="s">
        <v>33</v>
      </c>
      <c r="F277" s="14" t="s">
        <v>35</v>
      </c>
      <c r="G277" s="13"/>
      <c r="H277" s="14">
        <f t="shared" si="8"/>
        <v>1</v>
      </c>
      <c r="I277" s="14">
        <v>1</v>
      </c>
      <c r="J277" s="14">
        <v>1</v>
      </c>
      <c r="K277" s="13" t="s">
        <v>752</v>
      </c>
      <c r="L277" s="14" t="s">
        <v>114</v>
      </c>
      <c r="M277" s="14">
        <v>4090</v>
      </c>
      <c r="N277" s="14">
        <v>1211</v>
      </c>
      <c r="O277" s="14">
        <v>340900</v>
      </c>
      <c r="P277" s="14">
        <v>1012110</v>
      </c>
      <c r="Q277" s="14"/>
    </row>
    <row r="278" spans="1:17" ht="22.5" x14ac:dyDescent="0.25">
      <c r="A278" s="11" t="s">
        <v>2684</v>
      </c>
      <c r="B278" s="13" t="s">
        <v>99</v>
      </c>
      <c r="C278" s="62" t="s">
        <v>523</v>
      </c>
      <c r="D278" s="13" t="s">
        <v>524</v>
      </c>
      <c r="E278" s="13" t="s">
        <v>974</v>
      </c>
      <c r="F278" s="14" t="s">
        <v>35</v>
      </c>
      <c r="G278" s="13">
        <v>1</v>
      </c>
      <c r="H278" s="14">
        <f t="shared" si="8"/>
        <v>4</v>
      </c>
      <c r="I278" s="14">
        <v>3</v>
      </c>
      <c r="J278" s="14">
        <v>3</v>
      </c>
      <c r="K278" s="13" t="s">
        <v>3106</v>
      </c>
      <c r="L278" s="14" t="s">
        <v>526</v>
      </c>
      <c r="M278" s="14">
        <v>21300</v>
      </c>
      <c r="N278" s="14">
        <v>33017</v>
      </c>
      <c r="O278" s="14">
        <v>121300</v>
      </c>
      <c r="P278" s="14">
        <v>933017</v>
      </c>
      <c r="Q278" s="14"/>
    </row>
    <row r="279" spans="1:17" ht="22.5" x14ac:dyDescent="0.25">
      <c r="A279" s="11" t="s">
        <v>2684</v>
      </c>
      <c r="B279" s="13" t="s">
        <v>99</v>
      </c>
      <c r="C279" s="62" t="s">
        <v>3069</v>
      </c>
      <c r="D279" s="13" t="s">
        <v>524</v>
      </c>
      <c r="E279" s="13" t="s">
        <v>974</v>
      </c>
      <c r="F279" s="14" t="s">
        <v>35</v>
      </c>
      <c r="G279" s="13"/>
      <c r="H279" s="14">
        <f t="shared" ref="H279:H284" si="9">G279+I279</f>
        <v>1</v>
      </c>
      <c r="I279" s="14">
        <v>1</v>
      </c>
      <c r="J279" s="14">
        <v>1</v>
      </c>
      <c r="K279" s="13" t="s">
        <v>3068</v>
      </c>
      <c r="L279" s="14" t="s">
        <v>526</v>
      </c>
      <c r="M279" s="14">
        <v>21300</v>
      </c>
      <c r="N279" s="14">
        <v>33017</v>
      </c>
      <c r="O279" s="14">
        <v>121300</v>
      </c>
      <c r="P279" s="14">
        <v>933017</v>
      </c>
      <c r="Q279" s="14"/>
    </row>
    <row r="280" spans="1:17" x14ac:dyDescent="0.25">
      <c r="A280" s="11" t="s">
        <v>2684</v>
      </c>
      <c r="B280" s="13" t="s">
        <v>99</v>
      </c>
      <c r="C280" s="62" t="s">
        <v>3070</v>
      </c>
      <c r="D280" s="13" t="s">
        <v>8</v>
      </c>
      <c r="E280" s="13" t="s">
        <v>974</v>
      </c>
      <c r="F280" s="14" t="s">
        <v>35</v>
      </c>
      <c r="G280" s="13"/>
      <c r="H280" s="14">
        <f t="shared" si="9"/>
        <v>1</v>
      </c>
      <c r="I280" s="14">
        <v>1</v>
      </c>
      <c r="J280" s="14">
        <v>1</v>
      </c>
      <c r="K280" s="13" t="s">
        <v>3068</v>
      </c>
      <c r="L280" s="14" t="s">
        <v>526</v>
      </c>
      <c r="M280" s="14">
        <v>21300</v>
      </c>
      <c r="N280" s="14">
        <v>33017</v>
      </c>
      <c r="O280" s="14">
        <v>121300</v>
      </c>
      <c r="P280" s="14">
        <v>933017</v>
      </c>
      <c r="Q280" s="14"/>
    </row>
    <row r="281" spans="1:17" x14ac:dyDescent="0.25">
      <c r="A281" s="11" t="s">
        <v>2684</v>
      </c>
      <c r="B281" s="13" t="s">
        <v>99</v>
      </c>
      <c r="C281" s="62" t="s">
        <v>3071</v>
      </c>
      <c r="D281" s="13" t="s">
        <v>8</v>
      </c>
      <c r="E281" s="13" t="s">
        <v>974</v>
      </c>
      <c r="F281" s="14" t="s">
        <v>35</v>
      </c>
      <c r="G281" s="13"/>
      <c r="H281" s="14">
        <f t="shared" si="9"/>
        <v>1</v>
      </c>
      <c r="I281" s="14">
        <v>1</v>
      </c>
      <c r="J281" s="14">
        <v>1</v>
      </c>
      <c r="K281" s="13" t="s">
        <v>3068</v>
      </c>
      <c r="L281" s="14" t="s">
        <v>526</v>
      </c>
      <c r="M281" s="14">
        <v>21300</v>
      </c>
      <c r="N281" s="14">
        <v>33017</v>
      </c>
      <c r="O281" s="14">
        <v>121300</v>
      </c>
      <c r="P281" s="14">
        <v>933017</v>
      </c>
      <c r="Q281" s="14"/>
    </row>
    <row r="282" spans="1:17" x14ac:dyDescent="0.25">
      <c r="A282" s="11" t="s">
        <v>2684</v>
      </c>
      <c r="B282" s="13" t="s">
        <v>99</v>
      </c>
      <c r="C282" s="62" t="s">
        <v>3072</v>
      </c>
      <c r="D282" s="13" t="s">
        <v>8</v>
      </c>
      <c r="E282" s="13" t="s">
        <v>974</v>
      </c>
      <c r="F282" s="14" t="s">
        <v>35</v>
      </c>
      <c r="G282" s="13"/>
      <c r="H282" s="14">
        <f t="shared" si="9"/>
        <v>1</v>
      </c>
      <c r="I282" s="14">
        <v>1</v>
      </c>
      <c r="J282" s="14">
        <v>1</v>
      </c>
      <c r="K282" s="13" t="s">
        <v>3068</v>
      </c>
      <c r="L282" s="14" t="s">
        <v>526</v>
      </c>
      <c r="M282" s="14">
        <v>21300</v>
      </c>
      <c r="N282" s="14">
        <v>33017</v>
      </c>
      <c r="O282" s="14">
        <v>121300</v>
      </c>
      <c r="P282" s="14">
        <v>933017</v>
      </c>
      <c r="Q282" s="14"/>
    </row>
    <row r="283" spans="1:17" x14ac:dyDescent="0.25">
      <c r="A283" s="11" t="s">
        <v>2684</v>
      </c>
      <c r="B283" s="13" t="s">
        <v>99</v>
      </c>
      <c r="C283" s="62" t="s">
        <v>3105</v>
      </c>
      <c r="D283" s="13" t="s">
        <v>121</v>
      </c>
      <c r="E283" s="13" t="s">
        <v>974</v>
      </c>
      <c r="F283" s="14" t="s">
        <v>35</v>
      </c>
      <c r="G283" s="13"/>
      <c r="H283" s="14">
        <f t="shared" si="9"/>
        <v>1</v>
      </c>
      <c r="I283" s="14">
        <v>1</v>
      </c>
      <c r="J283" s="14">
        <v>1</v>
      </c>
      <c r="K283" s="13" t="s">
        <v>1552</v>
      </c>
      <c r="L283" s="14" t="s">
        <v>526</v>
      </c>
      <c r="M283" s="14">
        <v>21300</v>
      </c>
      <c r="N283" s="14">
        <v>33017</v>
      </c>
      <c r="O283" s="14">
        <v>121300</v>
      </c>
      <c r="P283" s="14">
        <v>933017</v>
      </c>
      <c r="Q283" s="14"/>
    </row>
    <row r="284" spans="1:17" x14ac:dyDescent="0.25">
      <c r="A284" s="11" t="s">
        <v>2684</v>
      </c>
      <c r="B284" s="13" t="s">
        <v>99</v>
      </c>
      <c r="C284" s="62" t="s">
        <v>3097</v>
      </c>
      <c r="D284" s="13" t="s">
        <v>8</v>
      </c>
      <c r="E284" s="13" t="s">
        <v>974</v>
      </c>
      <c r="F284" s="14" t="s">
        <v>35</v>
      </c>
      <c r="G284" s="13"/>
      <c r="H284" s="14">
        <f t="shared" si="9"/>
        <v>1</v>
      </c>
      <c r="I284" s="14">
        <v>1</v>
      </c>
      <c r="J284" s="14">
        <v>1</v>
      </c>
      <c r="K284" s="13" t="s">
        <v>3084</v>
      </c>
      <c r="L284" s="14" t="s">
        <v>526</v>
      </c>
      <c r="M284" s="14">
        <v>233</v>
      </c>
      <c r="N284" s="14">
        <v>461</v>
      </c>
      <c r="O284" s="14">
        <v>123300</v>
      </c>
      <c r="P284" s="14">
        <v>946100</v>
      </c>
      <c r="Q284" s="14"/>
    </row>
    <row r="285" spans="1:17" x14ac:dyDescent="0.25">
      <c r="A285" s="11" t="s">
        <v>2684</v>
      </c>
      <c r="B285" s="13" t="s">
        <v>99</v>
      </c>
      <c r="C285" s="62" t="s">
        <v>97</v>
      </c>
      <c r="D285" s="13" t="s">
        <v>39</v>
      </c>
      <c r="E285" s="14" t="s">
        <v>98</v>
      </c>
      <c r="F285" s="14" t="s">
        <v>35</v>
      </c>
      <c r="G285" s="13"/>
      <c r="H285" s="14">
        <f t="shared" si="8"/>
        <v>3</v>
      </c>
      <c r="I285" s="14">
        <v>3</v>
      </c>
      <c r="J285" s="14">
        <v>2</v>
      </c>
      <c r="K285" s="13" t="s">
        <v>2352</v>
      </c>
      <c r="L285" s="14" t="s">
        <v>116</v>
      </c>
      <c r="M285" s="14">
        <v>9753</v>
      </c>
      <c r="N285" s="14">
        <v>9123</v>
      </c>
      <c r="O285" s="14">
        <v>97530</v>
      </c>
      <c r="P285" s="14">
        <v>891230</v>
      </c>
      <c r="Q285" s="14"/>
    </row>
    <row r="286" spans="1:17" ht="22.5" x14ac:dyDescent="0.25">
      <c r="A286" s="11" t="s">
        <v>2684</v>
      </c>
      <c r="B286" s="13" t="s">
        <v>170</v>
      </c>
      <c r="C286" s="61" t="s">
        <v>3098</v>
      </c>
      <c r="D286" s="13" t="s">
        <v>3099</v>
      </c>
      <c r="E286" s="14" t="s">
        <v>167</v>
      </c>
      <c r="F286" s="14" t="s">
        <v>35</v>
      </c>
      <c r="G286" s="13"/>
      <c r="H286" s="14">
        <f t="shared" ref="H286:H294" si="10">G286+I286</f>
        <v>1</v>
      </c>
      <c r="I286" s="14">
        <v>1</v>
      </c>
      <c r="J286" s="14">
        <v>1</v>
      </c>
      <c r="K286" s="13" t="s">
        <v>3084</v>
      </c>
      <c r="L286" s="14" t="s">
        <v>169</v>
      </c>
      <c r="M286" s="14">
        <v>9251</v>
      </c>
      <c r="N286" s="14">
        <v>5574</v>
      </c>
      <c r="O286" s="14">
        <v>292510</v>
      </c>
      <c r="P286" s="14">
        <v>755740</v>
      </c>
      <c r="Q286" s="14"/>
    </row>
    <row r="287" spans="1:17" x14ac:dyDescent="0.25">
      <c r="A287" s="11" t="s">
        <v>2684</v>
      </c>
      <c r="B287" s="13" t="s">
        <v>170</v>
      </c>
      <c r="C287" s="62" t="s">
        <v>2792</v>
      </c>
      <c r="D287" s="13" t="s">
        <v>18</v>
      </c>
      <c r="E287" s="14" t="s">
        <v>2793</v>
      </c>
      <c r="F287" s="14" t="s">
        <v>35</v>
      </c>
      <c r="G287" s="13"/>
      <c r="H287" s="14">
        <f t="shared" si="10"/>
        <v>1</v>
      </c>
      <c r="I287" s="14">
        <v>1</v>
      </c>
      <c r="J287" s="14">
        <v>1</v>
      </c>
      <c r="K287" s="13" t="s">
        <v>846</v>
      </c>
      <c r="L287" s="14" t="s">
        <v>130</v>
      </c>
      <c r="M287" s="14">
        <v>813</v>
      </c>
      <c r="N287" s="14">
        <v>2495</v>
      </c>
      <c r="O287" s="14">
        <v>308130</v>
      </c>
      <c r="P287" s="14">
        <v>724950</v>
      </c>
      <c r="Q287" s="14"/>
    </row>
    <row r="288" spans="1:17" x14ac:dyDescent="0.25">
      <c r="A288" s="11" t="s">
        <v>2684</v>
      </c>
      <c r="B288" s="13" t="s">
        <v>1031</v>
      </c>
      <c r="C288" s="62" t="s">
        <v>2786</v>
      </c>
      <c r="D288" s="13" t="s">
        <v>18</v>
      </c>
      <c r="E288" s="14" t="s">
        <v>236</v>
      </c>
      <c r="F288" s="14" t="s">
        <v>35</v>
      </c>
      <c r="G288" s="13"/>
      <c r="H288" s="14">
        <f t="shared" si="10"/>
        <v>1</v>
      </c>
      <c r="I288" s="14">
        <v>1</v>
      </c>
      <c r="J288" s="14">
        <v>1</v>
      </c>
      <c r="K288" s="13" t="s">
        <v>2789</v>
      </c>
      <c r="L288" s="14" t="s">
        <v>460</v>
      </c>
      <c r="M288" s="14">
        <v>5429</v>
      </c>
      <c r="N288" s="14">
        <v>5507</v>
      </c>
      <c r="O288" s="14">
        <v>254290</v>
      </c>
      <c r="P288" s="14">
        <v>855070</v>
      </c>
      <c r="Q288" s="14"/>
    </row>
    <row r="289" spans="1:17" x14ac:dyDescent="0.25">
      <c r="A289" s="11" t="s">
        <v>2684</v>
      </c>
      <c r="B289" s="13" t="s">
        <v>1031</v>
      </c>
      <c r="C289" s="62" t="s">
        <v>2787</v>
      </c>
      <c r="D289" s="13" t="s">
        <v>18</v>
      </c>
      <c r="E289" s="14" t="s">
        <v>236</v>
      </c>
      <c r="F289" s="14" t="s">
        <v>35</v>
      </c>
      <c r="G289" s="13"/>
      <c r="H289" s="14">
        <f t="shared" si="10"/>
        <v>1</v>
      </c>
      <c r="I289" s="14">
        <v>1</v>
      </c>
      <c r="J289" s="14">
        <v>1</v>
      </c>
      <c r="K289" s="13" t="s">
        <v>846</v>
      </c>
      <c r="L289" s="14" t="s">
        <v>460</v>
      </c>
      <c r="M289" s="14">
        <v>458</v>
      </c>
      <c r="N289" s="14">
        <v>560</v>
      </c>
      <c r="O289" s="14">
        <v>245800</v>
      </c>
      <c r="P289" s="14">
        <v>856000</v>
      </c>
      <c r="Q289" s="14"/>
    </row>
    <row r="290" spans="1:17" x14ac:dyDescent="0.25">
      <c r="A290" s="11" t="s">
        <v>2684</v>
      </c>
      <c r="B290" s="13" t="s">
        <v>1031</v>
      </c>
      <c r="C290" s="62" t="s">
        <v>2788</v>
      </c>
      <c r="D290" s="13" t="s">
        <v>18</v>
      </c>
      <c r="E290" s="14" t="s">
        <v>236</v>
      </c>
      <c r="F290" s="14" t="s">
        <v>35</v>
      </c>
      <c r="G290" s="13"/>
      <c r="H290" s="14">
        <f t="shared" si="10"/>
        <v>1</v>
      </c>
      <c r="I290" s="14">
        <v>1</v>
      </c>
      <c r="J290" s="14">
        <v>1</v>
      </c>
      <c r="K290" s="13" t="s">
        <v>846</v>
      </c>
      <c r="L290" s="14" t="s">
        <v>460</v>
      </c>
      <c r="M290" s="14">
        <v>5945</v>
      </c>
      <c r="N290" s="14">
        <v>5779</v>
      </c>
      <c r="O290" s="14">
        <v>259450</v>
      </c>
      <c r="P290" s="14">
        <v>857790</v>
      </c>
      <c r="Q290" s="14"/>
    </row>
    <row r="291" spans="1:17" x14ac:dyDescent="0.25">
      <c r="A291" s="11" t="s">
        <v>2684</v>
      </c>
      <c r="B291" s="13" t="s">
        <v>1031</v>
      </c>
      <c r="C291" s="62" t="s">
        <v>2790</v>
      </c>
      <c r="D291" s="13" t="s">
        <v>18</v>
      </c>
      <c r="E291" s="14" t="s">
        <v>236</v>
      </c>
      <c r="F291" s="14" t="s">
        <v>35</v>
      </c>
      <c r="G291" s="13"/>
      <c r="H291" s="14">
        <f t="shared" si="10"/>
        <v>1</v>
      </c>
      <c r="I291" s="14">
        <v>1</v>
      </c>
      <c r="J291" s="14">
        <v>1</v>
      </c>
      <c r="K291" s="13" t="s">
        <v>846</v>
      </c>
      <c r="L291" s="14" t="s">
        <v>460</v>
      </c>
      <c r="M291" s="14">
        <v>527</v>
      </c>
      <c r="N291" s="14">
        <v>497</v>
      </c>
      <c r="O291" s="14">
        <v>252700</v>
      </c>
      <c r="P291" s="14">
        <v>849700</v>
      </c>
      <c r="Q291" s="14"/>
    </row>
    <row r="292" spans="1:17" x14ac:dyDescent="0.25">
      <c r="A292" s="11" t="s">
        <v>2684</v>
      </c>
      <c r="B292" s="13" t="s">
        <v>319</v>
      </c>
      <c r="C292" s="62" t="s">
        <v>2657</v>
      </c>
      <c r="D292" s="13" t="s">
        <v>39</v>
      </c>
      <c r="E292" s="14" t="s">
        <v>2658</v>
      </c>
      <c r="F292" s="14" t="s">
        <v>35</v>
      </c>
      <c r="G292" s="13"/>
      <c r="H292" s="14">
        <f t="shared" si="10"/>
        <v>3</v>
      </c>
      <c r="I292" s="14">
        <v>3</v>
      </c>
      <c r="J292" s="14">
        <v>3</v>
      </c>
      <c r="K292" s="13" t="s">
        <v>2659</v>
      </c>
      <c r="L292" s="14" t="s">
        <v>318</v>
      </c>
      <c r="M292" s="14">
        <v>586</v>
      </c>
      <c r="N292" s="14">
        <v>652</v>
      </c>
      <c r="O292" s="14">
        <v>458600</v>
      </c>
      <c r="P292" s="14">
        <v>1165200</v>
      </c>
      <c r="Q292" s="14"/>
    </row>
    <row r="293" spans="1:17" x14ac:dyDescent="0.25">
      <c r="A293" s="11" t="s">
        <v>2684</v>
      </c>
      <c r="B293" s="13" t="s">
        <v>319</v>
      </c>
      <c r="C293" s="62" t="s">
        <v>2656</v>
      </c>
      <c r="D293" s="13" t="s">
        <v>39</v>
      </c>
      <c r="E293" s="14" t="s">
        <v>2658</v>
      </c>
      <c r="F293" s="14" t="s">
        <v>35</v>
      </c>
      <c r="G293" s="13"/>
      <c r="H293" s="14">
        <f t="shared" si="10"/>
        <v>1</v>
      </c>
      <c r="I293" s="14">
        <v>1</v>
      </c>
      <c r="J293" s="14">
        <v>1</v>
      </c>
      <c r="K293" s="13" t="s">
        <v>1022</v>
      </c>
      <c r="L293" s="14" t="s">
        <v>318</v>
      </c>
      <c r="M293" s="14">
        <v>584</v>
      </c>
      <c r="N293" s="14">
        <v>645</v>
      </c>
      <c r="O293" s="14">
        <v>458400</v>
      </c>
      <c r="P293" s="14">
        <v>1164500</v>
      </c>
      <c r="Q293" s="14"/>
    </row>
    <row r="294" spans="1:17" x14ac:dyDescent="0.25">
      <c r="A294" s="11" t="s">
        <v>2684</v>
      </c>
      <c r="B294" s="13" t="s">
        <v>319</v>
      </c>
      <c r="C294" s="62" t="s">
        <v>2655</v>
      </c>
      <c r="D294" s="13" t="s">
        <v>39</v>
      </c>
      <c r="E294" s="14" t="s">
        <v>2615</v>
      </c>
      <c r="F294" s="14" t="s">
        <v>35</v>
      </c>
      <c r="G294" s="13"/>
      <c r="H294" s="14">
        <f t="shared" si="10"/>
        <v>1</v>
      </c>
      <c r="I294" s="14">
        <v>1</v>
      </c>
      <c r="J294" s="14">
        <v>1</v>
      </c>
      <c r="K294" s="13" t="s">
        <v>1022</v>
      </c>
      <c r="L294" s="14" t="s">
        <v>318</v>
      </c>
      <c r="M294" s="14">
        <v>281</v>
      </c>
      <c r="N294" s="14">
        <v>498</v>
      </c>
      <c r="O294" s="14">
        <v>428100</v>
      </c>
      <c r="P294" s="14">
        <v>1149800</v>
      </c>
      <c r="Q294" s="14"/>
    </row>
    <row r="295" spans="1:17" x14ac:dyDescent="0.25">
      <c r="A295" s="11" t="s">
        <v>2684</v>
      </c>
      <c r="B295" s="13" t="s">
        <v>319</v>
      </c>
      <c r="C295" s="62" t="s">
        <v>315</v>
      </c>
      <c r="D295" s="13" t="s">
        <v>1278</v>
      </c>
      <c r="E295" s="14" t="s">
        <v>319</v>
      </c>
      <c r="F295" s="14" t="s">
        <v>35</v>
      </c>
      <c r="G295" s="13">
        <v>4</v>
      </c>
      <c r="H295" s="14">
        <f t="shared" si="8"/>
        <v>6</v>
      </c>
      <c r="I295" s="14">
        <v>2</v>
      </c>
      <c r="J295" s="14">
        <v>2</v>
      </c>
      <c r="K295" s="13" t="s">
        <v>2362</v>
      </c>
      <c r="L295" s="14" t="s">
        <v>318</v>
      </c>
      <c r="M295" s="14">
        <v>42287</v>
      </c>
      <c r="N295" s="14">
        <v>62792</v>
      </c>
      <c r="O295" s="14">
        <v>442287</v>
      </c>
      <c r="P295" s="14">
        <v>1162792</v>
      </c>
      <c r="Q295" s="14"/>
    </row>
    <row r="296" spans="1:17" x14ac:dyDescent="0.25">
      <c r="A296" s="11" t="s">
        <v>2684</v>
      </c>
      <c r="B296" s="13" t="s">
        <v>319</v>
      </c>
      <c r="C296" s="62" t="s">
        <v>2614</v>
      </c>
      <c r="D296" s="13" t="s">
        <v>39</v>
      </c>
      <c r="E296" s="14" t="s">
        <v>2615</v>
      </c>
      <c r="F296" s="14" t="s">
        <v>35</v>
      </c>
      <c r="G296" s="13"/>
      <c r="H296" s="14">
        <f t="shared" ref="H296:H327" si="11">G296+I296</f>
        <v>1</v>
      </c>
      <c r="I296" s="14">
        <v>1</v>
      </c>
      <c r="J296" s="14">
        <v>1</v>
      </c>
      <c r="K296" s="13" t="s">
        <v>1022</v>
      </c>
      <c r="L296" s="14" t="s">
        <v>318</v>
      </c>
      <c r="M296" s="14">
        <v>285</v>
      </c>
      <c r="N296" s="14">
        <v>502</v>
      </c>
      <c r="O296" s="14">
        <v>428500</v>
      </c>
      <c r="P296" s="14">
        <v>1150200</v>
      </c>
      <c r="Q296" s="14"/>
    </row>
    <row r="297" spans="1:17" x14ac:dyDescent="0.25">
      <c r="A297" s="11" t="s">
        <v>2684</v>
      </c>
      <c r="B297" s="13" t="s">
        <v>1610</v>
      </c>
      <c r="C297" s="62" t="s">
        <v>2794</v>
      </c>
      <c r="D297" s="13" t="s">
        <v>18</v>
      </c>
      <c r="E297" s="14" t="s">
        <v>1017</v>
      </c>
      <c r="F297" s="14" t="s">
        <v>35</v>
      </c>
      <c r="G297" s="13"/>
      <c r="H297" s="14">
        <f t="shared" si="11"/>
        <v>1</v>
      </c>
      <c r="I297" s="14">
        <v>1</v>
      </c>
      <c r="J297" s="14">
        <v>1</v>
      </c>
      <c r="K297" s="13" t="s">
        <v>846</v>
      </c>
      <c r="L297" s="14" t="s">
        <v>429</v>
      </c>
      <c r="M297" s="14">
        <v>9725</v>
      </c>
      <c r="N297" s="14">
        <v>2212</v>
      </c>
      <c r="O297" s="14">
        <v>297250</v>
      </c>
      <c r="P297" s="14">
        <v>622120</v>
      </c>
      <c r="Q297" s="14"/>
    </row>
    <row r="298" spans="1:17" ht="22.5" x14ac:dyDescent="0.25">
      <c r="A298" s="11" t="s">
        <v>2684</v>
      </c>
      <c r="B298" s="13" t="s">
        <v>1610</v>
      </c>
      <c r="C298" s="61" t="s">
        <v>2795</v>
      </c>
      <c r="D298" s="13" t="s">
        <v>18</v>
      </c>
      <c r="E298" s="14" t="s">
        <v>1017</v>
      </c>
      <c r="F298" s="14" t="s">
        <v>35</v>
      </c>
      <c r="G298" s="13"/>
      <c r="H298" s="14">
        <f t="shared" si="11"/>
        <v>1</v>
      </c>
      <c r="I298" s="14">
        <v>1</v>
      </c>
      <c r="J298" s="14">
        <v>1</v>
      </c>
      <c r="K298" s="13" t="s">
        <v>846</v>
      </c>
      <c r="L298" s="14" t="s">
        <v>398</v>
      </c>
      <c r="M298" s="14">
        <v>300</v>
      </c>
      <c r="N298" s="14">
        <v>4578</v>
      </c>
      <c r="O298" s="14">
        <v>203000</v>
      </c>
      <c r="P298" s="14">
        <v>645780</v>
      </c>
      <c r="Q298" s="14"/>
    </row>
    <row r="299" spans="1:17" x14ac:dyDescent="0.25">
      <c r="A299" s="11" t="s">
        <v>2684</v>
      </c>
      <c r="B299" s="13" t="s">
        <v>743</v>
      </c>
      <c r="C299" s="62" t="s">
        <v>3108</v>
      </c>
      <c r="D299" s="13" t="s">
        <v>121</v>
      </c>
      <c r="E299" s="14" t="s">
        <v>236</v>
      </c>
      <c r="F299" s="14" t="s">
        <v>35</v>
      </c>
      <c r="G299" s="13"/>
      <c r="H299" s="14">
        <f t="shared" si="11"/>
        <v>1</v>
      </c>
      <c r="I299" s="14">
        <v>1</v>
      </c>
      <c r="J299" s="14">
        <v>1</v>
      </c>
      <c r="K299" s="13" t="s">
        <v>1559</v>
      </c>
      <c r="L299" s="14" t="s">
        <v>1515</v>
      </c>
      <c r="M299" s="14">
        <v>892</v>
      </c>
      <c r="N299" s="14">
        <v>234</v>
      </c>
      <c r="O299" s="14">
        <v>289200</v>
      </c>
      <c r="P299" s="14">
        <v>923400</v>
      </c>
      <c r="Q299" s="14"/>
    </row>
    <row r="300" spans="1:17" x14ac:dyDescent="0.25">
      <c r="A300" s="11" t="s">
        <v>2684</v>
      </c>
      <c r="B300" s="13" t="s">
        <v>1594</v>
      </c>
      <c r="C300" s="62" t="s">
        <v>1595</v>
      </c>
      <c r="D300" s="13" t="s">
        <v>18</v>
      </c>
      <c r="E300" s="14" t="s">
        <v>1596</v>
      </c>
      <c r="F300" s="14" t="s">
        <v>35</v>
      </c>
      <c r="G300" s="13"/>
      <c r="H300" s="14">
        <f t="shared" si="11"/>
        <v>2</v>
      </c>
      <c r="I300" s="14">
        <v>2</v>
      </c>
      <c r="J300" s="14">
        <v>1</v>
      </c>
      <c r="K300" s="13" t="s">
        <v>2789</v>
      </c>
      <c r="L300" s="14" t="s">
        <v>429</v>
      </c>
      <c r="M300" s="14">
        <v>9872</v>
      </c>
      <c r="N300" s="14">
        <v>7173</v>
      </c>
      <c r="O300" s="14">
        <v>298720</v>
      </c>
      <c r="P300" s="14">
        <v>671730</v>
      </c>
      <c r="Q300" s="14"/>
    </row>
    <row r="301" spans="1:17" x14ac:dyDescent="0.25">
      <c r="A301" s="11" t="s">
        <v>2684</v>
      </c>
      <c r="B301" s="13" t="s">
        <v>718</v>
      </c>
      <c r="C301" s="62" t="s">
        <v>2647</v>
      </c>
      <c r="D301" s="13" t="s">
        <v>39</v>
      </c>
      <c r="E301" s="14" t="s">
        <v>718</v>
      </c>
      <c r="F301" s="14" t="s">
        <v>739</v>
      </c>
      <c r="G301" s="13"/>
      <c r="H301" s="14">
        <f t="shared" si="11"/>
        <v>1</v>
      </c>
      <c r="I301" s="14">
        <v>1</v>
      </c>
      <c r="J301" s="14">
        <v>1</v>
      </c>
      <c r="K301" s="13" t="s">
        <v>1780</v>
      </c>
      <c r="L301" s="14" t="s">
        <v>740</v>
      </c>
      <c r="M301" s="14">
        <v>387</v>
      </c>
      <c r="N301" s="14">
        <v>782</v>
      </c>
      <c r="O301" s="14">
        <v>238700</v>
      </c>
      <c r="P301" s="14">
        <v>478200</v>
      </c>
      <c r="Q301" s="14"/>
    </row>
    <row r="302" spans="1:17" ht="33.75" x14ac:dyDescent="0.25">
      <c r="A302" s="11" t="s">
        <v>2684</v>
      </c>
      <c r="B302" s="13" t="s">
        <v>718</v>
      </c>
      <c r="C302" s="62" t="s">
        <v>738</v>
      </c>
      <c r="D302" s="13" t="s">
        <v>741</v>
      </c>
      <c r="E302" s="14" t="s">
        <v>718</v>
      </c>
      <c r="F302" s="14" t="s">
        <v>739</v>
      </c>
      <c r="G302" s="13"/>
      <c r="H302" s="14">
        <f t="shared" si="11"/>
        <v>2</v>
      </c>
      <c r="I302" s="14">
        <v>2</v>
      </c>
      <c r="J302" s="14">
        <v>2</v>
      </c>
      <c r="K302" s="13" t="s">
        <v>2645</v>
      </c>
      <c r="L302" s="14" t="s">
        <v>740</v>
      </c>
      <c r="M302" s="14">
        <v>277</v>
      </c>
      <c r="N302" s="14">
        <v>688</v>
      </c>
      <c r="O302" s="14">
        <v>227700</v>
      </c>
      <c r="P302" s="14">
        <v>468800</v>
      </c>
      <c r="Q302" s="14"/>
    </row>
    <row r="303" spans="1:17" ht="22.5" x14ac:dyDescent="0.25">
      <c r="A303" s="11" t="s">
        <v>2684</v>
      </c>
      <c r="B303" s="13" t="s">
        <v>186</v>
      </c>
      <c r="C303" s="61" t="s">
        <v>3003</v>
      </c>
      <c r="D303" s="13" t="s">
        <v>2977</v>
      </c>
      <c r="E303" s="14" t="s">
        <v>190</v>
      </c>
      <c r="F303" s="14" t="s">
        <v>56</v>
      </c>
      <c r="G303" s="13"/>
      <c r="H303" s="14">
        <f t="shared" si="11"/>
        <v>1</v>
      </c>
      <c r="I303" s="14">
        <v>1</v>
      </c>
      <c r="J303" s="14">
        <v>1</v>
      </c>
      <c r="K303" s="13" t="s">
        <v>1322</v>
      </c>
      <c r="L303" s="14" t="s">
        <v>189</v>
      </c>
      <c r="M303" s="14">
        <v>47</v>
      </c>
      <c r="N303" s="14">
        <v>525</v>
      </c>
      <c r="O303" s="14">
        <v>304700</v>
      </c>
      <c r="P303" s="14">
        <v>352500</v>
      </c>
      <c r="Q303" s="14"/>
    </row>
    <row r="304" spans="1:17" ht="22.5" x14ac:dyDescent="0.25">
      <c r="A304" s="11" t="s">
        <v>2684</v>
      </c>
      <c r="B304" s="13" t="s">
        <v>186</v>
      </c>
      <c r="C304" s="61" t="s">
        <v>3005</v>
      </c>
      <c r="D304" s="13" t="s">
        <v>8</v>
      </c>
      <c r="E304" s="14" t="s">
        <v>190</v>
      </c>
      <c r="F304" s="14" t="s">
        <v>56</v>
      </c>
      <c r="G304" s="13"/>
      <c r="H304" s="14">
        <f t="shared" si="11"/>
        <v>1</v>
      </c>
      <c r="I304" s="14">
        <v>1</v>
      </c>
      <c r="J304" s="14">
        <v>1</v>
      </c>
      <c r="K304" s="13" t="s">
        <v>1322</v>
      </c>
      <c r="L304" s="14" t="s">
        <v>189</v>
      </c>
      <c r="M304" s="14">
        <v>32</v>
      </c>
      <c r="N304" s="14">
        <v>545</v>
      </c>
      <c r="O304" s="14">
        <v>303200</v>
      </c>
      <c r="P304" s="14">
        <v>354500</v>
      </c>
      <c r="Q304" s="14"/>
    </row>
    <row r="305" spans="1:17" ht="22.5" x14ac:dyDescent="0.25">
      <c r="A305" s="11" t="s">
        <v>2684</v>
      </c>
      <c r="B305" s="13" t="s">
        <v>186</v>
      </c>
      <c r="C305" s="61" t="s">
        <v>3006</v>
      </c>
      <c r="D305" s="13" t="s">
        <v>8</v>
      </c>
      <c r="E305" s="14" t="s">
        <v>190</v>
      </c>
      <c r="F305" s="14" t="s">
        <v>56</v>
      </c>
      <c r="G305" s="13"/>
      <c r="H305" s="14">
        <f t="shared" si="11"/>
        <v>1</v>
      </c>
      <c r="I305" s="14">
        <v>1</v>
      </c>
      <c r="J305" s="14">
        <v>1</v>
      </c>
      <c r="K305" s="13" t="s">
        <v>1322</v>
      </c>
      <c r="L305" s="14" t="s">
        <v>189</v>
      </c>
      <c r="M305" s="14">
        <v>32</v>
      </c>
      <c r="N305" s="14">
        <v>545</v>
      </c>
      <c r="O305" s="14">
        <v>303200</v>
      </c>
      <c r="P305" s="14">
        <v>354500</v>
      </c>
      <c r="Q305" s="14"/>
    </row>
    <row r="306" spans="1:17" ht="22.5" x14ac:dyDescent="0.25">
      <c r="A306" s="11" t="s">
        <v>2684</v>
      </c>
      <c r="B306" s="13" t="s">
        <v>186</v>
      </c>
      <c r="C306" s="61" t="s">
        <v>3004</v>
      </c>
      <c r="D306" s="13" t="s">
        <v>8</v>
      </c>
      <c r="E306" s="14" t="s">
        <v>190</v>
      </c>
      <c r="F306" s="14" t="s">
        <v>56</v>
      </c>
      <c r="G306" s="13"/>
      <c r="H306" s="14">
        <f t="shared" si="11"/>
        <v>1</v>
      </c>
      <c r="I306" s="14">
        <v>1</v>
      </c>
      <c r="J306" s="14">
        <v>1</v>
      </c>
      <c r="K306" s="13" t="s">
        <v>1322</v>
      </c>
      <c r="L306" s="14" t="s">
        <v>189</v>
      </c>
      <c r="M306" s="14">
        <v>32</v>
      </c>
      <c r="N306" s="14">
        <v>545</v>
      </c>
      <c r="O306" s="14">
        <v>303200</v>
      </c>
      <c r="P306" s="14">
        <v>354500</v>
      </c>
      <c r="Q306" s="14"/>
    </row>
    <row r="307" spans="1:17" ht="22.5" x14ac:dyDescent="0.25">
      <c r="A307" s="11" t="s">
        <v>2684</v>
      </c>
      <c r="B307" s="13" t="s">
        <v>186</v>
      </c>
      <c r="C307" s="62" t="s">
        <v>2951</v>
      </c>
      <c r="D307" s="13" t="s">
        <v>2953</v>
      </c>
      <c r="E307" s="13" t="s">
        <v>2952</v>
      </c>
      <c r="F307" s="14" t="s">
        <v>56</v>
      </c>
      <c r="G307" s="13"/>
      <c r="H307" s="14">
        <f t="shared" si="11"/>
        <v>1</v>
      </c>
      <c r="I307" s="14">
        <v>1</v>
      </c>
      <c r="J307" s="14">
        <v>1</v>
      </c>
      <c r="K307" s="13" t="s">
        <v>1252</v>
      </c>
      <c r="L307" s="14" t="s">
        <v>189</v>
      </c>
      <c r="M307" s="14">
        <v>967</v>
      </c>
      <c r="N307" s="14">
        <v>7624</v>
      </c>
      <c r="O307" s="14">
        <v>309670</v>
      </c>
      <c r="P307" s="14">
        <v>376240</v>
      </c>
      <c r="Q307" s="14"/>
    </row>
    <row r="308" spans="1:17" x14ac:dyDescent="0.25">
      <c r="A308" s="11" t="s">
        <v>2684</v>
      </c>
      <c r="B308" s="13" t="s">
        <v>186</v>
      </c>
      <c r="C308" s="61" t="s">
        <v>3007</v>
      </c>
      <c r="D308" s="13" t="s">
        <v>2977</v>
      </c>
      <c r="E308" s="14" t="s">
        <v>190</v>
      </c>
      <c r="F308" s="14" t="s">
        <v>56</v>
      </c>
      <c r="G308" s="13"/>
      <c r="H308" s="14">
        <f t="shared" si="11"/>
        <v>1</v>
      </c>
      <c r="I308" s="14">
        <v>1</v>
      </c>
      <c r="J308" s="14">
        <v>1</v>
      </c>
      <c r="K308" s="13" t="s">
        <v>1322</v>
      </c>
      <c r="L308" s="14" t="s">
        <v>189</v>
      </c>
      <c r="M308" s="14">
        <v>12</v>
      </c>
      <c r="N308" s="14">
        <v>539</v>
      </c>
      <c r="O308" s="14">
        <v>301200</v>
      </c>
      <c r="P308" s="14">
        <v>353900</v>
      </c>
      <c r="Q308" s="14"/>
    </row>
    <row r="309" spans="1:17" ht="22.5" x14ac:dyDescent="0.25">
      <c r="A309" s="11" t="s">
        <v>2684</v>
      </c>
      <c r="B309" s="13" t="s">
        <v>55</v>
      </c>
      <c r="C309" s="61" t="s">
        <v>2694</v>
      </c>
      <c r="D309" s="13" t="s">
        <v>220</v>
      </c>
      <c r="E309" s="14" t="s">
        <v>57</v>
      </c>
      <c r="F309" s="14" t="s">
        <v>56</v>
      </c>
      <c r="G309" s="13"/>
      <c r="H309" s="14">
        <f t="shared" si="11"/>
        <v>1</v>
      </c>
      <c r="I309" s="14">
        <v>1</v>
      </c>
      <c r="J309" s="14">
        <v>1</v>
      </c>
      <c r="K309" s="13" t="s">
        <v>456</v>
      </c>
      <c r="L309" s="14" t="s">
        <v>184</v>
      </c>
      <c r="M309" s="14">
        <v>94808</v>
      </c>
      <c r="N309" s="14">
        <v>39042</v>
      </c>
      <c r="O309" s="14">
        <v>194808</v>
      </c>
      <c r="P309" s="14">
        <v>239042</v>
      </c>
      <c r="Q309" s="14"/>
    </row>
    <row r="310" spans="1:17" x14ac:dyDescent="0.25">
      <c r="A310" s="11" t="s">
        <v>2684</v>
      </c>
      <c r="B310" s="13" t="s">
        <v>55</v>
      </c>
      <c r="C310" s="62" t="s">
        <v>2759</v>
      </c>
      <c r="D310" s="13" t="s">
        <v>401</v>
      </c>
      <c r="E310" s="14" t="s">
        <v>57</v>
      </c>
      <c r="F310" s="14" t="s">
        <v>56</v>
      </c>
      <c r="G310" s="13"/>
      <c r="H310" s="14">
        <f t="shared" si="11"/>
        <v>1</v>
      </c>
      <c r="I310" s="14">
        <v>1</v>
      </c>
      <c r="J310" s="14">
        <v>1</v>
      </c>
      <c r="K310" s="13" t="s">
        <v>2752</v>
      </c>
      <c r="L310" s="14" t="s">
        <v>184</v>
      </c>
      <c r="M310" s="14">
        <v>9498</v>
      </c>
      <c r="N310" s="14">
        <v>3104</v>
      </c>
      <c r="O310" s="14">
        <v>194980</v>
      </c>
      <c r="P310" s="14">
        <v>231040</v>
      </c>
      <c r="Q310" s="14"/>
    </row>
    <row r="311" spans="1:17" x14ac:dyDescent="0.25">
      <c r="A311" s="11" t="s">
        <v>2684</v>
      </c>
      <c r="B311" s="13" t="s">
        <v>55</v>
      </c>
      <c r="C311" s="62" t="s">
        <v>182</v>
      </c>
      <c r="D311" s="13" t="s">
        <v>39</v>
      </c>
      <c r="E311" s="14" t="s">
        <v>183</v>
      </c>
      <c r="F311" s="14" t="s">
        <v>56</v>
      </c>
      <c r="G311" s="13"/>
      <c r="H311" s="14">
        <f t="shared" si="11"/>
        <v>2</v>
      </c>
      <c r="I311" s="14">
        <v>2</v>
      </c>
      <c r="J311" s="14">
        <v>1</v>
      </c>
      <c r="K311" s="13" t="s">
        <v>1005</v>
      </c>
      <c r="L311" s="14" t="s">
        <v>184</v>
      </c>
      <c r="M311" s="14">
        <v>7373</v>
      </c>
      <c r="N311" s="14">
        <v>2509</v>
      </c>
      <c r="O311" s="14">
        <v>173730</v>
      </c>
      <c r="P311" s="14">
        <v>225090</v>
      </c>
      <c r="Q311" s="14"/>
    </row>
    <row r="312" spans="1:17" ht="22.5" x14ac:dyDescent="0.25">
      <c r="A312" s="11" t="s">
        <v>2684</v>
      </c>
      <c r="B312" s="13" t="s">
        <v>55</v>
      </c>
      <c r="C312" s="62" t="s">
        <v>2905</v>
      </c>
      <c r="D312" s="13" t="s">
        <v>2906</v>
      </c>
      <c r="E312" s="14" t="s">
        <v>57</v>
      </c>
      <c r="F312" s="14" t="s">
        <v>56</v>
      </c>
      <c r="G312" s="13"/>
      <c r="H312" s="14">
        <f t="shared" si="11"/>
        <v>1</v>
      </c>
      <c r="I312" s="14">
        <v>1</v>
      </c>
      <c r="J312" s="14">
        <v>1</v>
      </c>
      <c r="K312" s="13" t="s">
        <v>2907</v>
      </c>
      <c r="L312" s="14" t="s">
        <v>2908</v>
      </c>
      <c r="M312" s="14">
        <v>9331</v>
      </c>
      <c r="N312" s="14">
        <v>9990</v>
      </c>
      <c r="O312" s="14">
        <v>193310</v>
      </c>
      <c r="P312" s="14">
        <v>199900</v>
      </c>
      <c r="Q312" s="14"/>
    </row>
    <row r="313" spans="1:17" x14ac:dyDescent="0.25">
      <c r="A313" s="11" t="s">
        <v>2684</v>
      </c>
      <c r="B313" s="13" t="s">
        <v>55</v>
      </c>
      <c r="C313" s="62" t="s">
        <v>2760</v>
      </c>
      <c r="D313" s="13" t="s">
        <v>401</v>
      </c>
      <c r="E313" s="14" t="s">
        <v>57</v>
      </c>
      <c r="F313" s="14" t="s">
        <v>56</v>
      </c>
      <c r="G313" s="13"/>
      <c r="H313" s="14">
        <f t="shared" si="11"/>
        <v>1</v>
      </c>
      <c r="I313" s="14">
        <v>1</v>
      </c>
      <c r="J313" s="14">
        <v>1</v>
      </c>
      <c r="K313" s="13" t="s">
        <v>2752</v>
      </c>
      <c r="L313" s="14" t="s">
        <v>153</v>
      </c>
      <c r="M313" s="14">
        <v>774</v>
      </c>
      <c r="N313" s="14">
        <v>1884</v>
      </c>
      <c r="O313" s="14">
        <v>207740</v>
      </c>
      <c r="P313" s="14">
        <v>218840</v>
      </c>
      <c r="Q313" s="14"/>
    </row>
    <row r="314" spans="1:17" x14ac:dyDescent="0.25">
      <c r="A314" s="11" t="s">
        <v>2684</v>
      </c>
      <c r="B314" s="13" t="s">
        <v>55</v>
      </c>
      <c r="C314" s="62" t="s">
        <v>2758</v>
      </c>
      <c r="D314" s="13" t="s">
        <v>18</v>
      </c>
      <c r="E314" s="14" t="s">
        <v>57</v>
      </c>
      <c r="F314" s="14" t="s">
        <v>56</v>
      </c>
      <c r="G314" s="13"/>
      <c r="H314" s="14">
        <f t="shared" si="11"/>
        <v>1</v>
      </c>
      <c r="I314" s="14">
        <v>1</v>
      </c>
      <c r="J314" s="14">
        <v>1</v>
      </c>
      <c r="K314" s="13" t="s">
        <v>2752</v>
      </c>
      <c r="L314" s="14" t="s">
        <v>153</v>
      </c>
      <c r="M314" s="14">
        <v>1231</v>
      </c>
      <c r="N314" s="14">
        <v>1893</v>
      </c>
      <c r="O314" s="14">
        <v>212310</v>
      </c>
      <c r="P314" s="14">
        <v>218930</v>
      </c>
      <c r="Q314" s="14"/>
    </row>
    <row r="315" spans="1:17" ht="22.5" x14ac:dyDescent="0.25">
      <c r="A315" s="11" t="s">
        <v>2684</v>
      </c>
      <c r="B315" s="13" t="s">
        <v>55</v>
      </c>
      <c r="C315" s="62" t="s">
        <v>2695</v>
      </c>
      <c r="D315" s="13" t="s">
        <v>41</v>
      </c>
      <c r="E315" s="14" t="s">
        <v>57</v>
      </c>
      <c r="F315" s="14" t="s">
        <v>56</v>
      </c>
      <c r="G315" s="13"/>
      <c r="H315" s="14">
        <f t="shared" si="11"/>
        <v>2</v>
      </c>
      <c r="I315" s="14">
        <v>2</v>
      </c>
      <c r="J315" s="14">
        <v>1</v>
      </c>
      <c r="K315" s="13" t="s">
        <v>456</v>
      </c>
      <c r="L315" s="14" t="s">
        <v>184</v>
      </c>
      <c r="M315" s="14">
        <v>9722</v>
      </c>
      <c r="N315" s="14">
        <v>822</v>
      </c>
      <c r="O315" s="14">
        <v>197220</v>
      </c>
      <c r="P315" s="14">
        <v>208220</v>
      </c>
      <c r="Q315" s="14"/>
    </row>
    <row r="316" spans="1:17" x14ac:dyDescent="0.25">
      <c r="A316" s="11" t="s">
        <v>2684</v>
      </c>
      <c r="B316" s="13" t="s">
        <v>55</v>
      </c>
      <c r="C316" s="62" t="s">
        <v>2757</v>
      </c>
      <c r="D316" s="13" t="s">
        <v>8</v>
      </c>
      <c r="E316" s="14" t="s">
        <v>152</v>
      </c>
      <c r="F316" s="14" t="s">
        <v>56</v>
      </c>
      <c r="G316" s="13"/>
      <c r="H316" s="14">
        <f t="shared" si="11"/>
        <v>1</v>
      </c>
      <c r="I316" s="14">
        <v>1</v>
      </c>
      <c r="J316" s="14">
        <v>1</v>
      </c>
      <c r="K316" s="13" t="s">
        <v>2752</v>
      </c>
      <c r="L316" s="14" t="s">
        <v>153</v>
      </c>
      <c r="M316" s="14">
        <v>1417</v>
      </c>
      <c r="N316" s="14">
        <v>2658</v>
      </c>
      <c r="O316" s="14">
        <v>214170</v>
      </c>
      <c r="P316" s="14">
        <v>226580</v>
      </c>
      <c r="Q316" s="14"/>
    </row>
    <row r="317" spans="1:17" ht="22.5" x14ac:dyDescent="0.25">
      <c r="A317" s="11" t="s">
        <v>2684</v>
      </c>
      <c r="B317" s="13" t="s">
        <v>55</v>
      </c>
      <c r="C317" s="61" t="s">
        <v>3103</v>
      </c>
      <c r="D317" s="13" t="s">
        <v>121</v>
      </c>
      <c r="E317" s="14" t="s">
        <v>57</v>
      </c>
      <c r="F317" s="14" t="s">
        <v>56</v>
      </c>
      <c r="G317" s="13"/>
      <c r="H317" s="14">
        <f t="shared" si="11"/>
        <v>1</v>
      </c>
      <c r="I317" s="14">
        <v>1</v>
      </c>
      <c r="J317" s="14">
        <v>1</v>
      </c>
      <c r="K317" s="13" t="s">
        <v>1552</v>
      </c>
      <c r="L317" s="14" t="s">
        <v>184</v>
      </c>
      <c r="M317" s="14">
        <v>9988</v>
      </c>
      <c r="N317" s="14">
        <v>3591</v>
      </c>
      <c r="O317" s="14">
        <v>199880</v>
      </c>
      <c r="P317" s="14">
        <v>235910</v>
      </c>
      <c r="Q317" s="14"/>
    </row>
    <row r="318" spans="1:17" x14ac:dyDescent="0.25">
      <c r="A318" s="11" t="s">
        <v>2684</v>
      </c>
      <c r="B318" s="13" t="s">
        <v>55</v>
      </c>
      <c r="C318" s="62" t="s">
        <v>58</v>
      </c>
      <c r="D318" s="13" t="s">
        <v>151</v>
      </c>
      <c r="E318" s="14" t="s">
        <v>57</v>
      </c>
      <c r="F318" s="14" t="s">
        <v>56</v>
      </c>
      <c r="G318" s="13">
        <v>1</v>
      </c>
      <c r="H318" s="14">
        <f t="shared" si="11"/>
        <v>1</v>
      </c>
      <c r="J318" s="14">
        <v>1</v>
      </c>
      <c r="K318" s="13" t="s">
        <v>2178</v>
      </c>
      <c r="L318" s="14" t="s">
        <v>153</v>
      </c>
      <c r="M318" s="14">
        <v>211</v>
      </c>
      <c r="N318" s="14">
        <v>326</v>
      </c>
      <c r="O318" s="14">
        <v>211100</v>
      </c>
      <c r="P318" s="14">
        <v>232600</v>
      </c>
      <c r="Q318" s="14"/>
    </row>
    <row r="319" spans="1:17" ht="22.5" x14ac:dyDescent="0.25">
      <c r="A319" s="11" t="s">
        <v>2684</v>
      </c>
      <c r="B319" s="13" t="s">
        <v>55</v>
      </c>
      <c r="C319" s="62" t="s">
        <v>2950</v>
      </c>
      <c r="D319" s="13" t="s">
        <v>2953</v>
      </c>
      <c r="E319" s="14" t="s">
        <v>57</v>
      </c>
      <c r="F319" s="14" t="s">
        <v>56</v>
      </c>
      <c r="G319" s="13"/>
      <c r="H319" s="14">
        <f t="shared" si="11"/>
        <v>1</v>
      </c>
      <c r="I319" s="14">
        <v>1</v>
      </c>
      <c r="J319" s="14">
        <v>1</v>
      </c>
      <c r="K319" s="13" t="s">
        <v>1252</v>
      </c>
      <c r="L319" s="14" t="s">
        <v>184</v>
      </c>
      <c r="M319" s="14">
        <v>835</v>
      </c>
      <c r="N319" s="14">
        <v>115</v>
      </c>
      <c r="O319" s="14">
        <v>183500</v>
      </c>
      <c r="P319" s="14">
        <v>211500</v>
      </c>
      <c r="Q319" s="14"/>
    </row>
    <row r="320" spans="1:17" x14ac:dyDescent="0.25">
      <c r="A320" s="11" t="s">
        <v>2684</v>
      </c>
      <c r="B320" s="13" t="s">
        <v>55</v>
      </c>
      <c r="C320" s="62" t="s">
        <v>2997</v>
      </c>
      <c r="D320" s="13" t="s">
        <v>8</v>
      </c>
      <c r="E320" s="14" t="s">
        <v>57</v>
      </c>
      <c r="F320" s="14" t="s">
        <v>56</v>
      </c>
      <c r="G320" s="13"/>
      <c r="H320" s="14">
        <f t="shared" si="11"/>
        <v>1</v>
      </c>
      <c r="I320" s="14">
        <v>1</v>
      </c>
      <c r="J320" s="14">
        <v>1</v>
      </c>
      <c r="K320" s="13" t="s">
        <v>1322</v>
      </c>
      <c r="L320" s="14" t="s">
        <v>153</v>
      </c>
      <c r="M320" s="14">
        <v>84</v>
      </c>
      <c r="N320" s="14">
        <v>341</v>
      </c>
      <c r="O320" s="14">
        <v>208400</v>
      </c>
      <c r="P320" s="14">
        <v>234100</v>
      </c>
      <c r="Q320" s="14"/>
    </row>
    <row r="321" spans="1:17" ht="22.5" x14ac:dyDescent="0.25">
      <c r="A321" s="11" t="s">
        <v>2684</v>
      </c>
      <c r="B321" s="13" t="s">
        <v>593</v>
      </c>
      <c r="C321" s="62" t="s">
        <v>2704</v>
      </c>
      <c r="D321" s="13" t="s">
        <v>41</v>
      </c>
      <c r="E321" s="14" t="s">
        <v>2705</v>
      </c>
      <c r="F321" s="14" t="s">
        <v>56</v>
      </c>
      <c r="G321" s="13"/>
      <c r="H321" s="14">
        <f t="shared" si="11"/>
        <v>1</v>
      </c>
      <c r="I321" s="14">
        <v>1</v>
      </c>
      <c r="J321" s="14">
        <v>1</v>
      </c>
      <c r="K321" s="13" t="s">
        <v>476</v>
      </c>
      <c r="L321" s="14" t="s">
        <v>119</v>
      </c>
      <c r="M321" s="14">
        <v>5052</v>
      </c>
      <c r="N321" s="14">
        <v>8866</v>
      </c>
      <c r="O321" s="14">
        <v>350520</v>
      </c>
      <c r="P321" s="14">
        <v>188660</v>
      </c>
      <c r="Q321" s="14"/>
    </row>
    <row r="322" spans="1:17" x14ac:dyDescent="0.25">
      <c r="A322" s="11" t="s">
        <v>2684</v>
      </c>
      <c r="B322" s="13" t="s">
        <v>593</v>
      </c>
      <c r="C322" s="62" t="s">
        <v>402</v>
      </c>
      <c r="D322" s="13" t="s">
        <v>1207</v>
      </c>
      <c r="E322" s="14" t="s">
        <v>623</v>
      </c>
      <c r="F322" s="14" t="s">
        <v>56</v>
      </c>
      <c r="G322" s="13"/>
      <c r="H322" s="14">
        <f t="shared" si="11"/>
        <v>2</v>
      </c>
      <c r="I322" s="14">
        <v>2</v>
      </c>
      <c r="J322" s="14">
        <v>2</v>
      </c>
      <c r="K322" s="13" t="s">
        <v>2645</v>
      </c>
      <c r="L322" s="14" t="s">
        <v>596</v>
      </c>
      <c r="M322" s="14">
        <v>8325</v>
      </c>
      <c r="N322" s="14">
        <v>7960</v>
      </c>
      <c r="O322" s="14">
        <v>283250</v>
      </c>
      <c r="P322" s="14">
        <v>179600</v>
      </c>
      <c r="Q322" s="14"/>
    </row>
    <row r="323" spans="1:17" ht="22.5" x14ac:dyDescent="0.25">
      <c r="A323" s="11" t="s">
        <v>2684</v>
      </c>
      <c r="B323" s="13" t="s">
        <v>593</v>
      </c>
      <c r="C323" s="62" t="s">
        <v>1118</v>
      </c>
      <c r="D323" s="13" t="s">
        <v>41</v>
      </c>
      <c r="E323" s="14" t="s">
        <v>624</v>
      </c>
      <c r="F323" s="14" t="s">
        <v>56</v>
      </c>
      <c r="G323" s="13"/>
      <c r="H323" s="14">
        <f t="shared" si="11"/>
        <v>1</v>
      </c>
      <c r="I323" s="14">
        <v>1</v>
      </c>
      <c r="J323" s="14">
        <v>1</v>
      </c>
      <c r="K323" s="13" t="s">
        <v>476</v>
      </c>
      <c r="L323" s="14" t="s">
        <v>596</v>
      </c>
      <c r="M323" s="14">
        <v>5373</v>
      </c>
      <c r="N323" s="14">
        <v>8982</v>
      </c>
      <c r="O323" s="14">
        <v>253730</v>
      </c>
      <c r="P323" s="14">
        <v>189820</v>
      </c>
      <c r="Q323" s="14"/>
    </row>
    <row r="324" spans="1:17" ht="22.5" x14ac:dyDescent="0.25">
      <c r="A324" s="11" t="s">
        <v>2684</v>
      </c>
      <c r="B324" s="13" t="s">
        <v>593</v>
      </c>
      <c r="C324" s="62" t="s">
        <v>2706</v>
      </c>
      <c r="D324" s="13" t="s">
        <v>41</v>
      </c>
      <c r="E324" s="14" t="s">
        <v>624</v>
      </c>
      <c r="F324" s="14" t="s">
        <v>56</v>
      </c>
      <c r="G324" s="13"/>
      <c r="H324" s="14">
        <f t="shared" si="11"/>
        <v>1</v>
      </c>
      <c r="I324" s="14">
        <v>1</v>
      </c>
      <c r="J324" s="14">
        <v>1</v>
      </c>
      <c r="K324" s="13" t="s">
        <v>476</v>
      </c>
      <c r="L324" s="14" t="s">
        <v>596</v>
      </c>
      <c r="M324" s="14">
        <v>53159</v>
      </c>
      <c r="N324" s="14">
        <v>88118</v>
      </c>
      <c r="O324" s="14">
        <v>253159</v>
      </c>
      <c r="P324" s="14">
        <v>188118</v>
      </c>
      <c r="Q324" s="14"/>
    </row>
    <row r="325" spans="1:17" x14ac:dyDescent="0.25">
      <c r="A325" s="11" t="s">
        <v>2684</v>
      </c>
      <c r="B325" s="13" t="s">
        <v>593</v>
      </c>
      <c r="C325" s="62" t="s">
        <v>594</v>
      </c>
      <c r="D325" s="13" t="s">
        <v>90</v>
      </c>
      <c r="E325" s="13" t="s">
        <v>595</v>
      </c>
      <c r="F325" s="14" t="s">
        <v>56</v>
      </c>
      <c r="G325" s="13"/>
      <c r="H325" s="14">
        <f t="shared" si="11"/>
        <v>1</v>
      </c>
      <c r="I325" s="14">
        <v>1</v>
      </c>
      <c r="J325" s="14">
        <v>1</v>
      </c>
      <c r="K325" s="13" t="s">
        <v>1241</v>
      </c>
      <c r="L325" s="14" t="s">
        <v>596</v>
      </c>
      <c r="M325" s="14">
        <v>9237</v>
      </c>
      <c r="N325" s="14">
        <v>8088</v>
      </c>
      <c r="O325" s="14">
        <v>292370</v>
      </c>
      <c r="P325" s="14">
        <v>180880</v>
      </c>
      <c r="Q325" s="14"/>
    </row>
    <row r="326" spans="1:17" ht="22.5" x14ac:dyDescent="0.25">
      <c r="A326" s="11" t="s">
        <v>2684</v>
      </c>
      <c r="B326" s="13" t="s">
        <v>593</v>
      </c>
      <c r="C326" s="62" t="s">
        <v>2954</v>
      </c>
      <c r="D326" s="13" t="s">
        <v>2955</v>
      </c>
      <c r="E326" s="13" t="s">
        <v>2956</v>
      </c>
      <c r="F326" s="14" t="s">
        <v>56</v>
      </c>
      <c r="G326" s="13"/>
      <c r="H326" s="14">
        <f t="shared" si="11"/>
        <v>1</v>
      </c>
      <c r="I326" s="14">
        <v>1</v>
      </c>
      <c r="J326" s="14">
        <v>1</v>
      </c>
      <c r="K326" s="13" t="s">
        <v>1252</v>
      </c>
      <c r="L326" s="14" t="s">
        <v>596</v>
      </c>
      <c r="M326" s="14">
        <v>9600</v>
      </c>
      <c r="N326" s="14">
        <v>7204</v>
      </c>
      <c r="O326" s="14">
        <v>296000</v>
      </c>
      <c r="P326" s="14">
        <v>172040</v>
      </c>
      <c r="Q326" s="14"/>
    </row>
    <row r="327" spans="1:17" ht="33.75" x14ac:dyDescent="0.25">
      <c r="A327" s="11" t="s">
        <v>2684</v>
      </c>
      <c r="B327" s="13" t="s">
        <v>593</v>
      </c>
      <c r="C327" s="62" t="s">
        <v>2957</v>
      </c>
      <c r="D327" s="13" t="s">
        <v>2960</v>
      </c>
      <c r="E327" s="13" t="s">
        <v>2956</v>
      </c>
      <c r="F327" s="14" t="s">
        <v>56</v>
      </c>
      <c r="G327" s="13"/>
      <c r="H327" s="14">
        <f t="shared" si="11"/>
        <v>1</v>
      </c>
      <c r="I327" s="14">
        <v>1</v>
      </c>
      <c r="J327" s="14">
        <v>1</v>
      </c>
      <c r="K327" s="13" t="s">
        <v>1252</v>
      </c>
      <c r="L327" s="14" t="s">
        <v>596</v>
      </c>
      <c r="M327" s="14">
        <v>9602</v>
      </c>
      <c r="N327" s="14">
        <v>7200</v>
      </c>
      <c r="O327" s="14">
        <v>296020</v>
      </c>
      <c r="P327" s="14">
        <v>172000</v>
      </c>
      <c r="Q327" s="14"/>
    </row>
    <row r="328" spans="1:17" ht="22.5" x14ac:dyDescent="0.25">
      <c r="A328" s="11" t="s">
        <v>2684</v>
      </c>
      <c r="B328" s="13" t="s">
        <v>593</v>
      </c>
      <c r="C328" s="62" t="s">
        <v>2958</v>
      </c>
      <c r="D328" s="13" t="s">
        <v>2955</v>
      </c>
      <c r="E328" s="13" t="s">
        <v>2956</v>
      </c>
      <c r="F328" s="14" t="s">
        <v>56</v>
      </c>
      <c r="G328" s="13"/>
      <c r="H328" s="14">
        <f t="shared" ref="H328:H359" si="12">G328+I328</f>
        <v>1</v>
      </c>
      <c r="I328" s="14">
        <v>1</v>
      </c>
      <c r="J328" s="14">
        <v>1</v>
      </c>
      <c r="K328" s="13" t="s">
        <v>1252</v>
      </c>
      <c r="L328" s="14" t="s">
        <v>596</v>
      </c>
      <c r="M328" s="14">
        <v>9596</v>
      </c>
      <c r="N328" s="14">
        <v>7008</v>
      </c>
      <c r="O328" s="14">
        <v>295960</v>
      </c>
      <c r="P328" s="14">
        <v>170080</v>
      </c>
      <c r="Q328" s="14"/>
    </row>
    <row r="329" spans="1:17" ht="22.5" x14ac:dyDescent="0.25">
      <c r="A329" s="11" t="s">
        <v>2684</v>
      </c>
      <c r="B329" s="13" t="s">
        <v>593</v>
      </c>
      <c r="C329" s="62" t="s">
        <v>2959</v>
      </c>
      <c r="D329" s="13" t="s">
        <v>2955</v>
      </c>
      <c r="E329" s="13" t="s">
        <v>2956</v>
      </c>
      <c r="F329" s="14" t="s">
        <v>56</v>
      </c>
      <c r="G329" s="13"/>
      <c r="H329" s="14">
        <f t="shared" si="12"/>
        <v>1</v>
      </c>
      <c r="I329" s="14">
        <v>1</v>
      </c>
      <c r="J329" s="14">
        <v>1</v>
      </c>
      <c r="K329" s="13" t="s">
        <v>1252</v>
      </c>
      <c r="L329" s="14" t="s">
        <v>596</v>
      </c>
      <c r="M329" s="14">
        <v>9596</v>
      </c>
      <c r="N329" s="14">
        <v>7008</v>
      </c>
      <c r="O329" s="14">
        <v>295960</v>
      </c>
      <c r="P329" s="14">
        <v>170080</v>
      </c>
      <c r="Q329" s="14"/>
    </row>
    <row r="330" spans="1:17" ht="22.5" x14ac:dyDescent="0.25">
      <c r="A330" s="11" t="s">
        <v>2684</v>
      </c>
      <c r="B330" s="13" t="s">
        <v>593</v>
      </c>
      <c r="C330" s="62" t="s">
        <v>2604</v>
      </c>
      <c r="D330" s="13" t="s">
        <v>41</v>
      </c>
      <c r="E330" s="13" t="s">
        <v>1793</v>
      </c>
      <c r="F330" s="14" t="s">
        <v>56</v>
      </c>
      <c r="G330" s="13"/>
      <c r="H330" s="14">
        <f t="shared" si="12"/>
        <v>1</v>
      </c>
      <c r="I330" s="14">
        <v>1</v>
      </c>
      <c r="J330" s="14">
        <v>1</v>
      </c>
      <c r="K330" s="13" t="s">
        <v>476</v>
      </c>
      <c r="L330" s="14" t="s">
        <v>119</v>
      </c>
      <c r="M330" s="14">
        <v>92</v>
      </c>
      <c r="N330" s="14">
        <v>733</v>
      </c>
      <c r="O330" s="14">
        <v>309200</v>
      </c>
      <c r="P330" s="14">
        <v>173300</v>
      </c>
      <c r="Q330" s="14"/>
    </row>
    <row r="331" spans="1:17" ht="22.5" x14ac:dyDescent="0.25">
      <c r="A331" s="11" t="s">
        <v>2684</v>
      </c>
      <c r="B331" s="13" t="s">
        <v>161</v>
      </c>
      <c r="C331" s="62" t="s">
        <v>422</v>
      </c>
      <c r="D331" s="13" t="s">
        <v>41</v>
      </c>
      <c r="E331" s="14" t="s">
        <v>301</v>
      </c>
      <c r="F331" s="14" t="s">
        <v>56</v>
      </c>
      <c r="G331" s="13"/>
      <c r="H331" s="14">
        <f t="shared" si="12"/>
        <v>2</v>
      </c>
      <c r="I331" s="14">
        <v>2</v>
      </c>
      <c r="J331" s="14">
        <v>2</v>
      </c>
      <c r="K331" s="13" t="s">
        <v>2462</v>
      </c>
      <c r="L331" s="14" t="s">
        <v>164</v>
      </c>
      <c r="M331" s="14">
        <v>32895</v>
      </c>
      <c r="N331" s="14">
        <v>70723</v>
      </c>
      <c r="O331" s="14">
        <v>232895</v>
      </c>
      <c r="P331" s="14">
        <v>370723</v>
      </c>
      <c r="Q331" s="14"/>
    </row>
    <row r="332" spans="1:17" ht="22.5" x14ac:dyDescent="0.25">
      <c r="A332" s="11" t="s">
        <v>2684</v>
      </c>
      <c r="B332" s="13" t="s">
        <v>161</v>
      </c>
      <c r="C332" s="62" t="s">
        <v>423</v>
      </c>
      <c r="D332" s="13" t="s">
        <v>41</v>
      </c>
      <c r="E332" s="14" t="s">
        <v>301</v>
      </c>
      <c r="F332" s="14" t="s">
        <v>56</v>
      </c>
      <c r="G332" s="13"/>
      <c r="H332" s="14">
        <f t="shared" si="12"/>
        <v>3</v>
      </c>
      <c r="I332" s="14">
        <v>3</v>
      </c>
      <c r="J332" s="14">
        <v>2</v>
      </c>
      <c r="K332" s="13" t="s">
        <v>2462</v>
      </c>
      <c r="L332" s="14" t="s">
        <v>164</v>
      </c>
      <c r="M332" s="14">
        <v>50761</v>
      </c>
      <c r="N332" s="14">
        <v>70185</v>
      </c>
      <c r="O332" s="14">
        <v>250761</v>
      </c>
      <c r="P332" s="14">
        <v>370185</v>
      </c>
      <c r="Q332" s="14"/>
    </row>
    <row r="333" spans="1:17" ht="22.5" x14ac:dyDescent="0.25">
      <c r="A333" s="11" t="s">
        <v>2684</v>
      </c>
      <c r="B333" s="13" t="s">
        <v>161</v>
      </c>
      <c r="C333" s="62" t="s">
        <v>421</v>
      </c>
      <c r="D333" s="13" t="s">
        <v>41</v>
      </c>
      <c r="E333" s="14" t="s">
        <v>163</v>
      </c>
      <c r="F333" s="14" t="s">
        <v>56</v>
      </c>
      <c r="G333" s="13"/>
      <c r="H333" s="14">
        <f t="shared" si="12"/>
        <v>1</v>
      </c>
      <c r="I333" s="14">
        <v>1</v>
      </c>
      <c r="J333" s="14">
        <v>1</v>
      </c>
      <c r="K333" s="13" t="s">
        <v>459</v>
      </c>
      <c r="L333" s="14" t="s">
        <v>164</v>
      </c>
      <c r="M333" s="14">
        <v>8180</v>
      </c>
      <c r="N333" s="14">
        <v>5432</v>
      </c>
      <c r="O333" s="14">
        <v>281800</v>
      </c>
      <c r="P333" s="14">
        <v>354320</v>
      </c>
      <c r="Q333" s="14"/>
    </row>
    <row r="334" spans="1:17" x14ac:dyDescent="0.25">
      <c r="A334" s="11" t="s">
        <v>2684</v>
      </c>
      <c r="B334" s="13" t="s">
        <v>161</v>
      </c>
      <c r="C334" s="62" t="s">
        <v>223</v>
      </c>
      <c r="D334" s="13" t="s">
        <v>220</v>
      </c>
      <c r="E334" s="14" t="s">
        <v>225</v>
      </c>
      <c r="F334" s="14" t="s">
        <v>56</v>
      </c>
      <c r="G334" s="13"/>
      <c r="H334" s="14">
        <f t="shared" si="12"/>
        <v>1</v>
      </c>
      <c r="I334" s="14">
        <v>1</v>
      </c>
      <c r="J334" s="14">
        <v>1</v>
      </c>
      <c r="K334" s="13" t="s">
        <v>459</v>
      </c>
      <c r="L334" s="14" t="s">
        <v>164</v>
      </c>
      <c r="M334" s="14">
        <v>5886</v>
      </c>
      <c r="N334" s="14">
        <v>2284</v>
      </c>
      <c r="O334" s="14">
        <v>258860</v>
      </c>
      <c r="P334" s="14">
        <v>322840</v>
      </c>
      <c r="Q334" s="14"/>
    </row>
    <row r="335" spans="1:17" ht="22.5" x14ac:dyDescent="0.25">
      <c r="A335" s="11" t="s">
        <v>2684</v>
      </c>
      <c r="B335" s="13" t="s">
        <v>161</v>
      </c>
      <c r="C335" s="62" t="s">
        <v>162</v>
      </c>
      <c r="D335" s="13" t="s">
        <v>825</v>
      </c>
      <c r="E335" s="14" t="s">
        <v>826</v>
      </c>
      <c r="F335" s="14" t="s">
        <v>56</v>
      </c>
      <c r="G335" s="13">
        <v>2</v>
      </c>
      <c r="H335" s="14">
        <f t="shared" si="12"/>
        <v>2</v>
      </c>
      <c r="J335" s="14">
        <v>1</v>
      </c>
      <c r="K335" s="13" t="s">
        <v>2643</v>
      </c>
      <c r="L335" s="14" t="s">
        <v>164</v>
      </c>
      <c r="M335" s="14">
        <v>717</v>
      </c>
      <c r="N335" s="14">
        <v>749</v>
      </c>
      <c r="O335" s="14">
        <v>271700</v>
      </c>
      <c r="P335" s="14">
        <v>374900</v>
      </c>
      <c r="Q335" s="14"/>
    </row>
    <row r="336" spans="1:17" x14ac:dyDescent="0.25">
      <c r="A336" s="11" t="s">
        <v>2684</v>
      </c>
      <c r="B336" s="13" t="s">
        <v>161</v>
      </c>
      <c r="C336" s="61" t="s">
        <v>2998</v>
      </c>
      <c r="D336" s="13" t="s">
        <v>8</v>
      </c>
      <c r="E336" s="14" t="s">
        <v>2999</v>
      </c>
      <c r="F336" s="14" t="s">
        <v>56</v>
      </c>
      <c r="G336" s="13"/>
      <c r="H336" s="14">
        <f t="shared" si="12"/>
        <v>1</v>
      </c>
      <c r="I336" s="14">
        <v>1</v>
      </c>
      <c r="J336" s="14">
        <v>1</v>
      </c>
      <c r="K336" s="13" t="s">
        <v>1322</v>
      </c>
      <c r="L336" s="14" t="s">
        <v>164</v>
      </c>
      <c r="M336" s="14">
        <v>616</v>
      </c>
      <c r="N336" s="14">
        <v>213</v>
      </c>
      <c r="O336" s="14">
        <v>261600</v>
      </c>
      <c r="P336" s="14">
        <v>321300</v>
      </c>
      <c r="Q336" s="14"/>
    </row>
    <row r="337" spans="1:17" x14ac:dyDescent="0.25">
      <c r="A337" s="11" t="s">
        <v>2684</v>
      </c>
      <c r="B337" s="13" t="s">
        <v>161</v>
      </c>
      <c r="C337" s="62" t="s">
        <v>2761</v>
      </c>
      <c r="D337" s="13" t="s">
        <v>18</v>
      </c>
      <c r="E337" s="14" t="s">
        <v>246</v>
      </c>
      <c r="F337" s="14" t="s">
        <v>56</v>
      </c>
      <c r="G337" s="13"/>
      <c r="H337" s="14">
        <f t="shared" si="12"/>
        <v>3</v>
      </c>
      <c r="I337" s="14">
        <v>3</v>
      </c>
      <c r="J337" s="14">
        <v>1</v>
      </c>
      <c r="K337" s="13" t="s">
        <v>2752</v>
      </c>
      <c r="L337" s="14" t="s">
        <v>164</v>
      </c>
      <c r="M337" s="14">
        <v>5938</v>
      </c>
      <c r="N337" s="14">
        <v>7104</v>
      </c>
      <c r="O337" s="14">
        <v>259380</v>
      </c>
      <c r="P337" s="14">
        <v>371040</v>
      </c>
      <c r="Q337" s="14"/>
    </row>
    <row r="338" spans="1:17" x14ac:dyDescent="0.25">
      <c r="A338" s="11" t="s">
        <v>2684</v>
      </c>
      <c r="B338" s="13" t="s">
        <v>161</v>
      </c>
      <c r="C338" s="62" t="s">
        <v>2762</v>
      </c>
      <c r="D338" s="13" t="s">
        <v>18</v>
      </c>
      <c r="E338" s="14" t="s">
        <v>246</v>
      </c>
      <c r="F338" s="14" t="s">
        <v>56</v>
      </c>
      <c r="G338" s="13"/>
      <c r="H338" s="14">
        <f t="shared" si="12"/>
        <v>2</v>
      </c>
      <c r="I338" s="14">
        <v>2</v>
      </c>
      <c r="J338" s="14">
        <v>1</v>
      </c>
      <c r="K338" s="13" t="s">
        <v>2752</v>
      </c>
      <c r="L338" s="14" t="s">
        <v>164</v>
      </c>
      <c r="M338" s="14">
        <v>5938</v>
      </c>
      <c r="N338" s="14">
        <v>7104</v>
      </c>
      <c r="O338" s="14">
        <v>259380</v>
      </c>
      <c r="P338" s="14">
        <v>371040</v>
      </c>
      <c r="Q338" s="14"/>
    </row>
    <row r="339" spans="1:17" s="57" customFormat="1" x14ac:dyDescent="0.25">
      <c r="A339" s="11" t="s">
        <v>2684</v>
      </c>
      <c r="B339" s="55" t="s">
        <v>161</v>
      </c>
      <c r="C339" s="64" t="s">
        <v>3095</v>
      </c>
      <c r="D339" s="55" t="s">
        <v>1153</v>
      </c>
      <c r="E339" s="57" t="s">
        <v>3096</v>
      </c>
      <c r="F339" s="57" t="s">
        <v>56</v>
      </c>
      <c r="G339" s="55"/>
      <c r="H339" s="57">
        <f t="shared" si="12"/>
        <v>1</v>
      </c>
      <c r="I339" s="57">
        <v>1</v>
      </c>
      <c r="J339" s="57">
        <v>1</v>
      </c>
      <c r="K339" s="55" t="s">
        <v>3084</v>
      </c>
      <c r="L339" s="57" t="s">
        <v>164</v>
      </c>
      <c r="M339" s="57">
        <v>4449</v>
      </c>
      <c r="N339" s="57">
        <v>5414</v>
      </c>
      <c r="O339" s="57">
        <v>244490</v>
      </c>
      <c r="P339" s="57">
        <v>354140</v>
      </c>
    </row>
    <row r="340" spans="1:17" ht="22.5" x14ac:dyDescent="0.25">
      <c r="A340" s="11" t="s">
        <v>2684</v>
      </c>
      <c r="B340" s="13" t="s">
        <v>161</v>
      </c>
      <c r="C340" s="61" t="s">
        <v>3008</v>
      </c>
      <c r="D340" s="13" t="s">
        <v>8</v>
      </c>
      <c r="E340" s="14" t="s">
        <v>826</v>
      </c>
      <c r="F340" s="14" t="s">
        <v>56</v>
      </c>
      <c r="G340" s="13"/>
      <c r="H340" s="14">
        <f t="shared" si="12"/>
        <v>1</v>
      </c>
      <c r="I340" s="14">
        <v>1</v>
      </c>
      <c r="J340" s="14">
        <v>1</v>
      </c>
      <c r="K340" s="13" t="s">
        <v>1322</v>
      </c>
      <c r="L340" s="14" t="s">
        <v>164</v>
      </c>
      <c r="M340" s="14">
        <v>723</v>
      </c>
      <c r="N340" s="14">
        <v>746</v>
      </c>
      <c r="O340" s="14">
        <v>272300</v>
      </c>
      <c r="P340" s="14">
        <v>374600</v>
      </c>
      <c r="Q340" s="14"/>
    </row>
    <row r="341" spans="1:17" ht="22.5" x14ac:dyDescent="0.25">
      <c r="A341" s="11" t="s">
        <v>2684</v>
      </c>
      <c r="B341" s="13" t="s">
        <v>66</v>
      </c>
      <c r="C341" s="62" t="s">
        <v>2961</v>
      </c>
      <c r="D341" s="13" t="s">
        <v>2939</v>
      </c>
      <c r="E341" s="14" t="s">
        <v>878</v>
      </c>
      <c r="F341" s="14" t="s">
        <v>56</v>
      </c>
      <c r="G341" s="13"/>
      <c r="H341" s="14">
        <f t="shared" si="12"/>
        <v>1</v>
      </c>
      <c r="I341" s="14">
        <v>1</v>
      </c>
      <c r="J341" s="14">
        <v>1</v>
      </c>
      <c r="K341" s="13" t="s">
        <v>1252</v>
      </c>
      <c r="L341" s="14" t="s">
        <v>113</v>
      </c>
      <c r="M341" s="14">
        <v>126</v>
      </c>
      <c r="N341" s="14">
        <v>865</v>
      </c>
      <c r="O341" s="14">
        <v>312600</v>
      </c>
      <c r="P341" s="14">
        <v>286500</v>
      </c>
      <c r="Q341" s="14"/>
    </row>
    <row r="342" spans="1:17" x14ac:dyDescent="0.25">
      <c r="A342" s="11" t="s">
        <v>2684</v>
      </c>
      <c r="B342" s="13" t="s">
        <v>66</v>
      </c>
      <c r="C342" s="62" t="s">
        <v>3094</v>
      </c>
      <c r="D342" s="13" t="s">
        <v>1153</v>
      </c>
      <c r="E342" s="14" t="s">
        <v>2009</v>
      </c>
      <c r="F342" s="14" t="s">
        <v>56</v>
      </c>
      <c r="G342" s="13"/>
      <c r="H342" s="14">
        <f t="shared" si="12"/>
        <v>1</v>
      </c>
      <c r="I342" s="14">
        <v>1</v>
      </c>
      <c r="J342" s="14">
        <v>1</v>
      </c>
      <c r="K342" s="13" t="s">
        <v>3084</v>
      </c>
      <c r="L342" s="14" t="s">
        <v>113</v>
      </c>
      <c r="M342" s="14">
        <v>2324</v>
      </c>
      <c r="N342" s="14">
        <v>1686</v>
      </c>
      <c r="O342" s="14">
        <v>323240</v>
      </c>
      <c r="P342" s="14">
        <v>216860</v>
      </c>
      <c r="Q342" s="14"/>
    </row>
    <row r="343" spans="1:17" x14ac:dyDescent="0.25">
      <c r="A343" s="11" t="s">
        <v>2684</v>
      </c>
      <c r="B343" s="13" t="s">
        <v>66</v>
      </c>
      <c r="C343" s="62" t="s">
        <v>3093</v>
      </c>
      <c r="D343" s="13" t="s">
        <v>1153</v>
      </c>
      <c r="E343" s="14" t="s">
        <v>2009</v>
      </c>
      <c r="F343" s="14" t="s">
        <v>56</v>
      </c>
      <c r="G343" s="13"/>
      <c r="H343" s="14">
        <f t="shared" si="12"/>
        <v>1</v>
      </c>
      <c r="I343" s="14">
        <v>1</v>
      </c>
      <c r="J343" s="14">
        <v>1</v>
      </c>
      <c r="K343" s="13" t="s">
        <v>3084</v>
      </c>
      <c r="L343" s="14" t="s">
        <v>113</v>
      </c>
      <c r="M343" s="14">
        <v>182</v>
      </c>
      <c r="N343" s="14">
        <v>198</v>
      </c>
      <c r="O343" s="14">
        <v>318200</v>
      </c>
      <c r="P343" s="14">
        <v>219800</v>
      </c>
      <c r="Q343" s="14"/>
    </row>
    <row r="344" spans="1:17" x14ac:dyDescent="0.25">
      <c r="A344" s="11" t="s">
        <v>2684</v>
      </c>
      <c r="B344" s="13" t="s">
        <v>66</v>
      </c>
      <c r="C344" s="62" t="s">
        <v>3002</v>
      </c>
      <c r="D344" s="13" t="s">
        <v>2977</v>
      </c>
      <c r="E344" s="14" t="s">
        <v>570</v>
      </c>
      <c r="F344" s="14" t="s">
        <v>56</v>
      </c>
      <c r="G344" s="13"/>
      <c r="H344" s="14">
        <f t="shared" si="12"/>
        <v>1</v>
      </c>
      <c r="I344" s="14">
        <v>1</v>
      </c>
      <c r="J344" s="14">
        <v>1</v>
      </c>
      <c r="K344" s="13" t="s">
        <v>1322</v>
      </c>
      <c r="L344" s="14" t="s">
        <v>164</v>
      </c>
      <c r="M344" s="14">
        <v>903</v>
      </c>
      <c r="N344" s="14">
        <v>5</v>
      </c>
      <c r="O344" s="14">
        <v>290300</v>
      </c>
      <c r="P344" s="14">
        <v>300500</v>
      </c>
      <c r="Q344" s="14"/>
    </row>
    <row r="345" spans="1:17" x14ac:dyDescent="0.25">
      <c r="A345" s="11" t="s">
        <v>2684</v>
      </c>
      <c r="B345" s="13" t="s">
        <v>66</v>
      </c>
      <c r="C345" s="62" t="s">
        <v>3001</v>
      </c>
      <c r="D345" s="13" t="s">
        <v>2977</v>
      </c>
      <c r="E345" s="14" t="s">
        <v>2009</v>
      </c>
      <c r="F345" s="14" t="s">
        <v>56</v>
      </c>
      <c r="G345" s="13"/>
      <c r="H345" s="14">
        <f t="shared" si="12"/>
        <v>1</v>
      </c>
      <c r="I345" s="14">
        <v>1</v>
      </c>
      <c r="J345" s="14">
        <v>1</v>
      </c>
      <c r="K345" s="13" t="s">
        <v>1322</v>
      </c>
      <c r="L345" s="14" t="s">
        <v>153</v>
      </c>
      <c r="M345" s="14">
        <v>819</v>
      </c>
      <c r="N345" s="14">
        <v>258</v>
      </c>
      <c r="O345" s="14">
        <v>281900</v>
      </c>
      <c r="P345" s="14">
        <v>225800</v>
      </c>
      <c r="Q345" s="14"/>
    </row>
    <row r="346" spans="1:17" x14ac:dyDescent="0.25">
      <c r="A346" s="11" t="s">
        <v>2684</v>
      </c>
      <c r="B346" s="13" t="s">
        <v>66</v>
      </c>
      <c r="C346" s="62" t="s">
        <v>3104</v>
      </c>
      <c r="D346" s="13" t="s">
        <v>121</v>
      </c>
      <c r="E346" s="14" t="s">
        <v>2009</v>
      </c>
      <c r="F346" s="14" t="s">
        <v>56</v>
      </c>
      <c r="G346" s="13"/>
      <c r="H346" s="14">
        <f t="shared" si="12"/>
        <v>1</v>
      </c>
      <c r="I346" s="14">
        <v>1</v>
      </c>
      <c r="J346" s="14">
        <v>1</v>
      </c>
      <c r="K346" s="13" t="s">
        <v>1552</v>
      </c>
      <c r="L346" s="14" t="s">
        <v>153</v>
      </c>
      <c r="M346" s="14">
        <v>8330</v>
      </c>
      <c r="N346" s="14">
        <v>1534</v>
      </c>
      <c r="O346" s="14">
        <v>283300</v>
      </c>
      <c r="P346" s="14">
        <v>215340</v>
      </c>
      <c r="Q346" s="14"/>
    </row>
    <row r="347" spans="1:17" x14ac:dyDescent="0.25">
      <c r="A347" s="11" t="s">
        <v>2684</v>
      </c>
      <c r="B347" s="13" t="s">
        <v>66</v>
      </c>
      <c r="C347" s="62" t="s">
        <v>3000</v>
      </c>
      <c r="D347" s="13" t="s">
        <v>2977</v>
      </c>
      <c r="E347" s="14" t="s">
        <v>2009</v>
      </c>
      <c r="F347" s="14" t="s">
        <v>56</v>
      </c>
      <c r="G347" s="13"/>
      <c r="H347" s="14">
        <f t="shared" si="12"/>
        <v>1</v>
      </c>
      <c r="I347" s="14">
        <v>1</v>
      </c>
      <c r="J347" s="14">
        <v>1</v>
      </c>
      <c r="K347" s="13" t="s">
        <v>1322</v>
      </c>
      <c r="L347" s="14" t="s">
        <v>153</v>
      </c>
      <c r="M347" s="14">
        <v>833</v>
      </c>
      <c r="N347" s="14">
        <v>310</v>
      </c>
      <c r="O347" s="14">
        <v>283300</v>
      </c>
      <c r="P347" s="14">
        <v>231000</v>
      </c>
      <c r="Q347" s="14"/>
    </row>
    <row r="348" spans="1:17" ht="22.5" x14ac:dyDescent="0.25">
      <c r="A348" s="11" t="s">
        <v>2684</v>
      </c>
      <c r="B348" s="13" t="s">
        <v>66</v>
      </c>
      <c r="C348" s="62" t="s">
        <v>2696</v>
      </c>
      <c r="D348" s="13" t="s">
        <v>41</v>
      </c>
      <c r="E348" s="14" t="s">
        <v>190</v>
      </c>
      <c r="F348" s="14" t="s">
        <v>56</v>
      </c>
      <c r="G348" s="13"/>
      <c r="H348" s="14">
        <f t="shared" si="12"/>
        <v>1</v>
      </c>
      <c r="I348" s="14">
        <v>1</v>
      </c>
      <c r="J348" s="14">
        <v>1</v>
      </c>
      <c r="K348" s="13" t="s">
        <v>459</v>
      </c>
      <c r="L348" s="14" t="s">
        <v>189</v>
      </c>
      <c r="M348" s="14">
        <v>72</v>
      </c>
      <c r="N348" s="14">
        <v>7246</v>
      </c>
      <c r="O348" s="14">
        <v>300720</v>
      </c>
      <c r="P348" s="14">
        <v>372460</v>
      </c>
      <c r="Q348" s="14"/>
    </row>
    <row r="349" spans="1:17" ht="22.5" x14ac:dyDescent="0.25">
      <c r="A349" s="11" t="s">
        <v>2684</v>
      </c>
      <c r="B349" s="13" t="s">
        <v>778</v>
      </c>
      <c r="C349" s="62" t="s">
        <v>943</v>
      </c>
      <c r="D349" s="13" t="s">
        <v>151</v>
      </c>
      <c r="E349" s="14" t="s">
        <v>778</v>
      </c>
      <c r="F349" s="13" t="s">
        <v>776</v>
      </c>
      <c r="G349" s="13">
        <v>1</v>
      </c>
      <c r="H349" s="14">
        <f t="shared" si="12"/>
        <v>1</v>
      </c>
      <c r="J349" s="14">
        <v>1</v>
      </c>
      <c r="K349" s="13" t="s">
        <v>2643</v>
      </c>
      <c r="L349" s="14" t="s">
        <v>781</v>
      </c>
      <c r="M349" s="14">
        <v>193</v>
      </c>
      <c r="N349" s="14">
        <v>268</v>
      </c>
      <c r="Q349" s="14"/>
    </row>
    <row r="350" spans="1:17" ht="22.5" x14ac:dyDescent="0.25">
      <c r="A350" s="11" t="s">
        <v>2684</v>
      </c>
      <c r="B350" s="13" t="s">
        <v>1444</v>
      </c>
      <c r="C350" s="62" t="s">
        <v>1773</v>
      </c>
      <c r="D350" s="13" t="s">
        <v>39</v>
      </c>
      <c r="E350" s="14" t="s">
        <v>1774</v>
      </c>
      <c r="F350" s="13" t="s">
        <v>776</v>
      </c>
      <c r="G350" s="13"/>
      <c r="H350" s="14">
        <f t="shared" si="12"/>
        <v>1</v>
      </c>
      <c r="I350" s="14">
        <v>1</v>
      </c>
      <c r="J350" s="14">
        <v>1</v>
      </c>
      <c r="K350" s="13" t="s">
        <v>1036</v>
      </c>
      <c r="L350" s="14" t="s">
        <v>992</v>
      </c>
      <c r="M350" s="14">
        <v>938</v>
      </c>
      <c r="N350" s="14">
        <v>640</v>
      </c>
      <c r="O350" s="65"/>
      <c r="P350" s="65"/>
      <c r="Q350" s="14"/>
    </row>
    <row r="351" spans="1:17" ht="22.5" x14ac:dyDescent="0.25">
      <c r="A351" s="11" t="s">
        <v>2684</v>
      </c>
      <c r="B351" s="13" t="s">
        <v>1968</v>
      </c>
      <c r="C351" s="62" t="s">
        <v>2741</v>
      </c>
      <c r="D351" s="13" t="s">
        <v>2618</v>
      </c>
      <c r="E351" s="14" t="s">
        <v>1968</v>
      </c>
      <c r="F351" s="13" t="s">
        <v>776</v>
      </c>
      <c r="G351" s="13"/>
      <c r="H351" s="14">
        <f t="shared" si="12"/>
        <v>1</v>
      </c>
      <c r="I351" s="14">
        <v>1</v>
      </c>
      <c r="J351" s="14">
        <v>1</v>
      </c>
      <c r="K351" s="13" t="s">
        <v>559</v>
      </c>
      <c r="L351" s="14" t="s">
        <v>1348</v>
      </c>
      <c r="M351" s="14">
        <v>729</v>
      </c>
      <c r="N351" s="14">
        <v>77</v>
      </c>
      <c r="O351" s="65"/>
      <c r="P351" s="65"/>
      <c r="Q351" s="14"/>
    </row>
    <row r="352" spans="1:17" ht="22.5" x14ac:dyDescent="0.25">
      <c r="A352" s="11" t="s">
        <v>2684</v>
      </c>
      <c r="B352" s="13" t="s">
        <v>1968</v>
      </c>
      <c r="C352" s="62" t="s">
        <v>1999</v>
      </c>
      <c r="D352" s="13" t="s">
        <v>780</v>
      </c>
      <c r="E352" s="14" t="s">
        <v>2000</v>
      </c>
      <c r="F352" s="13" t="s">
        <v>776</v>
      </c>
      <c r="G352" s="13"/>
      <c r="H352" s="14">
        <f t="shared" si="12"/>
        <v>1</v>
      </c>
      <c r="I352" s="14">
        <v>1</v>
      </c>
      <c r="J352" s="14">
        <v>1</v>
      </c>
      <c r="K352" s="13" t="s">
        <v>546</v>
      </c>
      <c r="L352" s="14" t="s">
        <v>992</v>
      </c>
      <c r="M352" s="14">
        <v>644</v>
      </c>
      <c r="N352" s="14">
        <v>125</v>
      </c>
      <c r="O352" s="65"/>
      <c r="P352" s="65"/>
      <c r="Q352" s="14"/>
    </row>
    <row r="353" spans="1:17" ht="22.5" x14ac:dyDescent="0.25">
      <c r="A353" s="11" t="s">
        <v>2684</v>
      </c>
      <c r="B353" s="13" t="s">
        <v>1099</v>
      </c>
      <c r="C353" s="62" t="s">
        <v>1292</v>
      </c>
      <c r="D353" s="13" t="s">
        <v>39</v>
      </c>
      <c r="E353" s="14" t="s">
        <v>1292</v>
      </c>
      <c r="F353" s="13" t="s">
        <v>776</v>
      </c>
      <c r="G353" s="13"/>
      <c r="H353" s="14">
        <f t="shared" si="12"/>
        <v>3</v>
      </c>
      <c r="I353" s="14">
        <v>3</v>
      </c>
      <c r="J353" s="14">
        <v>2</v>
      </c>
      <c r="K353" s="13" t="s">
        <v>2352</v>
      </c>
      <c r="L353" s="14" t="s">
        <v>782</v>
      </c>
      <c r="M353" s="14">
        <v>486</v>
      </c>
      <c r="N353" s="14">
        <v>450</v>
      </c>
      <c r="O353" s="65"/>
      <c r="P353" s="65"/>
      <c r="Q353" s="14"/>
    </row>
    <row r="354" spans="1:17" ht="22.5" x14ac:dyDescent="0.25">
      <c r="A354" s="11" t="s">
        <v>2684</v>
      </c>
      <c r="B354" s="13" t="s">
        <v>1099</v>
      </c>
      <c r="C354" s="62" t="s">
        <v>2743</v>
      </c>
      <c r="D354" s="13" t="s">
        <v>220</v>
      </c>
      <c r="E354" s="14" t="s">
        <v>1099</v>
      </c>
      <c r="F354" s="13" t="s">
        <v>776</v>
      </c>
      <c r="G354" s="13"/>
      <c r="H354" s="14">
        <f t="shared" si="12"/>
        <v>1</v>
      </c>
      <c r="I354" s="14">
        <v>1</v>
      </c>
      <c r="J354" s="14">
        <v>1</v>
      </c>
      <c r="K354" s="13" t="s">
        <v>559</v>
      </c>
      <c r="L354" s="14" t="s">
        <v>782</v>
      </c>
      <c r="M354" s="14">
        <v>232</v>
      </c>
      <c r="N354" s="14">
        <v>154</v>
      </c>
      <c r="O354" s="65"/>
      <c r="P354" s="65"/>
      <c r="Q354" s="14"/>
    </row>
    <row r="355" spans="1:17" ht="22.5" x14ac:dyDescent="0.25">
      <c r="A355" s="11" t="s">
        <v>2684</v>
      </c>
      <c r="B355" s="13" t="s">
        <v>1099</v>
      </c>
      <c r="C355" s="62" t="s">
        <v>1101</v>
      </c>
      <c r="D355" s="13" t="s">
        <v>18</v>
      </c>
      <c r="E355" s="14" t="s">
        <v>1100</v>
      </c>
      <c r="F355" s="13" t="s">
        <v>776</v>
      </c>
      <c r="G355" s="13"/>
      <c r="H355" s="14">
        <f t="shared" si="12"/>
        <v>1</v>
      </c>
      <c r="I355" s="14">
        <v>1</v>
      </c>
      <c r="J355" s="14">
        <v>1</v>
      </c>
      <c r="K355" s="13" t="s">
        <v>1396</v>
      </c>
      <c r="L355" s="14" t="s">
        <v>782</v>
      </c>
      <c r="M355" s="14">
        <v>327</v>
      </c>
      <c r="N355" s="14">
        <v>677</v>
      </c>
      <c r="Q355" s="14"/>
    </row>
    <row r="356" spans="1:17" ht="22.5" x14ac:dyDescent="0.25">
      <c r="A356" s="11" t="s">
        <v>2684</v>
      </c>
      <c r="B356" s="13" t="s">
        <v>1264</v>
      </c>
      <c r="C356" s="62" t="s">
        <v>2739</v>
      </c>
      <c r="D356" s="13" t="s">
        <v>780</v>
      </c>
      <c r="E356" s="14" t="s">
        <v>2740</v>
      </c>
      <c r="F356" s="13" t="s">
        <v>776</v>
      </c>
      <c r="G356" s="13"/>
      <c r="H356" s="14">
        <f t="shared" si="12"/>
        <v>1</v>
      </c>
      <c r="I356" s="14">
        <v>1</v>
      </c>
      <c r="J356" s="14">
        <v>1</v>
      </c>
      <c r="K356" s="13" t="s">
        <v>546</v>
      </c>
      <c r="L356" s="14" t="s">
        <v>992</v>
      </c>
      <c r="M356" s="14">
        <v>344</v>
      </c>
      <c r="N356" s="14">
        <v>886</v>
      </c>
      <c r="O356" s="65"/>
      <c r="P356" s="65"/>
      <c r="Q356" s="14"/>
    </row>
    <row r="357" spans="1:17" ht="22.5" x14ac:dyDescent="0.25">
      <c r="A357" s="11" t="s">
        <v>2684</v>
      </c>
      <c r="B357" s="13" t="s">
        <v>1264</v>
      </c>
      <c r="C357" s="62" t="s">
        <v>2147</v>
      </c>
      <c r="D357" s="13" t="s">
        <v>2802</v>
      </c>
      <c r="E357" s="14" t="s">
        <v>1646</v>
      </c>
      <c r="F357" s="13" t="s">
        <v>776</v>
      </c>
      <c r="G357" s="13"/>
      <c r="H357" s="14">
        <f t="shared" si="12"/>
        <v>1</v>
      </c>
      <c r="I357" s="14">
        <v>1</v>
      </c>
      <c r="J357" s="14">
        <v>1</v>
      </c>
      <c r="K357" s="13" t="s">
        <v>1396</v>
      </c>
      <c r="L357" s="14" t="s">
        <v>992</v>
      </c>
      <c r="M357" s="14">
        <v>624</v>
      </c>
      <c r="N357" s="14">
        <v>845</v>
      </c>
      <c r="O357" s="65"/>
      <c r="P357" s="65"/>
      <c r="Q357" s="14"/>
    </row>
    <row r="358" spans="1:17" x14ac:dyDescent="0.25">
      <c r="A358" s="11" t="s">
        <v>2684</v>
      </c>
      <c r="B358" s="13" t="s">
        <v>1157</v>
      </c>
      <c r="C358" s="62" t="s">
        <v>2742</v>
      </c>
      <c r="D358" s="13" t="s">
        <v>2620</v>
      </c>
      <c r="E358" s="14" t="s">
        <v>2619</v>
      </c>
      <c r="F358" s="13" t="s">
        <v>773</v>
      </c>
      <c r="G358" s="13"/>
      <c r="H358" s="14">
        <f t="shared" si="12"/>
        <v>1</v>
      </c>
      <c r="I358" s="14">
        <v>1</v>
      </c>
      <c r="J358" s="14">
        <v>1</v>
      </c>
      <c r="K358" s="13" t="s">
        <v>559</v>
      </c>
      <c r="L358" s="14" t="s">
        <v>808</v>
      </c>
      <c r="M358" s="14">
        <v>307</v>
      </c>
      <c r="N358" s="14">
        <v>978</v>
      </c>
      <c r="Q358" s="14"/>
    </row>
    <row r="359" spans="1:17" x14ac:dyDescent="0.25">
      <c r="A359" s="11" t="s">
        <v>2684</v>
      </c>
      <c r="B359" s="13" t="s">
        <v>1248</v>
      </c>
      <c r="C359" s="62" t="s">
        <v>2669</v>
      </c>
      <c r="D359" s="13" t="s">
        <v>39</v>
      </c>
      <c r="E359" s="14" t="s">
        <v>1248</v>
      </c>
      <c r="F359" s="13" t="s">
        <v>773</v>
      </c>
      <c r="G359" s="13"/>
      <c r="H359" s="14">
        <f t="shared" si="12"/>
        <v>1</v>
      </c>
      <c r="I359" s="14">
        <v>1</v>
      </c>
      <c r="J359" s="14">
        <v>1</v>
      </c>
      <c r="K359" s="13" t="s">
        <v>1036</v>
      </c>
      <c r="Q359" s="14"/>
    </row>
    <row r="360" spans="1:17" x14ac:dyDescent="0.25">
      <c r="A360" s="11" t="s">
        <v>2684</v>
      </c>
      <c r="B360" s="13" t="s">
        <v>1688</v>
      </c>
      <c r="C360" s="62" t="s">
        <v>2623</v>
      </c>
      <c r="D360" s="13" t="s">
        <v>780</v>
      </c>
      <c r="E360" s="14" t="s">
        <v>2622</v>
      </c>
      <c r="F360" s="13" t="s">
        <v>773</v>
      </c>
      <c r="G360" s="13"/>
      <c r="H360" s="14">
        <f t="shared" ref="H360:H391" si="13">G360+I360</f>
        <v>1</v>
      </c>
      <c r="I360" s="14">
        <v>1</v>
      </c>
      <c r="J360" s="14">
        <v>1</v>
      </c>
      <c r="K360" s="13" t="s">
        <v>546</v>
      </c>
      <c r="L360" s="14" t="s">
        <v>802</v>
      </c>
      <c r="M360" s="14">
        <v>518</v>
      </c>
      <c r="N360" s="14">
        <v>826</v>
      </c>
      <c r="Q360" s="14"/>
    </row>
    <row r="361" spans="1:17" ht="22.5" x14ac:dyDescent="0.25">
      <c r="A361" s="11" t="s">
        <v>2684</v>
      </c>
      <c r="B361" s="13" t="s">
        <v>793</v>
      </c>
      <c r="C361" s="61" t="s">
        <v>2744</v>
      </c>
      <c r="D361" s="13" t="s">
        <v>220</v>
      </c>
      <c r="E361" s="14" t="s">
        <v>2745</v>
      </c>
      <c r="F361" s="13" t="s">
        <v>773</v>
      </c>
      <c r="G361" s="13"/>
      <c r="H361" s="14">
        <f t="shared" si="13"/>
        <v>1</v>
      </c>
      <c r="I361" s="14">
        <v>1</v>
      </c>
      <c r="J361" s="14">
        <v>1</v>
      </c>
      <c r="K361" s="13" t="s">
        <v>559</v>
      </c>
      <c r="L361" s="14" t="s">
        <v>798</v>
      </c>
      <c r="M361" s="14">
        <v>229</v>
      </c>
      <c r="N361" s="14">
        <v>241</v>
      </c>
      <c r="Q361" s="14"/>
    </row>
    <row r="362" spans="1:17" x14ac:dyDescent="0.25">
      <c r="A362" s="11" t="s">
        <v>2684</v>
      </c>
      <c r="B362" s="13" t="s">
        <v>1666</v>
      </c>
      <c r="C362" s="62" t="s">
        <v>2805</v>
      </c>
      <c r="D362" s="13" t="s">
        <v>18</v>
      </c>
      <c r="E362" s="14" t="s">
        <v>1666</v>
      </c>
      <c r="F362" s="13" t="s">
        <v>773</v>
      </c>
      <c r="G362" s="13"/>
      <c r="H362" s="14">
        <f t="shared" si="13"/>
        <v>1</v>
      </c>
      <c r="I362" s="14">
        <v>1</v>
      </c>
      <c r="J362" s="14">
        <v>1</v>
      </c>
      <c r="K362" s="13" t="s">
        <v>1396</v>
      </c>
      <c r="L362" s="14" t="s">
        <v>1160</v>
      </c>
      <c r="M362" s="14">
        <v>645</v>
      </c>
      <c r="N362" s="14">
        <v>154</v>
      </c>
      <c r="Q362" s="14"/>
    </row>
    <row r="363" spans="1:17" x14ac:dyDescent="0.25">
      <c r="A363" s="11" t="s">
        <v>2684</v>
      </c>
      <c r="B363" s="13" t="s">
        <v>1977</v>
      </c>
      <c r="C363" s="62" t="s">
        <v>2815</v>
      </c>
      <c r="D363" s="13" t="s">
        <v>2435</v>
      </c>
      <c r="E363" s="14" t="s">
        <v>1977</v>
      </c>
      <c r="F363" s="13" t="s">
        <v>773</v>
      </c>
      <c r="G363" s="13"/>
      <c r="H363" s="14">
        <f t="shared" si="13"/>
        <v>1</v>
      </c>
      <c r="I363" s="14">
        <v>1</v>
      </c>
      <c r="J363" s="14">
        <v>1</v>
      </c>
      <c r="K363" s="13" t="s">
        <v>1396</v>
      </c>
      <c r="L363" s="14" t="s">
        <v>667</v>
      </c>
      <c r="M363" s="14">
        <v>741</v>
      </c>
      <c r="N363" s="14">
        <v>141</v>
      </c>
      <c r="O363" s="65"/>
      <c r="P363" s="65"/>
      <c r="Q363" s="14"/>
    </row>
    <row r="364" spans="1:17" x14ac:dyDescent="0.25">
      <c r="A364" s="11" t="s">
        <v>2684</v>
      </c>
      <c r="B364" s="13" t="s">
        <v>1977</v>
      </c>
      <c r="C364" s="62" t="s">
        <v>2816</v>
      </c>
      <c r="D364" s="13" t="s">
        <v>18</v>
      </c>
      <c r="E364" s="14" t="s">
        <v>1977</v>
      </c>
      <c r="F364" s="13" t="s">
        <v>773</v>
      </c>
      <c r="G364" s="13"/>
      <c r="H364" s="14">
        <f t="shared" si="13"/>
        <v>1</v>
      </c>
      <c r="I364" s="14">
        <v>1</v>
      </c>
      <c r="J364" s="14">
        <v>1</v>
      </c>
      <c r="K364" s="13" t="s">
        <v>1396</v>
      </c>
      <c r="L364" s="14" t="s">
        <v>667</v>
      </c>
      <c r="M364" s="14">
        <v>750</v>
      </c>
      <c r="N364" s="14">
        <v>143</v>
      </c>
      <c r="O364" s="65"/>
      <c r="P364" s="65"/>
      <c r="Q364" s="14"/>
    </row>
    <row r="365" spans="1:17" x14ac:dyDescent="0.25">
      <c r="A365" s="11" t="s">
        <v>2684</v>
      </c>
      <c r="B365" s="13" t="s">
        <v>1977</v>
      </c>
      <c r="C365" s="62" t="s">
        <v>2817</v>
      </c>
      <c r="D365" s="13" t="s">
        <v>18</v>
      </c>
      <c r="E365" s="14" t="s">
        <v>1977</v>
      </c>
      <c r="F365" s="13" t="s">
        <v>773</v>
      </c>
      <c r="G365" s="13"/>
      <c r="H365" s="14">
        <f t="shared" si="13"/>
        <v>1</v>
      </c>
      <c r="I365" s="14">
        <v>1</v>
      </c>
      <c r="J365" s="14">
        <v>1</v>
      </c>
      <c r="K365" s="13" t="s">
        <v>1396</v>
      </c>
      <c r="L365" s="14" t="s">
        <v>667</v>
      </c>
      <c r="M365" s="14">
        <v>750</v>
      </c>
      <c r="N365" s="14">
        <v>144</v>
      </c>
      <c r="O365" s="65"/>
      <c r="P365" s="65"/>
      <c r="Q365" s="14"/>
    </row>
    <row r="366" spans="1:17" ht="22.5" x14ac:dyDescent="0.25">
      <c r="A366" s="11" t="s">
        <v>2684</v>
      </c>
      <c r="B366" s="13" t="s">
        <v>1977</v>
      </c>
      <c r="C366" s="62" t="s">
        <v>2148</v>
      </c>
      <c r="D366" s="13" t="s">
        <v>2149</v>
      </c>
      <c r="E366" s="14" t="s">
        <v>2150</v>
      </c>
      <c r="F366" s="13" t="s">
        <v>773</v>
      </c>
      <c r="G366" s="13"/>
      <c r="H366" s="14">
        <f t="shared" si="13"/>
        <v>2</v>
      </c>
      <c r="I366" s="14">
        <v>2</v>
      </c>
      <c r="J366" s="14">
        <v>2</v>
      </c>
      <c r="K366" s="13" t="s">
        <v>3091</v>
      </c>
      <c r="L366" s="14" t="s">
        <v>667</v>
      </c>
      <c r="M366" s="14">
        <v>937</v>
      </c>
      <c r="N366" s="14">
        <v>206</v>
      </c>
      <c r="O366" s="65"/>
      <c r="P366" s="65"/>
      <c r="Q366" s="14"/>
    </row>
    <row r="367" spans="1:17" ht="22.5" x14ac:dyDescent="0.25">
      <c r="A367" s="11" t="s">
        <v>2684</v>
      </c>
      <c r="B367" s="13" t="s">
        <v>1977</v>
      </c>
      <c r="C367" s="61" t="s">
        <v>3090</v>
      </c>
      <c r="D367" s="13" t="s">
        <v>1153</v>
      </c>
      <c r="E367" s="14" t="s">
        <v>2624</v>
      </c>
      <c r="F367" s="13" t="s">
        <v>773</v>
      </c>
      <c r="G367" s="13"/>
      <c r="H367" s="14">
        <f t="shared" si="13"/>
        <v>1</v>
      </c>
      <c r="I367" s="14">
        <v>1</v>
      </c>
      <c r="J367" s="14">
        <v>1</v>
      </c>
      <c r="K367" s="13" t="s">
        <v>3084</v>
      </c>
      <c r="L367" s="14" t="s">
        <v>667</v>
      </c>
      <c r="M367" s="14">
        <v>917</v>
      </c>
      <c r="N367" s="14">
        <v>165</v>
      </c>
      <c r="O367" s="65"/>
      <c r="P367" s="65"/>
      <c r="Q367" s="14"/>
    </row>
    <row r="368" spans="1:17" x14ac:dyDescent="0.25">
      <c r="A368" s="11" t="s">
        <v>2684</v>
      </c>
      <c r="B368" s="13" t="s">
        <v>804</v>
      </c>
      <c r="C368" s="62" t="s">
        <v>2804</v>
      </c>
      <c r="D368" s="13" t="s">
        <v>18</v>
      </c>
      <c r="E368" s="50" t="s">
        <v>1397</v>
      </c>
      <c r="F368" s="13" t="s">
        <v>773</v>
      </c>
      <c r="G368" s="13"/>
      <c r="H368" s="14">
        <f t="shared" si="13"/>
        <v>2</v>
      </c>
      <c r="I368" s="14">
        <v>2</v>
      </c>
      <c r="J368" s="14">
        <v>2</v>
      </c>
      <c r="K368" s="13" t="s">
        <v>1403</v>
      </c>
      <c r="L368" s="14" t="s">
        <v>808</v>
      </c>
      <c r="M368" s="14">
        <v>646</v>
      </c>
      <c r="N368" s="14">
        <v>403</v>
      </c>
      <c r="O368" s="65"/>
      <c r="P368" s="65"/>
      <c r="Q368" s="14"/>
    </row>
    <row r="369" spans="1:17" ht="22.5" x14ac:dyDescent="0.25">
      <c r="A369" s="11" t="s">
        <v>2684</v>
      </c>
      <c r="B369" s="13" t="s">
        <v>804</v>
      </c>
      <c r="C369" s="62" t="s">
        <v>1397</v>
      </c>
      <c r="D369" s="13" t="s">
        <v>41</v>
      </c>
      <c r="E369" s="50" t="s">
        <v>2803</v>
      </c>
      <c r="F369" s="13" t="s">
        <v>773</v>
      </c>
      <c r="G369" s="13">
        <v>3</v>
      </c>
      <c r="H369" s="14">
        <f t="shared" si="13"/>
        <v>3</v>
      </c>
      <c r="J369" s="14">
        <v>3</v>
      </c>
      <c r="K369" s="13" t="s">
        <v>3078</v>
      </c>
      <c r="L369" s="14" t="s">
        <v>808</v>
      </c>
      <c r="M369" s="14">
        <v>646</v>
      </c>
      <c r="N369" s="14">
        <v>403</v>
      </c>
      <c r="O369" s="65"/>
      <c r="P369" s="65"/>
      <c r="Q369" s="14"/>
    </row>
    <row r="370" spans="1:17" x14ac:dyDescent="0.25">
      <c r="A370" s="11" t="s">
        <v>2684</v>
      </c>
      <c r="B370" s="13" t="s">
        <v>804</v>
      </c>
      <c r="C370" s="62" t="s">
        <v>807</v>
      </c>
      <c r="D370" s="13" t="s">
        <v>39</v>
      </c>
      <c r="E370" s="14" t="s">
        <v>804</v>
      </c>
      <c r="F370" s="13" t="s">
        <v>773</v>
      </c>
      <c r="G370" s="13"/>
      <c r="H370" s="14">
        <f t="shared" si="13"/>
        <v>8</v>
      </c>
      <c r="I370" s="14">
        <v>8</v>
      </c>
      <c r="J370" s="14">
        <v>3</v>
      </c>
      <c r="K370" s="13" t="s">
        <v>2660</v>
      </c>
      <c r="L370" s="14" t="s">
        <v>808</v>
      </c>
      <c r="M370" s="14">
        <v>647</v>
      </c>
      <c r="N370" s="14">
        <v>415</v>
      </c>
      <c r="Q370" s="14"/>
    </row>
    <row r="371" spans="1:17" x14ac:dyDescent="0.25">
      <c r="A371" s="11" t="s">
        <v>2684</v>
      </c>
      <c r="B371" s="13" t="s">
        <v>984</v>
      </c>
      <c r="C371" s="61" t="s">
        <v>2625</v>
      </c>
      <c r="D371" s="13" t="s">
        <v>1159</v>
      </c>
      <c r="E371" s="14" t="s">
        <v>2626</v>
      </c>
      <c r="F371" s="13" t="s">
        <v>773</v>
      </c>
      <c r="G371" s="13"/>
      <c r="H371" s="14">
        <f t="shared" si="13"/>
        <v>1</v>
      </c>
      <c r="I371" s="14">
        <v>1</v>
      </c>
      <c r="J371" s="14">
        <v>1</v>
      </c>
      <c r="K371" s="13" t="s">
        <v>559</v>
      </c>
      <c r="L371" s="14" t="s">
        <v>782</v>
      </c>
      <c r="M371" s="14">
        <v>83</v>
      </c>
      <c r="N371" s="14">
        <v>110</v>
      </c>
      <c r="Q371" s="14"/>
    </row>
    <row r="372" spans="1:17" x14ac:dyDescent="0.25">
      <c r="A372" s="11" t="s">
        <v>2684</v>
      </c>
      <c r="B372" s="13" t="s">
        <v>785</v>
      </c>
      <c r="C372" s="62" t="s">
        <v>1204</v>
      </c>
      <c r="D372" s="13" t="s">
        <v>780</v>
      </c>
      <c r="E372" s="14" t="s">
        <v>1205</v>
      </c>
      <c r="F372" s="13" t="s">
        <v>773</v>
      </c>
      <c r="G372" s="13"/>
      <c r="H372" s="14">
        <f t="shared" si="13"/>
        <v>1</v>
      </c>
      <c r="I372" s="14">
        <v>1</v>
      </c>
      <c r="J372" s="14">
        <v>1</v>
      </c>
      <c r="K372" s="13" t="s">
        <v>546</v>
      </c>
      <c r="L372" s="14" t="s">
        <v>802</v>
      </c>
      <c r="M372" s="14">
        <v>97</v>
      </c>
      <c r="N372" s="14">
        <v>381</v>
      </c>
      <c r="Q372" s="14"/>
    </row>
    <row r="373" spans="1:17" ht="22.5" x14ac:dyDescent="0.25">
      <c r="A373" s="11" t="s">
        <v>2684</v>
      </c>
      <c r="B373" s="13" t="s">
        <v>795</v>
      </c>
      <c r="C373" s="62" t="s">
        <v>1237</v>
      </c>
      <c r="D373" s="13" t="s">
        <v>41</v>
      </c>
      <c r="E373" s="14" t="s">
        <v>797</v>
      </c>
      <c r="F373" s="13" t="s">
        <v>773</v>
      </c>
      <c r="G373" s="13"/>
      <c r="H373" s="14">
        <f t="shared" si="13"/>
        <v>2</v>
      </c>
      <c r="I373" s="14">
        <v>2</v>
      </c>
      <c r="J373" s="14">
        <v>2</v>
      </c>
      <c r="K373" s="13" t="s">
        <v>2812</v>
      </c>
      <c r="L373" s="14" t="s">
        <v>798</v>
      </c>
      <c r="M373" s="14">
        <v>24</v>
      </c>
      <c r="N373" s="14">
        <v>737</v>
      </c>
      <c r="Q373" s="14"/>
    </row>
    <row r="374" spans="1:17" ht="22.5" x14ac:dyDescent="0.25">
      <c r="A374" s="11" t="s">
        <v>2684</v>
      </c>
      <c r="B374" s="13" t="s">
        <v>795</v>
      </c>
      <c r="C374" s="62" t="s">
        <v>2719</v>
      </c>
      <c r="D374" s="13" t="s">
        <v>41</v>
      </c>
      <c r="E374" s="14" t="s">
        <v>797</v>
      </c>
      <c r="F374" s="13" t="s">
        <v>773</v>
      </c>
      <c r="G374" s="13"/>
      <c r="H374" s="14">
        <f t="shared" si="13"/>
        <v>1</v>
      </c>
      <c r="I374" s="14">
        <v>1</v>
      </c>
      <c r="J374" s="14">
        <v>1</v>
      </c>
      <c r="K374" s="13" t="s">
        <v>513</v>
      </c>
      <c r="L374" s="14" t="s">
        <v>798</v>
      </c>
      <c r="M374" s="14">
        <v>24</v>
      </c>
      <c r="N374" s="14">
        <v>737</v>
      </c>
      <c r="Q374" s="14"/>
    </row>
    <row r="375" spans="1:17" ht="22.5" x14ac:dyDescent="0.25">
      <c r="A375" s="11" t="s">
        <v>2684</v>
      </c>
      <c r="B375" s="13" t="s">
        <v>795</v>
      </c>
      <c r="C375" s="62" t="s">
        <v>2720</v>
      </c>
      <c r="D375" s="13" t="s">
        <v>41</v>
      </c>
      <c r="E375" s="14" t="s">
        <v>797</v>
      </c>
      <c r="F375" s="13" t="s">
        <v>773</v>
      </c>
      <c r="G375" s="13"/>
      <c r="H375" s="14">
        <f t="shared" si="13"/>
        <v>1</v>
      </c>
      <c r="I375" s="14">
        <v>1</v>
      </c>
      <c r="J375" s="14">
        <v>1</v>
      </c>
      <c r="K375" s="13" t="s">
        <v>763</v>
      </c>
      <c r="L375" s="14" t="s">
        <v>798</v>
      </c>
      <c r="M375" s="14">
        <v>24</v>
      </c>
      <c r="N375" s="14">
        <v>737</v>
      </c>
      <c r="Q375" s="14"/>
    </row>
    <row r="376" spans="1:17" x14ac:dyDescent="0.25">
      <c r="A376" s="11" t="s">
        <v>2684</v>
      </c>
      <c r="B376" s="13" t="s">
        <v>795</v>
      </c>
      <c r="C376" s="62" t="s">
        <v>2810</v>
      </c>
      <c r="D376" s="13" t="s">
        <v>18</v>
      </c>
      <c r="E376" s="14" t="s">
        <v>797</v>
      </c>
      <c r="F376" s="13" t="s">
        <v>773</v>
      </c>
      <c r="G376" s="13"/>
      <c r="H376" s="14">
        <f t="shared" si="13"/>
        <v>1</v>
      </c>
      <c r="I376" s="14">
        <v>1</v>
      </c>
      <c r="J376" s="14">
        <v>1</v>
      </c>
      <c r="K376" s="13" t="s">
        <v>1396</v>
      </c>
      <c r="L376" s="14" t="s">
        <v>798</v>
      </c>
      <c r="M376" s="14">
        <v>24</v>
      </c>
      <c r="N376" s="14">
        <v>737</v>
      </c>
      <c r="Q376" s="14"/>
    </row>
    <row r="377" spans="1:17" x14ac:dyDescent="0.25">
      <c r="A377" s="11" t="s">
        <v>2684</v>
      </c>
      <c r="B377" s="13" t="s">
        <v>795</v>
      </c>
      <c r="C377" s="62" t="s">
        <v>2811</v>
      </c>
      <c r="D377" s="13" t="s">
        <v>18</v>
      </c>
      <c r="E377" s="14" t="s">
        <v>797</v>
      </c>
      <c r="F377" s="13" t="s">
        <v>773</v>
      </c>
      <c r="G377" s="13"/>
      <c r="H377" s="14">
        <f t="shared" si="13"/>
        <v>1</v>
      </c>
      <c r="I377" s="14">
        <v>1</v>
      </c>
      <c r="J377" s="14">
        <v>1</v>
      </c>
      <c r="K377" s="13" t="s">
        <v>1396</v>
      </c>
      <c r="L377" s="14" t="s">
        <v>798</v>
      </c>
      <c r="M377" s="14">
        <v>24</v>
      </c>
      <c r="N377" s="14">
        <v>737</v>
      </c>
      <c r="Q377" s="14"/>
    </row>
    <row r="378" spans="1:17" ht="22.5" x14ac:dyDescent="0.25">
      <c r="A378" s="11" t="s">
        <v>2684</v>
      </c>
      <c r="B378" s="13" t="s">
        <v>795</v>
      </c>
      <c r="C378" s="62" t="s">
        <v>1156</v>
      </c>
      <c r="D378" s="13" t="s">
        <v>41</v>
      </c>
      <c r="E378" s="14" t="s">
        <v>797</v>
      </c>
      <c r="F378" s="13" t="s">
        <v>773</v>
      </c>
      <c r="G378" s="13">
        <v>1</v>
      </c>
      <c r="H378" s="14">
        <f t="shared" si="13"/>
        <v>2</v>
      </c>
      <c r="I378" s="14">
        <v>1</v>
      </c>
      <c r="J378" s="14">
        <v>2</v>
      </c>
      <c r="K378" s="13" t="s">
        <v>2723</v>
      </c>
      <c r="L378" s="14" t="s">
        <v>798</v>
      </c>
      <c r="M378" s="14">
        <v>109</v>
      </c>
      <c r="N378" s="14">
        <v>620</v>
      </c>
      <c r="Q378" s="14"/>
    </row>
    <row r="379" spans="1:17" ht="22.5" x14ac:dyDescent="0.25">
      <c r="A379" s="11" t="s">
        <v>2684</v>
      </c>
      <c r="B379" s="13" t="s">
        <v>795</v>
      </c>
      <c r="C379" s="62" t="s">
        <v>2724</v>
      </c>
      <c r="D379" s="13" t="s">
        <v>41</v>
      </c>
      <c r="E379" s="14" t="s">
        <v>797</v>
      </c>
      <c r="F379" s="13" t="s">
        <v>773</v>
      </c>
      <c r="G379" s="13"/>
      <c r="H379" s="14">
        <f t="shared" si="13"/>
        <v>1</v>
      </c>
      <c r="I379" s="14">
        <v>1</v>
      </c>
      <c r="J379" s="14">
        <v>1</v>
      </c>
      <c r="K379" s="13" t="s">
        <v>2486</v>
      </c>
      <c r="L379" s="14" t="s">
        <v>798</v>
      </c>
      <c r="M379" s="14">
        <v>109</v>
      </c>
      <c r="N379" s="14">
        <v>620</v>
      </c>
      <c r="Q379" s="14"/>
    </row>
    <row r="380" spans="1:17" ht="22.5" x14ac:dyDescent="0.25">
      <c r="A380" s="11" t="s">
        <v>2684</v>
      </c>
      <c r="B380" s="13" t="s">
        <v>795</v>
      </c>
      <c r="C380" s="62" t="s">
        <v>2725</v>
      </c>
      <c r="D380" s="13" t="s">
        <v>41</v>
      </c>
      <c r="E380" s="14" t="s">
        <v>797</v>
      </c>
      <c r="F380" s="13" t="s">
        <v>773</v>
      </c>
      <c r="G380" s="13"/>
      <c r="H380" s="14">
        <f t="shared" si="13"/>
        <v>1</v>
      </c>
      <c r="I380" s="14">
        <v>1</v>
      </c>
      <c r="J380" s="14">
        <v>1</v>
      </c>
      <c r="K380" s="13" t="s">
        <v>2486</v>
      </c>
      <c r="L380" s="14" t="s">
        <v>798</v>
      </c>
      <c r="M380" s="14">
        <v>109</v>
      </c>
      <c r="N380" s="14">
        <v>620</v>
      </c>
      <c r="Q380" s="14"/>
    </row>
    <row r="381" spans="1:17" ht="22.5" x14ac:dyDescent="0.25">
      <c r="A381" s="11" t="s">
        <v>2684</v>
      </c>
      <c r="B381" s="13" t="s">
        <v>795</v>
      </c>
      <c r="C381" s="62" t="s">
        <v>983</v>
      </c>
      <c r="D381" s="13" t="s">
        <v>800</v>
      </c>
      <c r="E381" s="14" t="s">
        <v>797</v>
      </c>
      <c r="F381" s="13" t="s">
        <v>773</v>
      </c>
      <c r="G381" s="13"/>
      <c r="H381" s="14">
        <f t="shared" si="13"/>
        <v>5</v>
      </c>
      <c r="I381" s="14">
        <v>5</v>
      </c>
      <c r="J381" s="14">
        <v>4</v>
      </c>
      <c r="K381" s="13" t="s">
        <v>2808</v>
      </c>
      <c r="L381" s="14" t="s">
        <v>667</v>
      </c>
      <c r="M381" s="14">
        <v>996</v>
      </c>
      <c r="N381" s="14">
        <v>735</v>
      </c>
      <c r="Q381" s="14"/>
    </row>
    <row r="382" spans="1:17" x14ac:dyDescent="0.25">
      <c r="A382" s="11" t="s">
        <v>2684</v>
      </c>
      <c r="B382" s="13" t="s">
        <v>795</v>
      </c>
      <c r="C382" s="62" t="s">
        <v>2806</v>
      </c>
      <c r="D382" s="13" t="s">
        <v>18</v>
      </c>
      <c r="E382" s="14" t="s">
        <v>797</v>
      </c>
      <c r="F382" s="13" t="s">
        <v>773</v>
      </c>
      <c r="G382" s="13"/>
      <c r="H382" s="14">
        <f t="shared" si="13"/>
        <v>1</v>
      </c>
      <c r="I382" s="14">
        <v>1</v>
      </c>
      <c r="J382" s="14">
        <v>1</v>
      </c>
      <c r="K382" s="13" t="s">
        <v>1396</v>
      </c>
      <c r="L382" s="14" t="s">
        <v>667</v>
      </c>
      <c r="M382" s="14">
        <v>996</v>
      </c>
      <c r="N382" s="14">
        <v>735</v>
      </c>
      <c r="Q382" s="14"/>
    </row>
    <row r="383" spans="1:17" x14ac:dyDescent="0.25">
      <c r="A383" s="11" t="s">
        <v>2684</v>
      </c>
      <c r="B383" s="13" t="s">
        <v>795</v>
      </c>
      <c r="C383" s="62" t="s">
        <v>2807</v>
      </c>
      <c r="D383" s="13" t="s">
        <v>18</v>
      </c>
      <c r="E383" s="14" t="s">
        <v>797</v>
      </c>
      <c r="F383" s="13" t="s">
        <v>773</v>
      </c>
      <c r="G383" s="13"/>
      <c r="H383" s="14">
        <f t="shared" si="13"/>
        <v>1</v>
      </c>
      <c r="I383" s="14">
        <v>1</v>
      </c>
      <c r="J383" s="14">
        <v>1</v>
      </c>
      <c r="K383" s="13" t="s">
        <v>1396</v>
      </c>
      <c r="L383" s="14" t="s">
        <v>667</v>
      </c>
      <c r="M383" s="14">
        <v>996</v>
      </c>
      <c r="N383" s="14">
        <v>735</v>
      </c>
      <c r="Q383" s="14"/>
    </row>
    <row r="384" spans="1:17" x14ac:dyDescent="0.25">
      <c r="A384" s="11" t="s">
        <v>2684</v>
      </c>
      <c r="B384" s="13" t="s">
        <v>795</v>
      </c>
      <c r="C384" s="62" t="s">
        <v>2809</v>
      </c>
      <c r="D384" s="13" t="s">
        <v>18</v>
      </c>
      <c r="E384" s="14" t="s">
        <v>797</v>
      </c>
      <c r="F384" s="13" t="s">
        <v>773</v>
      </c>
      <c r="G384" s="13"/>
      <c r="H384" s="14">
        <f t="shared" si="13"/>
        <v>1</v>
      </c>
      <c r="I384" s="14">
        <v>1</v>
      </c>
      <c r="J384" s="14">
        <v>1</v>
      </c>
      <c r="K384" s="13" t="s">
        <v>1396</v>
      </c>
      <c r="L384" s="14" t="s">
        <v>667</v>
      </c>
      <c r="M384" s="14">
        <v>99</v>
      </c>
      <c r="N384" s="14">
        <v>73</v>
      </c>
      <c r="Q384" s="14"/>
    </row>
    <row r="385" spans="1:17" ht="22.5" x14ac:dyDescent="0.25">
      <c r="A385" s="11" t="s">
        <v>2684</v>
      </c>
      <c r="B385" s="13" t="s">
        <v>795</v>
      </c>
      <c r="C385" s="62" t="s">
        <v>2721</v>
      </c>
      <c r="D385" s="13" t="s">
        <v>41</v>
      </c>
      <c r="E385" s="14" t="s">
        <v>797</v>
      </c>
      <c r="F385" s="13" t="s">
        <v>773</v>
      </c>
      <c r="G385" s="13"/>
      <c r="H385" s="14">
        <f t="shared" si="13"/>
        <v>2</v>
      </c>
      <c r="I385" s="14">
        <v>2</v>
      </c>
      <c r="J385" s="14">
        <v>1</v>
      </c>
      <c r="K385" s="13" t="s">
        <v>763</v>
      </c>
      <c r="L385" s="14" t="s">
        <v>667</v>
      </c>
      <c r="M385" s="14">
        <v>996</v>
      </c>
      <c r="N385" s="14">
        <v>735</v>
      </c>
      <c r="Q385" s="14"/>
    </row>
    <row r="386" spans="1:17" ht="22.5" x14ac:dyDescent="0.25">
      <c r="A386" s="11" t="s">
        <v>2684</v>
      </c>
      <c r="B386" s="13" t="s">
        <v>795</v>
      </c>
      <c r="C386" s="62" t="s">
        <v>2722</v>
      </c>
      <c r="D386" s="13" t="s">
        <v>41</v>
      </c>
      <c r="E386" s="14" t="s">
        <v>797</v>
      </c>
      <c r="F386" s="13" t="s">
        <v>773</v>
      </c>
      <c r="G386" s="13"/>
      <c r="H386" s="14">
        <f t="shared" si="13"/>
        <v>2</v>
      </c>
      <c r="I386" s="14">
        <v>2</v>
      </c>
      <c r="J386" s="14">
        <v>1</v>
      </c>
      <c r="K386" s="13" t="s">
        <v>763</v>
      </c>
      <c r="L386" s="14" t="s">
        <v>667</v>
      </c>
      <c r="M386" s="14">
        <v>996</v>
      </c>
      <c r="N386" s="14">
        <v>735</v>
      </c>
      <c r="Q386" s="14"/>
    </row>
    <row r="387" spans="1:17" ht="22.5" x14ac:dyDescent="0.25">
      <c r="A387" s="11" t="s">
        <v>2684</v>
      </c>
      <c r="B387" s="13" t="s">
        <v>795</v>
      </c>
      <c r="C387" s="62" t="s">
        <v>799</v>
      </c>
      <c r="D387" s="13" t="s">
        <v>800</v>
      </c>
      <c r="E387" s="14" t="s">
        <v>797</v>
      </c>
      <c r="F387" s="13" t="s">
        <v>773</v>
      </c>
      <c r="G387" s="13">
        <v>1</v>
      </c>
      <c r="H387" s="14">
        <f t="shared" si="13"/>
        <v>4</v>
      </c>
      <c r="I387" s="14">
        <v>3</v>
      </c>
      <c r="J387" s="14">
        <v>3</v>
      </c>
      <c r="K387" s="13" t="s">
        <v>2731</v>
      </c>
      <c r="L387" s="14" t="s">
        <v>667</v>
      </c>
      <c r="M387" s="14">
        <v>585</v>
      </c>
      <c r="N387" s="14">
        <v>775</v>
      </c>
      <c r="Q387" s="14"/>
    </row>
    <row r="388" spans="1:17" ht="22.5" x14ac:dyDescent="0.25">
      <c r="A388" s="11" t="s">
        <v>2684</v>
      </c>
      <c r="B388" s="13" t="s">
        <v>795</v>
      </c>
      <c r="C388" s="62" t="s">
        <v>2726</v>
      </c>
      <c r="D388" s="13" t="s">
        <v>41</v>
      </c>
      <c r="E388" s="14" t="s">
        <v>797</v>
      </c>
      <c r="F388" s="13" t="s">
        <v>773</v>
      </c>
      <c r="G388" s="13"/>
      <c r="H388" s="14">
        <f t="shared" si="13"/>
        <v>1</v>
      </c>
      <c r="I388" s="14">
        <v>1</v>
      </c>
      <c r="J388" s="14">
        <v>1</v>
      </c>
      <c r="K388" s="13" t="s">
        <v>2486</v>
      </c>
      <c r="L388" s="14" t="s">
        <v>667</v>
      </c>
      <c r="M388" s="14">
        <v>585</v>
      </c>
      <c r="N388" s="14">
        <v>775</v>
      </c>
      <c r="Q388" s="14"/>
    </row>
    <row r="389" spans="1:17" ht="22.5" x14ac:dyDescent="0.25">
      <c r="A389" s="11" t="s">
        <v>2684</v>
      </c>
      <c r="B389" s="13" t="s">
        <v>795</v>
      </c>
      <c r="C389" s="62" t="s">
        <v>2727</v>
      </c>
      <c r="D389" s="13" t="s">
        <v>41</v>
      </c>
      <c r="E389" s="14" t="s">
        <v>797</v>
      </c>
      <c r="F389" s="13" t="s">
        <v>773</v>
      </c>
      <c r="G389" s="13"/>
      <c r="H389" s="14">
        <f t="shared" si="13"/>
        <v>1</v>
      </c>
      <c r="I389" s="14">
        <v>1</v>
      </c>
      <c r="J389" s="14">
        <v>1</v>
      </c>
      <c r="K389" s="13" t="s">
        <v>2486</v>
      </c>
      <c r="L389" s="14" t="s">
        <v>667</v>
      </c>
      <c r="M389" s="14">
        <v>585</v>
      </c>
      <c r="N389" s="14">
        <v>775</v>
      </c>
      <c r="Q389" s="14"/>
    </row>
    <row r="390" spans="1:17" ht="22.5" x14ac:dyDescent="0.25">
      <c r="A390" s="11" t="s">
        <v>2684</v>
      </c>
      <c r="B390" s="13" t="s">
        <v>795</v>
      </c>
      <c r="C390" s="62" t="s">
        <v>2728</v>
      </c>
      <c r="D390" s="13" t="s">
        <v>41</v>
      </c>
      <c r="E390" s="14" t="s">
        <v>797</v>
      </c>
      <c r="F390" s="13" t="s">
        <v>773</v>
      </c>
      <c r="G390" s="13"/>
      <c r="H390" s="14">
        <f t="shared" si="13"/>
        <v>1</v>
      </c>
      <c r="I390" s="14">
        <v>1</v>
      </c>
      <c r="J390" s="14">
        <v>1</v>
      </c>
      <c r="K390" s="13" t="s">
        <v>2486</v>
      </c>
      <c r="L390" s="14" t="s">
        <v>667</v>
      </c>
      <c r="M390" s="14">
        <v>585</v>
      </c>
      <c r="N390" s="14">
        <v>775</v>
      </c>
      <c r="Q390" s="14"/>
    </row>
    <row r="391" spans="1:17" x14ac:dyDescent="0.25">
      <c r="A391" s="11" t="s">
        <v>2684</v>
      </c>
      <c r="B391" s="13" t="s">
        <v>795</v>
      </c>
      <c r="C391" s="62" t="s">
        <v>2814</v>
      </c>
      <c r="D391" s="13" t="s">
        <v>18</v>
      </c>
      <c r="E391" s="14" t="s">
        <v>797</v>
      </c>
      <c r="F391" s="13" t="s">
        <v>773</v>
      </c>
      <c r="G391" s="13"/>
      <c r="H391" s="14">
        <f t="shared" si="13"/>
        <v>1</v>
      </c>
      <c r="I391" s="14">
        <v>1</v>
      </c>
      <c r="J391" s="14">
        <v>1</v>
      </c>
      <c r="K391" s="13" t="s">
        <v>1396</v>
      </c>
      <c r="L391" s="14" t="s">
        <v>798</v>
      </c>
      <c r="M391" s="14">
        <v>106</v>
      </c>
      <c r="N391" s="14">
        <v>625</v>
      </c>
      <c r="Q391" s="14"/>
    </row>
    <row r="392" spans="1:17" x14ac:dyDescent="0.25">
      <c r="A392" s="11" t="s">
        <v>2684</v>
      </c>
      <c r="B392" s="13" t="s">
        <v>795</v>
      </c>
      <c r="C392" s="62" t="s">
        <v>1240</v>
      </c>
      <c r="D392" s="13" t="s">
        <v>18</v>
      </c>
      <c r="E392" s="14" t="s">
        <v>797</v>
      </c>
      <c r="F392" s="13" t="s">
        <v>773</v>
      </c>
      <c r="G392" s="13"/>
      <c r="H392" s="14">
        <f t="shared" ref="H392:H399" si="14">G392+I392</f>
        <v>0</v>
      </c>
      <c r="L392" s="14" t="s">
        <v>798</v>
      </c>
      <c r="M392" s="14">
        <v>6</v>
      </c>
      <c r="N392" s="14">
        <v>755</v>
      </c>
      <c r="Q392" s="14"/>
    </row>
    <row r="393" spans="1:17" x14ac:dyDescent="0.25">
      <c r="A393" s="11" t="s">
        <v>2684</v>
      </c>
      <c r="B393" s="13" t="s">
        <v>795</v>
      </c>
      <c r="C393" s="62" t="s">
        <v>2813</v>
      </c>
      <c r="D393" s="13" t="s">
        <v>18</v>
      </c>
      <c r="E393" s="14" t="s">
        <v>799</v>
      </c>
      <c r="F393" s="13" t="s">
        <v>773</v>
      </c>
      <c r="G393" s="13"/>
      <c r="H393" s="14">
        <f t="shared" si="14"/>
        <v>1</v>
      </c>
      <c r="I393" s="14">
        <v>1</v>
      </c>
      <c r="J393" s="14">
        <v>1</v>
      </c>
      <c r="K393" s="13" t="s">
        <v>1396</v>
      </c>
      <c r="L393" s="14" t="s">
        <v>667</v>
      </c>
      <c r="M393" s="14">
        <v>565</v>
      </c>
      <c r="N393" s="14">
        <v>769</v>
      </c>
      <c r="Q393" s="14"/>
    </row>
    <row r="394" spans="1:17" ht="22.5" x14ac:dyDescent="0.25">
      <c r="A394" s="11" t="s">
        <v>2684</v>
      </c>
      <c r="B394" s="13" t="s">
        <v>795</v>
      </c>
      <c r="C394" s="62" t="s">
        <v>796</v>
      </c>
      <c r="D394" s="13" t="s">
        <v>800</v>
      </c>
      <c r="E394" s="14" t="s">
        <v>797</v>
      </c>
      <c r="F394" s="13" t="s">
        <v>773</v>
      </c>
      <c r="G394" s="13"/>
      <c r="H394" s="14">
        <f t="shared" si="14"/>
        <v>5</v>
      </c>
      <c r="I394" s="14">
        <v>5</v>
      </c>
      <c r="J394" s="14">
        <v>5</v>
      </c>
      <c r="K394" s="13" t="s">
        <v>3092</v>
      </c>
      <c r="L394" s="14" t="s">
        <v>798</v>
      </c>
      <c r="M394" s="14">
        <v>6</v>
      </c>
      <c r="N394" s="14">
        <v>727</v>
      </c>
      <c r="Q394" s="14"/>
    </row>
    <row r="395" spans="1:17" x14ac:dyDescent="0.25">
      <c r="A395" s="11" t="s">
        <v>2684</v>
      </c>
      <c r="B395" s="13" t="s">
        <v>772</v>
      </c>
      <c r="C395" s="62" t="s">
        <v>801</v>
      </c>
      <c r="D395" s="13" t="s">
        <v>1278</v>
      </c>
      <c r="E395" s="14" t="s">
        <v>772</v>
      </c>
      <c r="F395" s="14" t="s">
        <v>773</v>
      </c>
      <c r="G395" s="13">
        <v>1</v>
      </c>
      <c r="H395" s="14">
        <f t="shared" si="14"/>
        <v>1</v>
      </c>
      <c r="J395" s="14">
        <v>1</v>
      </c>
      <c r="K395" s="13" t="s">
        <v>513</v>
      </c>
      <c r="L395" s="14" t="s">
        <v>802</v>
      </c>
      <c r="M395" s="14">
        <v>755</v>
      </c>
      <c r="N395" s="14">
        <v>115</v>
      </c>
      <c r="Q395" s="14"/>
    </row>
    <row r="396" spans="1:17" ht="22.5" x14ac:dyDescent="0.25">
      <c r="A396" s="11" t="s">
        <v>2684</v>
      </c>
      <c r="B396" s="13" t="s">
        <v>772</v>
      </c>
      <c r="C396" s="62" t="s">
        <v>801</v>
      </c>
      <c r="D396" s="13" t="s">
        <v>800</v>
      </c>
      <c r="E396" s="14" t="s">
        <v>772</v>
      </c>
      <c r="F396" s="14" t="s">
        <v>773</v>
      </c>
      <c r="G396" s="13"/>
      <c r="H396" s="14">
        <f t="shared" si="14"/>
        <v>2</v>
      </c>
      <c r="I396" s="14">
        <v>2</v>
      </c>
      <c r="J396" s="14">
        <v>2</v>
      </c>
      <c r="K396" s="13" t="s">
        <v>2732</v>
      </c>
      <c r="L396" s="14" t="s">
        <v>802</v>
      </c>
      <c r="M396" s="14">
        <v>755</v>
      </c>
      <c r="N396" s="14">
        <v>115</v>
      </c>
      <c r="Q396" s="14"/>
    </row>
    <row r="397" spans="1:17" ht="22.5" x14ac:dyDescent="0.25">
      <c r="A397" s="11" t="s">
        <v>2684</v>
      </c>
      <c r="B397" s="13" t="s">
        <v>772</v>
      </c>
      <c r="C397" s="62" t="s">
        <v>2729</v>
      </c>
      <c r="D397" s="13" t="s">
        <v>41</v>
      </c>
      <c r="E397" s="14" t="s">
        <v>772</v>
      </c>
      <c r="F397" s="14" t="s">
        <v>773</v>
      </c>
      <c r="G397" s="13"/>
      <c r="H397" s="14">
        <f t="shared" si="14"/>
        <v>2</v>
      </c>
      <c r="I397" s="14">
        <v>2</v>
      </c>
      <c r="J397" s="14">
        <v>2</v>
      </c>
      <c r="K397" s="13" t="s">
        <v>2732</v>
      </c>
      <c r="L397" s="14" t="s">
        <v>802</v>
      </c>
      <c r="M397" s="14">
        <v>755</v>
      </c>
      <c r="N397" s="14">
        <v>115</v>
      </c>
      <c r="Q397" s="14"/>
    </row>
    <row r="398" spans="1:17" ht="22.5" x14ac:dyDescent="0.25">
      <c r="A398" s="11" t="s">
        <v>2684</v>
      </c>
      <c r="B398" s="13" t="s">
        <v>772</v>
      </c>
      <c r="C398" s="62" t="s">
        <v>806</v>
      </c>
      <c r="D398" s="13" t="s">
        <v>800</v>
      </c>
      <c r="E398" s="14" t="s">
        <v>1220</v>
      </c>
      <c r="F398" s="14" t="s">
        <v>773</v>
      </c>
      <c r="G398" s="13">
        <v>1</v>
      </c>
      <c r="H398" s="14">
        <f t="shared" si="14"/>
        <v>4</v>
      </c>
      <c r="I398" s="14">
        <v>3</v>
      </c>
      <c r="J398" s="14">
        <v>2</v>
      </c>
      <c r="K398" s="13" t="s">
        <v>2731</v>
      </c>
      <c r="L398" s="14" t="s">
        <v>802</v>
      </c>
      <c r="M398" s="14">
        <v>663</v>
      </c>
      <c r="N398" s="14">
        <v>337</v>
      </c>
      <c r="Q398" s="14"/>
    </row>
    <row r="399" spans="1:17" x14ac:dyDescent="0.25">
      <c r="A399" s="11" t="s">
        <v>2684</v>
      </c>
      <c r="B399" s="13" t="s">
        <v>789</v>
      </c>
      <c r="C399" s="62" t="s">
        <v>2746</v>
      </c>
      <c r="D399" s="13" t="s">
        <v>1159</v>
      </c>
      <c r="E399" s="14" t="s">
        <v>1345</v>
      </c>
      <c r="F399" s="14" t="s">
        <v>773</v>
      </c>
      <c r="G399" s="13"/>
      <c r="H399" s="14">
        <f t="shared" si="14"/>
        <v>1</v>
      </c>
      <c r="I399" s="14">
        <v>1</v>
      </c>
      <c r="J399" s="14">
        <v>1</v>
      </c>
      <c r="K399" s="13" t="s">
        <v>559</v>
      </c>
      <c r="L399" s="14" t="s">
        <v>668</v>
      </c>
      <c r="M399" s="14">
        <v>575</v>
      </c>
      <c r="N399" s="14">
        <v>65</v>
      </c>
      <c r="Q399" s="14"/>
    </row>
    <row r="400" spans="1:17" ht="22.5" x14ac:dyDescent="0.25">
      <c r="A400" s="11" t="s">
        <v>2684</v>
      </c>
      <c r="B400" s="13" t="s">
        <v>789</v>
      </c>
      <c r="C400" s="62" t="s">
        <v>810</v>
      </c>
      <c r="D400" s="13" t="s">
        <v>811</v>
      </c>
      <c r="E400" s="14" t="s">
        <v>1345</v>
      </c>
      <c r="F400" s="14" t="s">
        <v>773</v>
      </c>
      <c r="G400" s="13">
        <v>1</v>
      </c>
      <c r="H400" s="14">
        <f t="shared" ref="H400:H439" si="15">G400+I400</f>
        <v>1</v>
      </c>
      <c r="J400" s="14">
        <v>1</v>
      </c>
      <c r="K400" s="13" t="s">
        <v>513</v>
      </c>
      <c r="L400" s="14" t="s">
        <v>668</v>
      </c>
      <c r="M400" s="14">
        <v>529</v>
      </c>
      <c r="N400" s="14">
        <v>29</v>
      </c>
      <c r="Q400" s="14"/>
    </row>
    <row r="401" spans="1:17" x14ac:dyDescent="0.25">
      <c r="A401" s="11" t="s">
        <v>2684</v>
      </c>
      <c r="C401" s="62" t="s">
        <v>1892</v>
      </c>
      <c r="F401" s="14" t="s">
        <v>874</v>
      </c>
      <c r="G401" s="13">
        <v>3</v>
      </c>
      <c r="H401" s="14">
        <f t="shared" si="15"/>
        <v>3</v>
      </c>
      <c r="J401" s="14">
        <v>3</v>
      </c>
      <c r="K401" s="13" t="s">
        <v>3112</v>
      </c>
      <c r="Q401" s="14"/>
    </row>
    <row r="402" spans="1:17" x14ac:dyDescent="0.25">
      <c r="A402" s="11" t="s">
        <v>2684</v>
      </c>
      <c r="C402" s="62" t="s">
        <v>489</v>
      </c>
      <c r="F402" s="14" t="s">
        <v>874</v>
      </c>
      <c r="G402" s="13">
        <v>5</v>
      </c>
      <c r="H402" s="14">
        <f t="shared" si="15"/>
        <v>5</v>
      </c>
      <c r="J402" s="14">
        <v>4</v>
      </c>
      <c r="K402" s="13" t="s">
        <v>2881</v>
      </c>
      <c r="Q402" s="14"/>
    </row>
    <row r="403" spans="1:17" x14ac:dyDescent="0.25">
      <c r="A403" s="11" t="s">
        <v>2684</v>
      </c>
      <c r="C403" s="62" t="s">
        <v>679</v>
      </c>
      <c r="F403" s="14" t="s">
        <v>11</v>
      </c>
      <c r="G403" s="13">
        <v>9</v>
      </c>
      <c r="H403" s="14">
        <f t="shared" si="15"/>
        <v>9</v>
      </c>
      <c r="J403" s="14">
        <v>7</v>
      </c>
      <c r="K403" s="13" t="s">
        <v>2913</v>
      </c>
      <c r="Q403" s="14"/>
    </row>
    <row r="404" spans="1:17" x14ac:dyDescent="0.25">
      <c r="A404" s="11" t="s">
        <v>2684</v>
      </c>
      <c r="C404" s="62" t="s">
        <v>265</v>
      </c>
      <c r="F404" s="14" t="s">
        <v>874</v>
      </c>
      <c r="G404" s="13">
        <v>7</v>
      </c>
      <c r="H404" s="14">
        <f t="shared" si="15"/>
        <v>7</v>
      </c>
      <c r="J404" s="14">
        <v>6</v>
      </c>
      <c r="K404" s="13" t="s">
        <v>2882</v>
      </c>
      <c r="Q404" s="14"/>
    </row>
    <row r="405" spans="1:17" x14ac:dyDescent="0.25">
      <c r="A405" s="11" t="s">
        <v>2684</v>
      </c>
      <c r="C405" s="62" t="s">
        <v>303</v>
      </c>
      <c r="F405" s="14" t="s">
        <v>11</v>
      </c>
      <c r="G405" s="13">
        <v>1</v>
      </c>
      <c r="H405" s="14">
        <f t="shared" si="15"/>
        <v>1</v>
      </c>
      <c r="J405" s="14">
        <v>1</v>
      </c>
      <c r="K405" s="13" t="s">
        <v>414</v>
      </c>
      <c r="Q405" s="14"/>
    </row>
    <row r="406" spans="1:17" x14ac:dyDescent="0.25">
      <c r="A406" s="11" t="s">
        <v>2684</v>
      </c>
      <c r="C406" s="62" t="s">
        <v>302</v>
      </c>
      <c r="F406" s="14" t="s">
        <v>35</v>
      </c>
      <c r="G406" s="13">
        <v>7</v>
      </c>
      <c r="H406" s="14">
        <f t="shared" si="15"/>
        <v>7</v>
      </c>
      <c r="J406" s="14">
        <v>6</v>
      </c>
      <c r="K406" s="13" t="s">
        <v>2882</v>
      </c>
      <c r="Q406" s="14"/>
    </row>
    <row r="407" spans="1:17" x14ac:dyDescent="0.25">
      <c r="A407" s="11" t="s">
        <v>2684</v>
      </c>
      <c r="C407" s="62" t="s">
        <v>1893</v>
      </c>
      <c r="F407" s="14" t="s">
        <v>874</v>
      </c>
      <c r="G407" s="13">
        <v>2</v>
      </c>
      <c r="H407" s="14">
        <f t="shared" si="15"/>
        <v>2</v>
      </c>
      <c r="J407" s="14">
        <v>1</v>
      </c>
      <c r="K407" s="13" t="s">
        <v>1229</v>
      </c>
      <c r="Q407" s="14"/>
    </row>
    <row r="408" spans="1:17" x14ac:dyDescent="0.25">
      <c r="A408" s="11" t="s">
        <v>2684</v>
      </c>
      <c r="C408" s="62" t="s">
        <v>1894</v>
      </c>
      <c r="E408" s="14" t="s">
        <v>2644</v>
      </c>
      <c r="F408" s="14" t="s">
        <v>874</v>
      </c>
      <c r="G408" s="13">
        <v>4</v>
      </c>
      <c r="H408" s="14">
        <f t="shared" si="15"/>
        <v>4</v>
      </c>
      <c r="J408" s="14">
        <v>3</v>
      </c>
      <c r="K408" s="13" t="s">
        <v>2911</v>
      </c>
      <c r="Q408" s="14"/>
    </row>
    <row r="409" spans="1:17" x14ac:dyDescent="0.25">
      <c r="A409" s="11" t="s">
        <v>2684</v>
      </c>
      <c r="B409" s="13" t="s">
        <v>411</v>
      </c>
      <c r="F409" s="14" t="s">
        <v>11</v>
      </c>
      <c r="G409" s="13">
        <v>1</v>
      </c>
      <c r="H409" s="14">
        <f>G409+I409</f>
        <v>1</v>
      </c>
      <c r="J409" s="14">
        <v>1</v>
      </c>
      <c r="K409" s="13" t="s">
        <v>1092</v>
      </c>
      <c r="Q409" s="14"/>
    </row>
    <row r="410" spans="1:17" x14ac:dyDescent="0.25">
      <c r="A410" s="11" t="s">
        <v>2684</v>
      </c>
      <c r="B410" s="13" t="s">
        <v>297</v>
      </c>
      <c r="E410" s="14" t="s">
        <v>918</v>
      </c>
      <c r="F410" s="14" t="s">
        <v>11</v>
      </c>
      <c r="G410" s="13">
        <v>2</v>
      </c>
      <c r="H410" s="14">
        <f t="shared" si="15"/>
        <v>2</v>
      </c>
      <c r="J410" s="14">
        <v>2</v>
      </c>
      <c r="K410" s="13" t="s">
        <v>2823</v>
      </c>
      <c r="Q410" s="14"/>
    </row>
    <row r="411" spans="1:17" x14ac:dyDescent="0.25">
      <c r="A411" s="11" t="s">
        <v>2684</v>
      </c>
      <c r="B411" s="13" t="s">
        <v>42</v>
      </c>
      <c r="C411" s="62" t="s">
        <v>42</v>
      </c>
      <c r="F411" s="14" t="s">
        <v>11</v>
      </c>
      <c r="G411" s="13">
        <v>8</v>
      </c>
      <c r="H411" s="14">
        <f t="shared" si="15"/>
        <v>8</v>
      </c>
      <c r="J411" s="14">
        <v>7</v>
      </c>
      <c r="K411" s="13" t="s">
        <v>3113</v>
      </c>
      <c r="Q411" s="14"/>
    </row>
    <row r="412" spans="1:17" x14ac:dyDescent="0.25">
      <c r="A412" s="11" t="s">
        <v>2684</v>
      </c>
      <c r="B412" s="13" t="s">
        <v>42</v>
      </c>
      <c r="C412" s="62" t="s">
        <v>2990</v>
      </c>
      <c r="F412" s="14" t="s">
        <v>11</v>
      </c>
      <c r="G412" s="13">
        <v>1</v>
      </c>
      <c r="H412" s="14">
        <f t="shared" ref="H412:H418" si="16">G412+I412</f>
        <v>1</v>
      </c>
      <c r="J412" s="14">
        <v>1</v>
      </c>
      <c r="K412" s="13" t="s">
        <v>1322</v>
      </c>
      <c r="Q412" s="14"/>
    </row>
    <row r="413" spans="1:17" x14ac:dyDescent="0.25">
      <c r="A413" s="11" t="s">
        <v>2684</v>
      </c>
      <c r="B413" s="13" t="s">
        <v>42</v>
      </c>
      <c r="C413" s="62" t="s">
        <v>2981</v>
      </c>
      <c r="F413" s="14" t="s">
        <v>11</v>
      </c>
      <c r="G413" s="13">
        <v>1</v>
      </c>
      <c r="H413" s="14">
        <f t="shared" si="16"/>
        <v>1</v>
      </c>
      <c r="J413" s="14">
        <v>1</v>
      </c>
      <c r="K413" s="13" t="s">
        <v>1521</v>
      </c>
      <c r="Q413" s="14"/>
    </row>
    <row r="414" spans="1:17" x14ac:dyDescent="0.25">
      <c r="A414" s="11" t="s">
        <v>2684</v>
      </c>
      <c r="B414" s="13" t="s">
        <v>42</v>
      </c>
      <c r="C414" s="62" t="s">
        <v>2893</v>
      </c>
      <c r="F414" s="14" t="s">
        <v>11</v>
      </c>
      <c r="G414" s="13">
        <v>1</v>
      </c>
      <c r="H414" s="14">
        <f t="shared" si="16"/>
        <v>1</v>
      </c>
      <c r="J414" s="14">
        <v>1</v>
      </c>
      <c r="K414" s="13" t="s">
        <v>2886</v>
      </c>
      <c r="Q414" s="14"/>
    </row>
    <row r="415" spans="1:17" x14ac:dyDescent="0.25">
      <c r="A415" s="11" t="s">
        <v>2684</v>
      </c>
      <c r="B415" s="13" t="s">
        <v>42</v>
      </c>
      <c r="C415" s="62" t="s">
        <v>2983</v>
      </c>
      <c r="F415" s="14" t="s">
        <v>11</v>
      </c>
      <c r="G415" s="13">
        <v>1</v>
      </c>
      <c r="H415" s="14">
        <f t="shared" si="16"/>
        <v>1</v>
      </c>
      <c r="J415" s="14">
        <v>1</v>
      </c>
      <c r="K415" s="13" t="s">
        <v>1521</v>
      </c>
      <c r="Q415" s="14"/>
    </row>
    <row r="416" spans="1:17" x14ac:dyDescent="0.25">
      <c r="A416" s="11" t="s">
        <v>2684</v>
      </c>
      <c r="B416" s="13" t="s">
        <v>42</v>
      </c>
      <c r="C416" s="62" t="s">
        <v>3114</v>
      </c>
      <c r="F416" s="14" t="s">
        <v>11</v>
      </c>
      <c r="G416" s="13">
        <v>1</v>
      </c>
      <c r="H416" s="14">
        <f t="shared" si="16"/>
        <v>1</v>
      </c>
      <c r="J416" s="14">
        <v>1</v>
      </c>
      <c r="K416" s="13" t="s">
        <v>1552</v>
      </c>
      <c r="Q416" s="14"/>
    </row>
    <row r="417" spans="1:17" x14ac:dyDescent="0.25">
      <c r="A417" s="11" t="s">
        <v>2684</v>
      </c>
      <c r="B417" s="13" t="s">
        <v>42</v>
      </c>
      <c r="C417" s="62" t="s">
        <v>2982</v>
      </c>
      <c r="F417" s="14" t="s">
        <v>11</v>
      </c>
      <c r="G417" s="13">
        <v>1</v>
      </c>
      <c r="H417" s="14">
        <f t="shared" si="16"/>
        <v>1</v>
      </c>
      <c r="J417" s="14">
        <v>1</v>
      </c>
      <c r="K417" s="13" t="s">
        <v>1521</v>
      </c>
      <c r="Q417" s="14"/>
    </row>
    <row r="418" spans="1:17" x14ac:dyDescent="0.25">
      <c r="A418" s="11" t="s">
        <v>2684</v>
      </c>
      <c r="B418" s="13" t="s">
        <v>42</v>
      </c>
      <c r="C418" s="62" t="s">
        <v>361</v>
      </c>
      <c r="F418" s="14" t="s">
        <v>11</v>
      </c>
      <c r="G418" s="13">
        <v>1</v>
      </c>
      <c r="H418" s="14">
        <f t="shared" si="16"/>
        <v>1</v>
      </c>
      <c r="J418" s="14">
        <v>1</v>
      </c>
      <c r="K418" s="13" t="s">
        <v>456</v>
      </c>
      <c r="Q418" s="14"/>
    </row>
    <row r="419" spans="1:17" x14ac:dyDescent="0.25">
      <c r="A419" s="11" t="s">
        <v>2684</v>
      </c>
      <c r="B419" s="13" t="s">
        <v>10</v>
      </c>
      <c r="E419" s="14" t="s">
        <v>326</v>
      </c>
      <c r="F419" s="14" t="s">
        <v>11</v>
      </c>
      <c r="G419" s="13">
        <v>3</v>
      </c>
      <c r="H419" s="14">
        <f t="shared" si="15"/>
        <v>3</v>
      </c>
      <c r="J419" s="14">
        <v>2</v>
      </c>
      <c r="K419" s="13" t="s">
        <v>3046</v>
      </c>
      <c r="Q419" s="14"/>
    </row>
    <row r="420" spans="1:17" x14ac:dyDescent="0.25">
      <c r="A420" s="11" t="s">
        <v>2684</v>
      </c>
      <c r="B420" s="13" t="s">
        <v>10</v>
      </c>
      <c r="E420" s="14" t="s">
        <v>716</v>
      </c>
      <c r="F420" s="14" t="s">
        <v>11</v>
      </c>
      <c r="G420" s="13">
        <v>4</v>
      </c>
      <c r="H420" s="14">
        <f t="shared" si="15"/>
        <v>4</v>
      </c>
      <c r="J420" s="14">
        <v>2</v>
      </c>
      <c r="K420" s="13" t="s">
        <v>3033</v>
      </c>
      <c r="Q420" s="14"/>
    </row>
    <row r="421" spans="1:17" x14ac:dyDescent="0.25">
      <c r="A421" s="11" t="s">
        <v>2684</v>
      </c>
      <c r="B421" s="13" t="s">
        <v>10</v>
      </c>
      <c r="E421" s="14" t="s">
        <v>708</v>
      </c>
      <c r="F421" s="14" t="s">
        <v>11</v>
      </c>
      <c r="G421" s="13">
        <v>3</v>
      </c>
      <c r="H421" s="14">
        <f t="shared" si="15"/>
        <v>3</v>
      </c>
      <c r="J421" s="14">
        <v>2</v>
      </c>
      <c r="K421" s="13" t="s">
        <v>3047</v>
      </c>
      <c r="Q421" s="14"/>
    </row>
    <row r="422" spans="1:17" ht="11.25" customHeight="1" x14ac:dyDescent="0.25">
      <c r="A422" s="11" t="s">
        <v>2684</v>
      </c>
      <c r="B422" s="13" t="s">
        <v>10</v>
      </c>
      <c r="C422" s="62" t="s">
        <v>3048</v>
      </c>
      <c r="F422" s="14" t="s">
        <v>11</v>
      </c>
      <c r="G422" s="13">
        <v>1</v>
      </c>
      <c r="H422" s="14">
        <f t="shared" ref="H422:H427" si="17">G422+I422</f>
        <v>1</v>
      </c>
      <c r="J422" s="14">
        <v>1</v>
      </c>
      <c r="K422" s="13" t="s">
        <v>3022</v>
      </c>
      <c r="Q422" s="14"/>
    </row>
    <row r="423" spans="1:17" ht="11.25" customHeight="1" x14ac:dyDescent="0.25">
      <c r="A423" s="11" t="s">
        <v>2684</v>
      </c>
      <c r="B423" s="13" t="s">
        <v>10</v>
      </c>
      <c r="C423" s="62" t="s">
        <v>3049</v>
      </c>
      <c r="F423" s="14" t="s">
        <v>11</v>
      </c>
      <c r="G423" s="13">
        <v>1</v>
      </c>
      <c r="H423" s="14">
        <f t="shared" si="17"/>
        <v>1</v>
      </c>
      <c r="J423" s="14">
        <v>1</v>
      </c>
      <c r="K423" s="13" t="s">
        <v>3022</v>
      </c>
      <c r="Q423" s="14"/>
    </row>
    <row r="424" spans="1:17" ht="11.25" customHeight="1" x14ac:dyDescent="0.25">
      <c r="A424" s="11" t="s">
        <v>2684</v>
      </c>
      <c r="B424" s="13" t="s">
        <v>10</v>
      </c>
      <c r="C424" s="62" t="s">
        <v>3050</v>
      </c>
      <c r="F424" s="14" t="s">
        <v>11</v>
      </c>
      <c r="G424" s="13">
        <v>1</v>
      </c>
      <c r="H424" s="14">
        <f t="shared" si="17"/>
        <v>1</v>
      </c>
      <c r="J424" s="14">
        <v>1</v>
      </c>
      <c r="K424" s="13" t="s">
        <v>3022</v>
      </c>
      <c r="Q424" s="14"/>
    </row>
    <row r="425" spans="1:17" ht="11.25" customHeight="1" x14ac:dyDescent="0.25">
      <c r="A425" s="11" t="s">
        <v>2684</v>
      </c>
      <c r="B425" s="13" t="s">
        <v>10</v>
      </c>
      <c r="C425" s="62" t="s">
        <v>3051</v>
      </c>
      <c r="F425" s="14" t="s">
        <v>11</v>
      </c>
      <c r="G425" s="13">
        <v>1</v>
      </c>
      <c r="H425" s="14">
        <f t="shared" si="17"/>
        <v>1</v>
      </c>
      <c r="J425" s="14">
        <v>1</v>
      </c>
      <c r="K425" s="13" t="s">
        <v>3022</v>
      </c>
      <c r="Q425" s="14"/>
    </row>
    <row r="426" spans="1:17" ht="11.25" customHeight="1" x14ac:dyDescent="0.25">
      <c r="A426" s="11" t="s">
        <v>2684</v>
      </c>
      <c r="B426" s="13" t="s">
        <v>10</v>
      </c>
      <c r="C426" s="62" t="s">
        <v>3040</v>
      </c>
      <c r="F426" s="14" t="s">
        <v>11</v>
      </c>
      <c r="G426" s="13">
        <v>1</v>
      </c>
      <c r="H426" s="14">
        <f t="shared" si="17"/>
        <v>1</v>
      </c>
      <c r="J426" s="14">
        <v>1</v>
      </c>
      <c r="K426" s="13" t="s">
        <v>3022</v>
      </c>
      <c r="Q426" s="14"/>
    </row>
    <row r="427" spans="1:17" ht="11.25" customHeight="1" x14ac:dyDescent="0.25">
      <c r="A427" s="11" t="s">
        <v>2684</v>
      </c>
      <c r="B427" s="13" t="s">
        <v>10</v>
      </c>
      <c r="C427" s="62" t="s">
        <v>3052</v>
      </c>
      <c r="F427" s="14" t="s">
        <v>11</v>
      </c>
      <c r="G427" s="13">
        <v>1</v>
      </c>
      <c r="H427" s="14">
        <f t="shared" si="17"/>
        <v>1</v>
      </c>
      <c r="J427" s="14">
        <v>1</v>
      </c>
      <c r="K427" s="13" t="s">
        <v>3022</v>
      </c>
      <c r="Q427" s="14"/>
    </row>
    <row r="428" spans="1:17" x14ac:dyDescent="0.25">
      <c r="A428" s="11" t="s">
        <v>2684</v>
      </c>
      <c r="B428" s="13" t="s">
        <v>126</v>
      </c>
      <c r="F428" s="14" t="s">
        <v>11</v>
      </c>
      <c r="G428" s="13">
        <v>4</v>
      </c>
      <c r="H428" s="14">
        <f t="shared" si="15"/>
        <v>4</v>
      </c>
      <c r="J428" s="14">
        <v>3</v>
      </c>
      <c r="K428" s="13" t="s">
        <v>3020</v>
      </c>
      <c r="Q428" s="14"/>
    </row>
    <row r="429" spans="1:17" x14ac:dyDescent="0.25">
      <c r="A429" s="11" t="s">
        <v>2684</v>
      </c>
      <c r="B429" s="13" t="s">
        <v>126</v>
      </c>
      <c r="C429" s="62" t="s">
        <v>3045</v>
      </c>
      <c r="E429" s="14" t="s">
        <v>1137</v>
      </c>
      <c r="F429" s="14" t="s">
        <v>11</v>
      </c>
      <c r="G429" s="13">
        <v>1</v>
      </c>
      <c r="H429" s="14">
        <f>G429+I429</f>
        <v>1</v>
      </c>
      <c r="J429" s="14">
        <v>1</v>
      </c>
      <c r="K429" s="13" t="s">
        <v>3022</v>
      </c>
      <c r="Q429" s="14"/>
    </row>
    <row r="430" spans="1:17" x14ac:dyDescent="0.25">
      <c r="A430" s="11" t="s">
        <v>2684</v>
      </c>
      <c r="B430" s="13" t="s">
        <v>191</v>
      </c>
      <c r="F430" s="14" t="s">
        <v>11</v>
      </c>
      <c r="G430" s="13">
        <v>5</v>
      </c>
      <c r="H430" s="14">
        <f t="shared" si="15"/>
        <v>5</v>
      </c>
      <c r="J430" s="14">
        <v>5</v>
      </c>
      <c r="K430" s="13" t="s">
        <v>3116</v>
      </c>
      <c r="Q430" s="14"/>
    </row>
    <row r="431" spans="1:17" x14ac:dyDescent="0.25">
      <c r="A431" s="11" t="s">
        <v>2684</v>
      </c>
      <c r="B431" s="13" t="s">
        <v>191</v>
      </c>
      <c r="C431" s="62" t="s">
        <v>43</v>
      </c>
      <c r="E431" s="14" t="s">
        <v>43</v>
      </c>
      <c r="F431" s="14" t="s">
        <v>11</v>
      </c>
      <c r="G431" s="13">
        <v>2</v>
      </c>
      <c r="H431" s="14">
        <f t="shared" si="15"/>
        <v>2</v>
      </c>
      <c r="J431" s="14">
        <v>1</v>
      </c>
      <c r="K431" s="13" t="s">
        <v>1552</v>
      </c>
      <c r="Q431" s="14"/>
    </row>
    <row r="432" spans="1:17" x14ac:dyDescent="0.25">
      <c r="A432" s="11" t="s">
        <v>2684</v>
      </c>
      <c r="B432" s="13" t="s">
        <v>191</v>
      </c>
      <c r="C432" s="62" t="s">
        <v>3101</v>
      </c>
      <c r="F432" s="14" t="s">
        <v>11</v>
      </c>
      <c r="G432" s="13">
        <v>1</v>
      </c>
      <c r="H432" s="14">
        <f t="shared" si="15"/>
        <v>1</v>
      </c>
      <c r="J432" s="14">
        <v>1</v>
      </c>
      <c r="K432" s="13" t="s">
        <v>1552</v>
      </c>
      <c r="Q432" s="14"/>
    </row>
    <row r="433" spans="1:17" x14ac:dyDescent="0.25">
      <c r="A433" s="11" t="s">
        <v>2684</v>
      </c>
      <c r="B433" s="13" t="s">
        <v>191</v>
      </c>
      <c r="C433" s="62" t="s">
        <v>3115</v>
      </c>
      <c r="F433" s="14" t="s">
        <v>11</v>
      </c>
      <c r="G433" s="13">
        <v>1</v>
      </c>
      <c r="H433" s="14">
        <f>G433+I433</f>
        <v>1</v>
      </c>
      <c r="J433" s="14">
        <v>1</v>
      </c>
      <c r="K433" s="13" t="s">
        <v>1521</v>
      </c>
      <c r="Q433" s="14"/>
    </row>
    <row r="434" spans="1:17" x14ac:dyDescent="0.25">
      <c r="A434" s="11" t="s">
        <v>2684</v>
      </c>
      <c r="B434" s="13" t="s">
        <v>191</v>
      </c>
      <c r="C434" s="62" t="s">
        <v>2984</v>
      </c>
      <c r="F434" s="14" t="s">
        <v>11</v>
      </c>
      <c r="G434" s="13">
        <v>2</v>
      </c>
      <c r="H434" s="14">
        <f>G434+I434</f>
        <v>2</v>
      </c>
      <c r="J434" s="14">
        <v>2</v>
      </c>
      <c r="K434" s="13" t="s">
        <v>2986</v>
      </c>
      <c r="Q434" s="14"/>
    </row>
    <row r="435" spans="1:17" x14ac:dyDescent="0.25">
      <c r="A435" s="11" t="s">
        <v>2684</v>
      </c>
      <c r="B435" s="13" t="s">
        <v>191</v>
      </c>
      <c r="C435" s="62" t="s">
        <v>3117</v>
      </c>
      <c r="F435" s="14" t="s">
        <v>11</v>
      </c>
      <c r="G435" s="13">
        <v>1</v>
      </c>
      <c r="H435" s="14">
        <f>G435+I435</f>
        <v>1</v>
      </c>
      <c r="J435" s="14">
        <v>1</v>
      </c>
      <c r="K435" s="13" t="s">
        <v>1552</v>
      </c>
      <c r="Q435" s="14"/>
    </row>
    <row r="436" spans="1:17" x14ac:dyDescent="0.25">
      <c r="A436" s="11" t="s">
        <v>2684</v>
      </c>
      <c r="B436" s="13" t="s">
        <v>191</v>
      </c>
      <c r="C436" s="62" t="s">
        <v>3118</v>
      </c>
      <c r="F436" s="14" t="s">
        <v>11</v>
      </c>
      <c r="G436" s="13">
        <v>1</v>
      </c>
      <c r="H436" s="14">
        <f>G436+I436</f>
        <v>1</v>
      </c>
      <c r="J436" s="14">
        <v>1</v>
      </c>
      <c r="K436" s="13" t="s">
        <v>3084</v>
      </c>
      <c r="Q436" s="14"/>
    </row>
    <row r="437" spans="1:17" x14ac:dyDescent="0.25">
      <c r="A437" s="11" t="s">
        <v>2684</v>
      </c>
      <c r="B437" s="13" t="s">
        <v>68</v>
      </c>
      <c r="C437" s="62" t="s">
        <v>68</v>
      </c>
      <c r="F437" s="14" t="s">
        <v>11</v>
      </c>
      <c r="G437" s="13">
        <v>9</v>
      </c>
      <c r="H437" s="14">
        <f t="shared" si="15"/>
        <v>9</v>
      </c>
      <c r="J437" s="14">
        <v>8</v>
      </c>
      <c r="K437" s="13" t="s">
        <v>3011</v>
      </c>
      <c r="Q437" s="14"/>
    </row>
    <row r="438" spans="1:17" x14ac:dyDescent="0.25">
      <c r="A438" s="11" t="s">
        <v>2684</v>
      </c>
      <c r="B438" s="13" t="s">
        <v>68</v>
      </c>
      <c r="C438" s="62" t="s">
        <v>2993</v>
      </c>
      <c r="F438" s="14" t="s">
        <v>11</v>
      </c>
      <c r="G438" s="13">
        <v>1</v>
      </c>
      <c r="H438" s="14">
        <f>G438+I438</f>
        <v>1</v>
      </c>
      <c r="J438" s="14">
        <v>1</v>
      </c>
      <c r="K438" s="13" t="s">
        <v>1322</v>
      </c>
      <c r="Q438" s="14"/>
    </row>
    <row r="439" spans="1:17" x14ac:dyDescent="0.25">
      <c r="A439" s="11" t="s">
        <v>2684</v>
      </c>
      <c r="B439" s="13" t="s">
        <v>68</v>
      </c>
      <c r="C439" s="62" t="s">
        <v>2396</v>
      </c>
      <c r="E439" s="14" t="s">
        <v>2397</v>
      </c>
      <c r="F439" s="14" t="s">
        <v>11</v>
      </c>
      <c r="G439" s="13">
        <v>1</v>
      </c>
      <c r="H439" s="14">
        <f t="shared" si="15"/>
        <v>1</v>
      </c>
      <c r="J439" s="14">
        <v>1</v>
      </c>
      <c r="K439" s="13" t="s">
        <v>31</v>
      </c>
      <c r="Q439" s="14"/>
    </row>
    <row r="440" spans="1:17" x14ac:dyDescent="0.25">
      <c r="A440" s="11" t="s">
        <v>2684</v>
      </c>
      <c r="B440" s="13" t="s">
        <v>327</v>
      </c>
      <c r="C440" s="62" t="s">
        <v>282</v>
      </c>
      <c r="E440" s="14" t="s">
        <v>677</v>
      </c>
      <c r="F440" s="14" t="s">
        <v>11</v>
      </c>
      <c r="G440" s="13">
        <v>2</v>
      </c>
      <c r="H440" s="14">
        <f>G440+I440</f>
        <v>2</v>
      </c>
      <c r="J440" s="14">
        <v>2</v>
      </c>
      <c r="K440" s="13" t="s">
        <v>3012</v>
      </c>
      <c r="Q440" s="14"/>
    </row>
    <row r="441" spans="1:17" x14ac:dyDescent="0.25">
      <c r="A441" s="11" t="s">
        <v>2684</v>
      </c>
      <c r="B441" s="13" t="s">
        <v>64</v>
      </c>
      <c r="F441" s="14" t="s">
        <v>11</v>
      </c>
      <c r="G441" s="13">
        <v>2</v>
      </c>
      <c r="H441" s="14">
        <f t="shared" ref="H441:H485" si="18">G441+I441</f>
        <v>2</v>
      </c>
      <c r="J441" s="14">
        <v>2</v>
      </c>
      <c r="K441" s="13" t="s">
        <v>2834</v>
      </c>
      <c r="Q441" s="14"/>
    </row>
    <row r="442" spans="1:17" x14ac:dyDescent="0.25">
      <c r="A442" s="11" t="s">
        <v>2684</v>
      </c>
      <c r="B442" s="13" t="s">
        <v>261</v>
      </c>
      <c r="F442" s="14" t="s">
        <v>11</v>
      </c>
      <c r="G442" s="13">
        <v>3</v>
      </c>
      <c r="H442" s="14">
        <f t="shared" si="18"/>
        <v>3</v>
      </c>
      <c r="J442" s="14">
        <v>2</v>
      </c>
      <c r="K442" s="13" t="s">
        <v>2681</v>
      </c>
      <c r="Q442" s="14"/>
    </row>
    <row r="443" spans="1:17" x14ac:dyDescent="0.25">
      <c r="A443" s="11" t="s">
        <v>2684</v>
      </c>
      <c r="B443" s="13" t="s">
        <v>283</v>
      </c>
      <c r="F443" s="14" t="s">
        <v>11</v>
      </c>
      <c r="G443" s="13">
        <v>2</v>
      </c>
      <c r="H443" s="14">
        <f t="shared" si="18"/>
        <v>2</v>
      </c>
      <c r="J443" s="14">
        <v>2</v>
      </c>
      <c r="K443" s="13" t="s">
        <v>2693</v>
      </c>
      <c r="Q443" s="14"/>
    </row>
    <row r="444" spans="1:17" x14ac:dyDescent="0.25">
      <c r="A444" s="11" t="s">
        <v>2684</v>
      </c>
      <c r="B444" s="13" t="s">
        <v>430</v>
      </c>
      <c r="F444" s="14" t="s">
        <v>11</v>
      </c>
      <c r="G444" s="13">
        <v>1</v>
      </c>
      <c r="H444" s="14">
        <f t="shared" si="18"/>
        <v>1</v>
      </c>
      <c r="J444" s="14">
        <v>1</v>
      </c>
      <c r="K444" s="13" t="s">
        <v>3022</v>
      </c>
      <c r="Q444" s="14"/>
    </row>
    <row r="445" spans="1:17" x14ac:dyDescent="0.25">
      <c r="A445" s="11" t="s">
        <v>2684</v>
      </c>
      <c r="B445" s="13" t="s">
        <v>328</v>
      </c>
      <c r="C445" s="62" t="s">
        <v>984</v>
      </c>
      <c r="F445" s="14" t="s">
        <v>11</v>
      </c>
      <c r="G445" s="13">
        <v>1</v>
      </c>
      <c r="H445" s="14">
        <f>G445+I445</f>
        <v>1</v>
      </c>
      <c r="J445" s="14">
        <v>1</v>
      </c>
      <c r="K445" s="13" t="s">
        <v>2886</v>
      </c>
      <c r="Q445" s="14"/>
    </row>
    <row r="446" spans="1:17" x14ac:dyDescent="0.25">
      <c r="A446" s="11" t="s">
        <v>2684</v>
      </c>
      <c r="B446" s="13" t="s">
        <v>328</v>
      </c>
      <c r="C446" s="62" t="s">
        <v>1778</v>
      </c>
      <c r="F446" s="14" t="s">
        <v>11</v>
      </c>
      <c r="G446" s="13">
        <v>6</v>
      </c>
      <c r="H446" s="14">
        <f t="shared" si="18"/>
        <v>6</v>
      </c>
      <c r="J446" s="14">
        <v>4</v>
      </c>
      <c r="K446" s="13" t="s">
        <v>2894</v>
      </c>
      <c r="Q446" s="14"/>
    </row>
    <row r="447" spans="1:17" x14ac:dyDescent="0.25">
      <c r="A447" s="11" t="s">
        <v>2684</v>
      </c>
      <c r="B447" s="13" t="s">
        <v>2674</v>
      </c>
      <c r="F447" s="14" t="s">
        <v>11</v>
      </c>
      <c r="G447" s="13">
        <v>2</v>
      </c>
      <c r="H447" s="14">
        <f>G447+I447</f>
        <v>2</v>
      </c>
      <c r="J447" s="14">
        <v>2</v>
      </c>
      <c r="K447" s="13" t="s">
        <v>688</v>
      </c>
      <c r="Q447" s="14"/>
    </row>
    <row r="448" spans="1:17" x14ac:dyDescent="0.25">
      <c r="A448" s="11" t="s">
        <v>2684</v>
      </c>
      <c r="B448" s="13" t="s">
        <v>78</v>
      </c>
      <c r="F448" s="14" t="s">
        <v>11</v>
      </c>
      <c r="G448" s="13">
        <v>1</v>
      </c>
      <c r="H448" s="14">
        <f t="shared" si="18"/>
        <v>1</v>
      </c>
      <c r="J448" s="14">
        <v>1</v>
      </c>
      <c r="K448" s="13" t="s">
        <v>2886</v>
      </c>
      <c r="Q448" s="14"/>
    </row>
    <row r="449" spans="1:17" x14ac:dyDescent="0.25">
      <c r="A449" s="11" t="s">
        <v>2684</v>
      </c>
      <c r="B449" s="13" t="s">
        <v>46</v>
      </c>
      <c r="F449" s="14" t="s">
        <v>11</v>
      </c>
      <c r="G449" s="13">
        <v>1</v>
      </c>
      <c r="H449" s="14">
        <f t="shared" si="18"/>
        <v>1</v>
      </c>
      <c r="J449" s="14">
        <v>1</v>
      </c>
      <c r="K449" s="13" t="s">
        <v>3022</v>
      </c>
      <c r="Q449" s="14"/>
    </row>
    <row r="450" spans="1:17" x14ac:dyDescent="0.25">
      <c r="A450" s="11" t="s">
        <v>2684</v>
      </c>
      <c r="B450" s="13" t="s">
        <v>62</v>
      </c>
      <c r="F450" s="14" t="s">
        <v>11</v>
      </c>
      <c r="G450" s="13">
        <v>1</v>
      </c>
      <c r="H450" s="14">
        <f t="shared" si="18"/>
        <v>1</v>
      </c>
      <c r="J450" s="14">
        <v>1</v>
      </c>
      <c r="K450" s="13" t="s">
        <v>849</v>
      </c>
      <c r="Q450" s="14"/>
    </row>
    <row r="451" spans="1:17" x14ac:dyDescent="0.25">
      <c r="A451" s="11" t="s">
        <v>2684</v>
      </c>
      <c r="B451" s="13" t="s">
        <v>82</v>
      </c>
      <c r="E451" s="14" t="s">
        <v>82</v>
      </c>
      <c r="F451" s="14" t="s">
        <v>11</v>
      </c>
      <c r="G451" s="13">
        <v>1</v>
      </c>
      <c r="H451" s="14">
        <f>G451+I451</f>
        <v>1</v>
      </c>
      <c r="J451" s="14">
        <v>1</v>
      </c>
      <c r="K451" s="13" t="s">
        <v>1322</v>
      </c>
      <c r="Q451" s="14"/>
    </row>
    <row r="452" spans="1:17" x14ac:dyDescent="0.25">
      <c r="A452" s="11" t="s">
        <v>2684</v>
      </c>
      <c r="B452" s="13" t="s">
        <v>22</v>
      </c>
      <c r="E452" s="14" t="s">
        <v>22</v>
      </c>
      <c r="F452" s="14" t="s">
        <v>11</v>
      </c>
      <c r="G452" s="13">
        <v>3</v>
      </c>
      <c r="H452" s="14">
        <f t="shared" si="18"/>
        <v>3</v>
      </c>
      <c r="J452" s="14">
        <v>3</v>
      </c>
      <c r="K452" s="13" t="s">
        <v>2898</v>
      </c>
      <c r="Q452" s="14"/>
    </row>
    <row r="453" spans="1:17" x14ac:dyDescent="0.25">
      <c r="A453" s="11" t="s">
        <v>2684</v>
      </c>
      <c r="B453" s="13" t="s">
        <v>22</v>
      </c>
      <c r="C453" s="62" t="s">
        <v>2985</v>
      </c>
      <c r="E453" s="14" t="s">
        <v>22</v>
      </c>
      <c r="F453" s="14" t="s">
        <v>11</v>
      </c>
      <c r="G453" s="13">
        <v>1</v>
      </c>
      <c r="H453" s="14">
        <f>G453+I453</f>
        <v>1</v>
      </c>
      <c r="J453" s="14">
        <v>1</v>
      </c>
      <c r="K453" s="13" t="s">
        <v>1521</v>
      </c>
      <c r="Q453" s="14"/>
    </row>
    <row r="454" spans="1:17" x14ac:dyDescent="0.25">
      <c r="A454" s="11" t="s">
        <v>2684</v>
      </c>
      <c r="B454" s="13" t="s">
        <v>22</v>
      </c>
      <c r="C454" s="62" t="s">
        <v>2826</v>
      </c>
      <c r="E454" s="14" t="s">
        <v>22</v>
      </c>
      <c r="F454" s="14" t="s">
        <v>11</v>
      </c>
      <c r="G454" s="13">
        <v>1</v>
      </c>
      <c r="H454" s="14">
        <f>G454+I454</f>
        <v>2</v>
      </c>
      <c r="I454" s="14">
        <v>1</v>
      </c>
      <c r="J454" s="14">
        <v>2</v>
      </c>
      <c r="K454" s="13" t="s">
        <v>2897</v>
      </c>
      <c r="Q454" s="14"/>
    </row>
    <row r="455" spans="1:17" x14ac:dyDescent="0.25">
      <c r="A455" s="11" t="s">
        <v>2684</v>
      </c>
      <c r="B455" s="13" t="s">
        <v>93</v>
      </c>
      <c r="C455" s="62" t="s">
        <v>2691</v>
      </c>
      <c r="E455" s="14" t="s">
        <v>1382</v>
      </c>
      <c r="F455" s="14" t="s">
        <v>11</v>
      </c>
      <c r="G455" s="13">
        <v>1</v>
      </c>
      <c r="H455" s="14">
        <f t="shared" si="18"/>
        <v>1</v>
      </c>
      <c r="J455" s="14">
        <v>1</v>
      </c>
      <c r="K455" s="13" t="s">
        <v>358</v>
      </c>
      <c r="Q455" s="14"/>
    </row>
    <row r="456" spans="1:17" x14ac:dyDescent="0.25">
      <c r="A456" s="11" t="s">
        <v>2684</v>
      </c>
      <c r="B456" s="13" t="s">
        <v>93</v>
      </c>
      <c r="F456" s="14" t="s">
        <v>11</v>
      </c>
      <c r="G456" s="13">
        <v>6</v>
      </c>
      <c r="H456" s="14">
        <f t="shared" si="18"/>
        <v>6</v>
      </c>
      <c r="J456" s="14">
        <v>5</v>
      </c>
      <c r="K456" s="13" t="s">
        <v>2896</v>
      </c>
      <c r="Q456" s="14"/>
    </row>
    <row r="457" spans="1:17" x14ac:dyDescent="0.25">
      <c r="A457" s="11" t="s">
        <v>2684</v>
      </c>
      <c r="B457" s="13" t="s">
        <v>93</v>
      </c>
      <c r="C457" s="62" t="s">
        <v>2895</v>
      </c>
      <c r="E457" s="14" t="s">
        <v>93</v>
      </c>
      <c r="F457" s="14" t="s">
        <v>11</v>
      </c>
      <c r="G457" s="13">
        <v>1</v>
      </c>
      <c r="H457" s="14">
        <f>G457+I457</f>
        <v>1</v>
      </c>
      <c r="J457" s="14">
        <v>1</v>
      </c>
      <c r="K457" s="13" t="s">
        <v>2886</v>
      </c>
      <c r="Q457" s="14"/>
    </row>
    <row r="458" spans="1:17" x14ac:dyDescent="0.25">
      <c r="A458" s="11" t="s">
        <v>2684</v>
      </c>
      <c r="B458" s="13" t="s">
        <v>24</v>
      </c>
      <c r="C458" s="62" t="s">
        <v>857</v>
      </c>
      <c r="F458" s="14" t="s">
        <v>11</v>
      </c>
      <c r="G458" s="13">
        <v>1</v>
      </c>
      <c r="H458" s="14">
        <f>G458+I458</f>
        <v>1</v>
      </c>
      <c r="J458" s="14">
        <v>1</v>
      </c>
      <c r="K458" s="13" t="s">
        <v>338</v>
      </c>
      <c r="Q458" s="14"/>
    </row>
    <row r="459" spans="1:17" x14ac:dyDescent="0.25">
      <c r="A459" s="11" t="s">
        <v>2684</v>
      </c>
      <c r="B459" s="13" t="s">
        <v>24</v>
      </c>
      <c r="C459" s="62" t="s">
        <v>2884</v>
      </c>
      <c r="F459" s="14" t="s">
        <v>11</v>
      </c>
      <c r="G459" s="13">
        <v>1</v>
      </c>
      <c r="H459" s="14">
        <f>G459+I459</f>
        <v>1</v>
      </c>
      <c r="J459" s="14">
        <v>1</v>
      </c>
      <c r="K459" s="13" t="s">
        <v>1234</v>
      </c>
      <c r="Q459" s="14"/>
    </row>
    <row r="460" spans="1:17" x14ac:dyDescent="0.25">
      <c r="A460" s="11" t="s">
        <v>2684</v>
      </c>
      <c r="B460" s="13" t="s">
        <v>24</v>
      </c>
      <c r="C460" s="62" t="s">
        <v>986</v>
      </c>
      <c r="F460" s="14" t="s">
        <v>11</v>
      </c>
      <c r="G460" s="13">
        <v>1</v>
      </c>
      <c r="H460" s="14">
        <f t="shared" si="18"/>
        <v>1</v>
      </c>
      <c r="J460" s="14">
        <v>1</v>
      </c>
      <c r="K460" s="13" t="s">
        <v>1195</v>
      </c>
      <c r="Q460" s="14"/>
    </row>
    <row r="461" spans="1:17" x14ac:dyDescent="0.25">
      <c r="A461" s="11" t="s">
        <v>2684</v>
      </c>
      <c r="B461" s="13" t="s">
        <v>24</v>
      </c>
      <c r="C461" s="62" t="s">
        <v>2690</v>
      </c>
      <c r="F461" s="14" t="s">
        <v>11</v>
      </c>
      <c r="G461" s="13">
        <v>1</v>
      </c>
      <c r="H461" s="14">
        <f t="shared" si="18"/>
        <v>1</v>
      </c>
      <c r="J461" s="14">
        <v>1</v>
      </c>
      <c r="K461" s="13" t="s">
        <v>338</v>
      </c>
      <c r="Q461" s="14"/>
    </row>
    <row r="462" spans="1:17" x14ac:dyDescent="0.25">
      <c r="A462" s="11" t="s">
        <v>2684</v>
      </c>
      <c r="B462" s="13" t="s">
        <v>24</v>
      </c>
      <c r="C462" s="62" t="s">
        <v>2868</v>
      </c>
      <c r="F462" s="14" t="s">
        <v>11</v>
      </c>
      <c r="G462" s="13">
        <v>1</v>
      </c>
      <c r="H462" s="14">
        <f>G462+I462</f>
        <v>1</v>
      </c>
      <c r="J462" s="14">
        <v>1</v>
      </c>
      <c r="K462" s="13" t="s">
        <v>868</v>
      </c>
      <c r="Q462" s="14"/>
    </row>
    <row r="463" spans="1:17" x14ac:dyDescent="0.25">
      <c r="A463" s="11" t="s">
        <v>2684</v>
      </c>
      <c r="B463" s="13" t="s">
        <v>24</v>
      </c>
      <c r="C463" s="62" t="s">
        <v>24</v>
      </c>
      <c r="F463" s="14" t="s">
        <v>11</v>
      </c>
      <c r="G463" s="13">
        <v>8</v>
      </c>
      <c r="H463" s="14">
        <f t="shared" si="18"/>
        <v>8</v>
      </c>
      <c r="J463" s="14">
        <v>8</v>
      </c>
      <c r="K463" s="13" t="s">
        <v>2867</v>
      </c>
      <c r="Q463" s="14"/>
    </row>
    <row r="464" spans="1:17" x14ac:dyDescent="0.25">
      <c r="A464" s="11" t="s">
        <v>2684</v>
      </c>
      <c r="B464" s="13" t="s">
        <v>416</v>
      </c>
      <c r="C464" s="62" t="s">
        <v>416</v>
      </c>
      <c r="F464" s="14" t="s">
        <v>11</v>
      </c>
      <c r="G464" s="13">
        <v>12</v>
      </c>
      <c r="H464" s="14">
        <f>G464+I464</f>
        <v>12</v>
      </c>
      <c r="J464" s="14">
        <v>10</v>
      </c>
      <c r="K464" s="13" t="s">
        <v>3110</v>
      </c>
      <c r="Q464" s="14"/>
    </row>
    <row r="465" spans="1:17" x14ac:dyDescent="0.25">
      <c r="A465" s="11" t="s">
        <v>2684</v>
      </c>
      <c r="B465" s="13" t="s">
        <v>139</v>
      </c>
      <c r="F465" s="14" t="s">
        <v>11</v>
      </c>
      <c r="G465" s="13">
        <v>1</v>
      </c>
      <c r="H465" s="14">
        <f>G465+I465</f>
        <v>1</v>
      </c>
      <c r="J465" s="14">
        <v>1</v>
      </c>
      <c r="K465" s="13" t="s">
        <v>2886</v>
      </c>
      <c r="Q465" s="14"/>
    </row>
    <row r="466" spans="1:17" x14ac:dyDescent="0.25">
      <c r="A466" s="11" t="s">
        <v>2684</v>
      </c>
      <c r="B466" s="13" t="s">
        <v>139</v>
      </c>
      <c r="C466" s="62" t="s">
        <v>3134</v>
      </c>
      <c r="F466" s="14" t="s">
        <v>11</v>
      </c>
      <c r="G466" s="13">
        <v>1</v>
      </c>
      <c r="H466" s="14">
        <f>G466+I466</f>
        <v>1</v>
      </c>
      <c r="J466" s="14">
        <v>1</v>
      </c>
      <c r="K466" s="13" t="s">
        <v>3084</v>
      </c>
      <c r="Q466" s="14"/>
    </row>
    <row r="467" spans="1:17" x14ac:dyDescent="0.25">
      <c r="A467" s="11" t="s">
        <v>2684</v>
      </c>
      <c r="B467" s="13" t="s">
        <v>269</v>
      </c>
      <c r="C467" s="62" t="s">
        <v>3111</v>
      </c>
      <c r="E467" s="14" t="s">
        <v>515</v>
      </c>
      <c r="F467" s="14" t="s">
        <v>11</v>
      </c>
      <c r="G467" s="13">
        <v>1</v>
      </c>
      <c r="H467" s="14">
        <f t="shared" si="18"/>
        <v>1</v>
      </c>
      <c r="J467" s="14">
        <v>1</v>
      </c>
      <c r="K467" s="13" t="s">
        <v>1552</v>
      </c>
      <c r="Q467" s="14"/>
    </row>
    <row r="468" spans="1:17" x14ac:dyDescent="0.25">
      <c r="A468" s="11" t="s">
        <v>2684</v>
      </c>
      <c r="B468" s="13" t="s">
        <v>269</v>
      </c>
      <c r="C468" s="62" t="s">
        <v>3029</v>
      </c>
      <c r="F468" s="14" t="s">
        <v>11</v>
      </c>
      <c r="G468" s="13">
        <v>1</v>
      </c>
      <c r="H468" s="14">
        <f t="shared" si="18"/>
        <v>1</v>
      </c>
      <c r="J468" s="14">
        <v>1</v>
      </c>
      <c r="K468" s="13" t="s">
        <v>3022</v>
      </c>
      <c r="Q468" s="14"/>
    </row>
    <row r="469" spans="1:17" x14ac:dyDescent="0.25">
      <c r="A469" s="11" t="s">
        <v>2684</v>
      </c>
      <c r="B469" s="13" t="s">
        <v>269</v>
      </c>
      <c r="C469" s="62" t="s">
        <v>2776</v>
      </c>
      <c r="E469" s="14" t="s">
        <v>515</v>
      </c>
      <c r="F469" s="14" t="s">
        <v>11</v>
      </c>
      <c r="G469" s="13">
        <v>3</v>
      </c>
      <c r="H469" s="14">
        <f>G469+I469</f>
        <v>3</v>
      </c>
      <c r="J469" s="14">
        <v>2</v>
      </c>
      <c r="K469" s="13" t="s">
        <v>2537</v>
      </c>
      <c r="Q469" s="14"/>
    </row>
    <row r="470" spans="1:17" x14ac:dyDescent="0.25">
      <c r="A470" s="11" t="s">
        <v>2684</v>
      </c>
      <c r="B470" s="13" t="s">
        <v>269</v>
      </c>
      <c r="C470" s="62" t="s">
        <v>2454</v>
      </c>
      <c r="D470" s="62"/>
      <c r="E470" s="62" t="s">
        <v>630</v>
      </c>
      <c r="F470" s="14" t="s">
        <v>11</v>
      </c>
      <c r="G470" s="13">
        <v>1</v>
      </c>
      <c r="H470" s="14">
        <f t="shared" si="18"/>
        <v>1</v>
      </c>
      <c r="J470" s="14">
        <v>1</v>
      </c>
      <c r="K470" s="13" t="s">
        <v>3022</v>
      </c>
      <c r="Q470" s="14"/>
    </row>
    <row r="471" spans="1:17" x14ac:dyDescent="0.25">
      <c r="A471" s="11" t="s">
        <v>2684</v>
      </c>
      <c r="B471" s="13" t="s">
        <v>2079</v>
      </c>
      <c r="C471" s="62" t="s">
        <v>3044</v>
      </c>
      <c r="F471" s="14" t="s">
        <v>11</v>
      </c>
      <c r="G471" s="13">
        <v>1</v>
      </c>
      <c r="H471" s="14">
        <f>G471+I471</f>
        <v>1</v>
      </c>
      <c r="J471" s="14">
        <v>1</v>
      </c>
      <c r="K471" s="13" t="s">
        <v>3022</v>
      </c>
      <c r="Q471" s="14"/>
    </row>
    <row r="472" spans="1:17" x14ac:dyDescent="0.25">
      <c r="A472" s="11" t="s">
        <v>2684</v>
      </c>
      <c r="B472" s="13" t="s">
        <v>24</v>
      </c>
      <c r="C472" s="62" t="s">
        <v>1181</v>
      </c>
      <c r="F472" s="14" t="s">
        <v>11</v>
      </c>
      <c r="G472" s="13">
        <v>4</v>
      </c>
      <c r="H472" s="14">
        <f>G472+I472</f>
        <v>4</v>
      </c>
      <c r="J472" s="14">
        <v>3</v>
      </c>
      <c r="K472" s="13" t="s">
        <v>2883</v>
      </c>
      <c r="Q472" s="14"/>
    </row>
    <row r="473" spans="1:17" x14ac:dyDescent="0.25">
      <c r="A473" s="11" t="s">
        <v>2684</v>
      </c>
      <c r="C473" s="62" t="s">
        <v>1422</v>
      </c>
      <c r="E473" s="14" t="s">
        <v>1422</v>
      </c>
      <c r="F473" s="14" t="s">
        <v>11</v>
      </c>
      <c r="G473" s="13">
        <v>3</v>
      </c>
      <c r="H473" s="14">
        <f t="shared" si="18"/>
        <v>3</v>
      </c>
      <c r="J473" s="14">
        <v>3</v>
      </c>
      <c r="K473" s="13" t="s">
        <v>2672</v>
      </c>
    </row>
    <row r="474" spans="1:17" x14ac:dyDescent="0.25">
      <c r="A474" s="11" t="s">
        <v>2684</v>
      </c>
      <c r="C474" s="62" t="s">
        <v>1806</v>
      </c>
      <c r="D474" s="13" t="s">
        <v>1057</v>
      </c>
      <c r="E474" s="14" t="s">
        <v>282</v>
      </c>
      <c r="F474" s="14" t="s">
        <v>11</v>
      </c>
      <c r="G474" s="13">
        <v>1</v>
      </c>
      <c r="H474" s="14">
        <f t="shared" si="18"/>
        <v>1</v>
      </c>
      <c r="J474" s="14">
        <v>1</v>
      </c>
      <c r="K474" s="13" t="s">
        <v>414</v>
      </c>
      <c r="L474" s="25"/>
      <c r="M474" s="25"/>
      <c r="N474" s="25"/>
      <c r="O474" s="25"/>
      <c r="P474" s="25"/>
    </row>
    <row r="475" spans="1:17" x14ac:dyDescent="0.25">
      <c r="A475" s="11" t="s">
        <v>2684</v>
      </c>
      <c r="B475" s="26"/>
      <c r="C475" s="66" t="s">
        <v>11</v>
      </c>
      <c r="E475" s="25"/>
      <c r="F475" s="25" t="s">
        <v>11</v>
      </c>
      <c r="G475" s="26">
        <v>7</v>
      </c>
      <c r="H475" s="25">
        <f t="shared" si="18"/>
        <v>7</v>
      </c>
      <c r="I475" s="25"/>
      <c r="J475" s="25">
        <v>6</v>
      </c>
      <c r="K475" s="26" t="s">
        <v>2963</v>
      </c>
    </row>
    <row r="476" spans="1:17" x14ac:dyDescent="0.25">
      <c r="A476" s="11" t="s">
        <v>2684</v>
      </c>
      <c r="C476" s="62" t="s">
        <v>296</v>
      </c>
      <c r="F476" s="14" t="s">
        <v>11</v>
      </c>
      <c r="G476" s="13">
        <v>4</v>
      </c>
      <c r="H476" s="14">
        <f t="shared" si="18"/>
        <v>4</v>
      </c>
      <c r="J476" s="14">
        <v>3</v>
      </c>
      <c r="K476" s="13" t="s">
        <v>3053</v>
      </c>
    </row>
    <row r="477" spans="1:17" x14ac:dyDescent="0.25">
      <c r="A477" s="11" t="s">
        <v>2684</v>
      </c>
      <c r="C477" s="62" t="s">
        <v>259</v>
      </c>
      <c r="F477" s="14" t="s">
        <v>11</v>
      </c>
      <c r="G477" s="13">
        <v>3</v>
      </c>
      <c r="H477" s="14">
        <f t="shared" si="18"/>
        <v>3</v>
      </c>
      <c r="J477" s="14">
        <v>3</v>
      </c>
      <c r="K477" s="13" t="s">
        <v>2910</v>
      </c>
    </row>
    <row r="478" spans="1:17" x14ac:dyDescent="0.25">
      <c r="A478" s="11" t="s">
        <v>2684</v>
      </c>
      <c r="C478" s="62" t="s">
        <v>1281</v>
      </c>
      <c r="F478" s="14" t="s">
        <v>11</v>
      </c>
      <c r="G478" s="13">
        <v>3</v>
      </c>
      <c r="H478" s="14">
        <f>G478+I478</f>
        <v>3</v>
      </c>
      <c r="J478" s="14">
        <v>2</v>
      </c>
      <c r="K478" s="13" t="s">
        <v>3013</v>
      </c>
    </row>
    <row r="479" spans="1:17" x14ac:dyDescent="0.25">
      <c r="A479" s="11" t="s">
        <v>2684</v>
      </c>
      <c r="C479" s="62" t="s">
        <v>266</v>
      </c>
      <c r="F479" s="14" t="s">
        <v>11</v>
      </c>
      <c r="G479" s="13">
        <v>6</v>
      </c>
      <c r="H479" s="14">
        <f>G479+I479</f>
        <v>6</v>
      </c>
      <c r="J479" s="14">
        <v>5</v>
      </c>
      <c r="K479" s="13" t="s">
        <v>2909</v>
      </c>
    </row>
    <row r="480" spans="1:17" x14ac:dyDescent="0.25">
      <c r="A480" s="11" t="s">
        <v>2684</v>
      </c>
      <c r="C480" s="62" t="s">
        <v>543</v>
      </c>
      <c r="F480" s="14" t="s">
        <v>11</v>
      </c>
      <c r="G480" s="13">
        <v>1</v>
      </c>
      <c r="H480" s="14">
        <f t="shared" si="18"/>
        <v>1</v>
      </c>
      <c r="J480" s="14">
        <v>1</v>
      </c>
      <c r="K480" s="13" t="s">
        <v>2178</v>
      </c>
      <c r="Q480" s="14"/>
    </row>
    <row r="481" spans="1:17" x14ac:dyDescent="0.25">
      <c r="A481" s="11" t="s">
        <v>2684</v>
      </c>
      <c r="C481" s="62" t="s">
        <v>1911</v>
      </c>
      <c r="F481" s="14" t="s">
        <v>11</v>
      </c>
      <c r="G481" s="13">
        <v>1</v>
      </c>
      <c r="H481" s="14">
        <f t="shared" si="18"/>
        <v>1</v>
      </c>
      <c r="J481" s="14">
        <v>1</v>
      </c>
      <c r="K481" s="13" t="s">
        <v>31</v>
      </c>
      <c r="Q481" s="14"/>
    </row>
    <row r="482" spans="1:17" x14ac:dyDescent="0.25">
      <c r="A482" s="11" t="s">
        <v>2684</v>
      </c>
      <c r="C482" s="62" t="s">
        <v>718</v>
      </c>
      <c r="D482" s="13" t="s">
        <v>833</v>
      </c>
      <c r="F482" s="14" t="s">
        <v>11</v>
      </c>
      <c r="G482" s="13">
        <v>2</v>
      </c>
      <c r="H482" s="14">
        <f t="shared" si="18"/>
        <v>2</v>
      </c>
      <c r="J482" s="14">
        <v>2</v>
      </c>
      <c r="K482" s="13" t="s">
        <v>2646</v>
      </c>
      <c r="Q482" s="14"/>
    </row>
    <row r="483" spans="1:17" x14ac:dyDescent="0.25">
      <c r="A483" s="11" t="s">
        <v>2684</v>
      </c>
      <c r="C483" s="62" t="s">
        <v>742</v>
      </c>
      <c r="D483" s="13" t="s">
        <v>1057</v>
      </c>
      <c r="F483" s="14" t="s">
        <v>11</v>
      </c>
      <c r="G483" s="13">
        <v>3</v>
      </c>
      <c r="H483" s="14">
        <f t="shared" si="18"/>
        <v>3</v>
      </c>
      <c r="J483" s="14">
        <v>2</v>
      </c>
      <c r="K483" s="13" t="s">
        <v>2738</v>
      </c>
      <c r="Q483" s="14"/>
    </row>
    <row r="484" spans="1:17" x14ac:dyDescent="0.25">
      <c r="A484" s="11" t="s">
        <v>2684</v>
      </c>
      <c r="C484" s="62" t="s">
        <v>282</v>
      </c>
      <c r="F484" s="14" t="s">
        <v>11</v>
      </c>
      <c r="G484" s="13">
        <v>2</v>
      </c>
      <c r="H484" s="14">
        <f t="shared" si="18"/>
        <v>2</v>
      </c>
      <c r="J484" s="14">
        <v>2</v>
      </c>
      <c r="K484" s="13" t="s">
        <v>3014</v>
      </c>
      <c r="Q484" s="14"/>
    </row>
    <row r="485" spans="1:17" x14ac:dyDescent="0.25">
      <c r="A485" s="11" t="s">
        <v>2684</v>
      </c>
      <c r="C485" s="62" t="s">
        <v>678</v>
      </c>
      <c r="F485" s="14" t="s">
        <v>11</v>
      </c>
      <c r="G485" s="13">
        <v>2</v>
      </c>
      <c r="H485" s="14">
        <f t="shared" si="18"/>
        <v>2</v>
      </c>
      <c r="J485" s="14">
        <v>2</v>
      </c>
      <c r="K485" s="13" t="s">
        <v>3015</v>
      </c>
      <c r="Q485" s="14"/>
    </row>
    <row r="486" spans="1:17" x14ac:dyDescent="0.25">
      <c r="A486" s="11" t="s">
        <v>2684</v>
      </c>
      <c r="C486" s="62" t="s">
        <v>2365</v>
      </c>
      <c r="F486" s="14" t="s">
        <v>11</v>
      </c>
      <c r="G486" s="13">
        <v>1</v>
      </c>
      <c r="H486" s="14">
        <f>G486+I486</f>
        <v>1</v>
      </c>
      <c r="J486" s="14">
        <v>1</v>
      </c>
      <c r="K486" s="13" t="s">
        <v>1286</v>
      </c>
      <c r="Q486" s="14"/>
    </row>
    <row r="487" spans="1:17" x14ac:dyDescent="0.25">
      <c r="A487" s="11" t="s">
        <v>2684</v>
      </c>
      <c r="C487" s="62" t="s">
        <v>321</v>
      </c>
      <c r="F487" s="14" t="s">
        <v>11</v>
      </c>
      <c r="G487" s="13">
        <v>1</v>
      </c>
      <c r="H487" s="14">
        <f t="shared" ref="H487:H540" si="19">G487+I487</f>
        <v>1</v>
      </c>
      <c r="J487" s="14">
        <v>1</v>
      </c>
      <c r="K487" s="13" t="s">
        <v>284</v>
      </c>
      <c r="Q487" s="14"/>
    </row>
    <row r="488" spans="1:17" x14ac:dyDescent="0.25">
      <c r="A488" s="11" t="s">
        <v>2684</v>
      </c>
      <c r="C488" s="62" t="s">
        <v>21</v>
      </c>
      <c r="E488" s="14" t="s">
        <v>21</v>
      </c>
      <c r="F488" s="14" t="s">
        <v>11</v>
      </c>
      <c r="G488" s="13">
        <v>39</v>
      </c>
      <c r="H488" s="14">
        <f t="shared" si="19"/>
        <v>39</v>
      </c>
      <c r="J488" s="14">
        <v>18</v>
      </c>
      <c r="K488" s="13" t="s">
        <v>2912</v>
      </c>
      <c r="Q488" s="14"/>
    </row>
    <row r="489" spans="1:17" ht="22.5" x14ac:dyDescent="0.25">
      <c r="A489" s="11" t="s">
        <v>2684</v>
      </c>
      <c r="C489" s="62" t="s">
        <v>2673</v>
      </c>
      <c r="F489" s="13" t="s">
        <v>1104</v>
      </c>
      <c r="G489" s="13">
        <v>2</v>
      </c>
      <c r="H489" s="14">
        <f t="shared" si="19"/>
        <v>2</v>
      </c>
      <c r="J489" s="14">
        <v>2</v>
      </c>
      <c r="K489" s="13" t="s">
        <v>2671</v>
      </c>
    </row>
    <row r="490" spans="1:17" x14ac:dyDescent="0.25">
      <c r="A490" s="11" t="s">
        <v>2684</v>
      </c>
      <c r="C490" s="62" t="s">
        <v>69</v>
      </c>
      <c r="F490" s="13" t="s">
        <v>11</v>
      </c>
      <c r="G490" s="13">
        <v>1</v>
      </c>
      <c r="H490" s="14">
        <f t="shared" si="19"/>
        <v>1</v>
      </c>
      <c r="J490" s="14">
        <v>1</v>
      </c>
      <c r="K490" s="13" t="s">
        <v>1103</v>
      </c>
    </row>
    <row r="491" spans="1:17" s="41" customFormat="1" ht="22.5" x14ac:dyDescent="0.25">
      <c r="A491" s="11" t="s">
        <v>2684</v>
      </c>
      <c r="B491" s="13"/>
      <c r="C491" s="62"/>
      <c r="D491" s="13" t="s">
        <v>2737</v>
      </c>
      <c r="E491" s="14"/>
      <c r="F491" s="13" t="s">
        <v>1104</v>
      </c>
      <c r="G491" s="13">
        <v>2</v>
      </c>
      <c r="H491" s="14">
        <f>G491+I491</f>
        <v>2</v>
      </c>
      <c r="I491" s="14"/>
      <c r="J491" s="14">
        <v>1</v>
      </c>
      <c r="K491" s="13" t="s">
        <v>541</v>
      </c>
      <c r="L491" s="14"/>
      <c r="M491" s="14"/>
      <c r="N491" s="14"/>
      <c r="O491" s="14"/>
      <c r="P491" s="14"/>
      <c r="Q491" s="43"/>
    </row>
    <row r="492" spans="1:17" ht="22.5" x14ac:dyDescent="0.25">
      <c r="A492" s="11" t="s">
        <v>2684</v>
      </c>
      <c r="C492" s="62" t="s">
        <v>2699</v>
      </c>
      <c r="F492" s="13" t="s">
        <v>1104</v>
      </c>
      <c r="G492" s="13">
        <v>19</v>
      </c>
      <c r="H492" s="14">
        <f t="shared" si="19"/>
        <v>19</v>
      </c>
      <c r="J492" s="14">
        <v>10</v>
      </c>
      <c r="K492" s="13" t="s">
        <v>2748</v>
      </c>
      <c r="L492" s="41"/>
      <c r="M492" s="41"/>
      <c r="N492" s="41"/>
      <c r="O492" s="41"/>
      <c r="P492" s="41"/>
    </row>
    <row r="493" spans="1:17" x14ac:dyDescent="0.25">
      <c r="A493" s="11" t="s">
        <v>2684</v>
      </c>
      <c r="B493" s="43"/>
      <c r="C493" s="67" t="s">
        <v>56</v>
      </c>
      <c r="D493" s="43"/>
      <c r="E493" s="41"/>
      <c r="F493" s="41" t="s">
        <v>56</v>
      </c>
      <c r="G493" s="43">
        <v>17</v>
      </c>
      <c r="H493" s="14">
        <f t="shared" si="19"/>
        <v>17</v>
      </c>
      <c r="I493" s="41"/>
      <c r="J493" s="41">
        <v>10</v>
      </c>
      <c r="K493" s="43" t="s">
        <v>3119</v>
      </c>
    </row>
    <row r="494" spans="1:17" x14ac:dyDescent="0.25">
      <c r="A494" s="11" t="s">
        <v>2684</v>
      </c>
      <c r="C494" s="62" t="s">
        <v>371</v>
      </c>
      <c r="E494" s="14" t="s">
        <v>1143</v>
      </c>
      <c r="F494" s="14" t="s">
        <v>56</v>
      </c>
      <c r="G494" s="13">
        <v>1</v>
      </c>
      <c r="H494" s="14">
        <f t="shared" si="19"/>
        <v>1</v>
      </c>
      <c r="J494" s="14">
        <v>1</v>
      </c>
      <c r="K494" s="13" t="s">
        <v>32</v>
      </c>
    </row>
    <row r="495" spans="1:17" x14ac:dyDescent="0.25">
      <c r="A495" s="11" t="s">
        <v>2684</v>
      </c>
      <c r="C495" s="62" t="s">
        <v>254</v>
      </c>
      <c r="F495" s="14" t="s">
        <v>56</v>
      </c>
      <c r="G495" s="13">
        <v>4</v>
      </c>
      <c r="H495" s="14">
        <f t="shared" si="19"/>
        <v>4</v>
      </c>
      <c r="J495" s="14">
        <v>3</v>
      </c>
      <c r="K495" s="13" t="s">
        <v>3016</v>
      </c>
    </row>
    <row r="496" spans="1:17" x14ac:dyDescent="0.25">
      <c r="A496" s="11" t="s">
        <v>2684</v>
      </c>
      <c r="C496" s="62" t="s">
        <v>451</v>
      </c>
      <c r="F496" s="14" t="s">
        <v>56</v>
      </c>
      <c r="G496" s="13">
        <v>1</v>
      </c>
      <c r="H496" s="14">
        <f t="shared" si="19"/>
        <v>1</v>
      </c>
      <c r="J496" s="14">
        <v>1</v>
      </c>
      <c r="K496" s="13" t="s">
        <v>2752</v>
      </c>
    </row>
    <row r="497" spans="1:17" x14ac:dyDescent="0.25">
      <c r="A497" s="11" t="s">
        <v>2684</v>
      </c>
      <c r="B497" s="13" t="s">
        <v>57</v>
      </c>
      <c r="C497" s="62" t="s">
        <v>950</v>
      </c>
      <c r="E497" s="13" t="s">
        <v>57</v>
      </c>
      <c r="F497" s="14" t="s">
        <v>56</v>
      </c>
      <c r="G497" s="13">
        <v>7</v>
      </c>
      <c r="H497" s="14">
        <f t="shared" si="19"/>
        <v>7</v>
      </c>
      <c r="J497" s="14">
        <v>6</v>
      </c>
      <c r="K497" s="13" t="s">
        <v>3124</v>
      </c>
    </row>
    <row r="498" spans="1:17" x14ac:dyDescent="0.25">
      <c r="A498" s="11" t="s">
        <v>2684</v>
      </c>
      <c r="B498" s="13" t="s">
        <v>57</v>
      </c>
      <c r="C498" s="62" t="s">
        <v>3125</v>
      </c>
      <c r="E498" s="13" t="s">
        <v>57</v>
      </c>
      <c r="F498" s="14" t="s">
        <v>56</v>
      </c>
      <c r="G498" s="13">
        <v>1</v>
      </c>
      <c r="H498" s="14">
        <f t="shared" si="19"/>
        <v>1</v>
      </c>
      <c r="J498" s="14">
        <v>1</v>
      </c>
      <c r="K498" s="13" t="s">
        <v>1552</v>
      </c>
    </row>
    <row r="499" spans="1:17" x14ac:dyDescent="0.25">
      <c r="A499" s="11" t="s">
        <v>2684</v>
      </c>
      <c r="B499" s="13" t="s">
        <v>57</v>
      </c>
      <c r="C499" s="62" t="s">
        <v>2869</v>
      </c>
      <c r="E499" s="13" t="s">
        <v>57</v>
      </c>
      <c r="F499" s="14" t="s">
        <v>56</v>
      </c>
      <c r="G499" s="13">
        <v>1</v>
      </c>
      <c r="H499" s="14">
        <f>G499+I499</f>
        <v>1</v>
      </c>
      <c r="J499" s="14">
        <v>1</v>
      </c>
      <c r="K499" s="13" t="s">
        <v>893</v>
      </c>
    </row>
    <row r="500" spans="1:17" x14ac:dyDescent="0.25">
      <c r="A500" s="11" t="s">
        <v>2684</v>
      </c>
      <c r="B500" s="13" t="s">
        <v>161</v>
      </c>
      <c r="C500" s="62" t="s">
        <v>301</v>
      </c>
      <c r="F500" s="14" t="s">
        <v>56</v>
      </c>
      <c r="G500" s="13">
        <v>2</v>
      </c>
      <c r="H500" s="14">
        <f t="shared" si="19"/>
        <v>2</v>
      </c>
      <c r="J500" s="14">
        <v>2</v>
      </c>
      <c r="K500" s="13" t="s">
        <v>2700</v>
      </c>
    </row>
    <row r="501" spans="1:17" s="33" customFormat="1" x14ac:dyDescent="0.25">
      <c r="A501" s="11" t="s">
        <v>2684</v>
      </c>
      <c r="B501" s="13" t="s">
        <v>161</v>
      </c>
      <c r="C501" s="62" t="s">
        <v>2775</v>
      </c>
      <c r="D501" s="13"/>
      <c r="E501" s="14"/>
      <c r="F501" s="14" t="s">
        <v>56</v>
      </c>
      <c r="G501" s="13">
        <v>1</v>
      </c>
      <c r="H501" s="14">
        <f t="shared" ref="H501:H512" si="20">G501+I501</f>
        <v>1</v>
      </c>
      <c r="I501" s="14"/>
      <c r="J501" s="14">
        <v>1</v>
      </c>
      <c r="K501" s="13" t="s">
        <v>2752</v>
      </c>
      <c r="L501" s="14"/>
      <c r="M501" s="14"/>
      <c r="N501" s="14"/>
      <c r="O501" s="14"/>
      <c r="P501" s="14"/>
      <c r="Q501" s="35"/>
    </row>
    <row r="502" spans="1:17" s="33" customFormat="1" x14ac:dyDescent="0.25">
      <c r="A502" s="11" t="s">
        <v>2684</v>
      </c>
      <c r="B502" s="13" t="s">
        <v>66</v>
      </c>
      <c r="C502" s="62" t="s">
        <v>244</v>
      </c>
      <c r="D502" s="13"/>
      <c r="E502" s="14"/>
      <c r="F502" s="14" t="s">
        <v>56</v>
      </c>
      <c r="G502" s="13">
        <v>1</v>
      </c>
      <c r="H502" s="14">
        <f t="shared" si="20"/>
        <v>1</v>
      </c>
      <c r="I502" s="14"/>
      <c r="J502" s="14">
        <v>1</v>
      </c>
      <c r="K502" s="13" t="s">
        <v>1322</v>
      </c>
      <c r="L502" s="14"/>
      <c r="M502" s="14"/>
      <c r="N502" s="14"/>
      <c r="O502" s="14"/>
      <c r="P502" s="14"/>
      <c r="Q502" s="35"/>
    </row>
    <row r="503" spans="1:17" s="33" customFormat="1" x14ac:dyDescent="0.25">
      <c r="A503" s="11" t="s">
        <v>2684</v>
      </c>
      <c r="B503" s="13" t="s">
        <v>57</v>
      </c>
      <c r="C503" s="62" t="s">
        <v>3019</v>
      </c>
      <c r="D503" s="13"/>
      <c r="E503" s="14" t="s">
        <v>1096</v>
      </c>
      <c r="F503" s="14" t="s">
        <v>56</v>
      </c>
      <c r="G503" s="13">
        <v>1</v>
      </c>
      <c r="H503" s="14">
        <f t="shared" si="20"/>
        <v>1</v>
      </c>
      <c r="I503" s="14"/>
      <c r="J503" s="14">
        <v>1</v>
      </c>
      <c r="K503" s="13" t="s">
        <v>1322</v>
      </c>
      <c r="L503" s="14"/>
      <c r="M503" s="14"/>
      <c r="N503" s="14"/>
      <c r="O503" s="14"/>
      <c r="P503" s="14"/>
      <c r="Q503" s="35"/>
    </row>
    <row r="504" spans="1:17" s="33" customFormat="1" x14ac:dyDescent="0.25">
      <c r="A504" s="11" t="s">
        <v>2684</v>
      </c>
      <c r="B504" s="13" t="s">
        <v>161</v>
      </c>
      <c r="C504" s="62" t="s">
        <v>3126</v>
      </c>
      <c r="D504" s="13"/>
      <c r="E504" s="14" t="s">
        <v>254</v>
      </c>
      <c r="F504" s="14" t="s">
        <v>56</v>
      </c>
      <c r="G504" s="13">
        <v>1</v>
      </c>
      <c r="H504" s="14">
        <f t="shared" si="20"/>
        <v>1</v>
      </c>
      <c r="I504" s="14"/>
      <c r="J504" s="14">
        <v>1</v>
      </c>
      <c r="K504" s="13" t="s">
        <v>3084</v>
      </c>
      <c r="L504" s="14"/>
      <c r="M504" s="14"/>
      <c r="N504" s="14"/>
      <c r="O504" s="14"/>
      <c r="P504" s="14"/>
      <c r="Q504" s="35"/>
    </row>
    <row r="505" spans="1:17" x14ac:dyDescent="0.25">
      <c r="A505" s="11" t="s">
        <v>2684</v>
      </c>
      <c r="B505" s="13" t="s">
        <v>66</v>
      </c>
      <c r="C505" s="62" t="s">
        <v>274</v>
      </c>
      <c r="F505" s="14" t="s">
        <v>56</v>
      </c>
      <c r="G505" s="13">
        <v>3</v>
      </c>
      <c r="H505" s="14">
        <f t="shared" si="20"/>
        <v>3</v>
      </c>
      <c r="J505" s="14">
        <v>3</v>
      </c>
      <c r="K505" s="13" t="s">
        <v>3122</v>
      </c>
    </row>
    <row r="506" spans="1:17" x14ac:dyDescent="0.25">
      <c r="A506" s="11" t="s">
        <v>2684</v>
      </c>
      <c r="B506" s="13" t="s">
        <v>66</v>
      </c>
      <c r="C506" s="62" t="s">
        <v>3123</v>
      </c>
      <c r="E506" s="14" t="s">
        <v>274</v>
      </c>
      <c r="F506" s="14" t="s">
        <v>56</v>
      </c>
      <c r="G506" s="13">
        <v>1</v>
      </c>
      <c r="H506" s="14">
        <f t="shared" si="20"/>
        <v>1</v>
      </c>
      <c r="J506" s="14">
        <v>1</v>
      </c>
      <c r="K506" s="13" t="s">
        <v>1552</v>
      </c>
    </row>
    <row r="507" spans="1:17" x14ac:dyDescent="0.25">
      <c r="A507" s="11" t="s">
        <v>2684</v>
      </c>
      <c r="B507" s="13" t="s">
        <v>66</v>
      </c>
      <c r="C507" s="62" t="s">
        <v>3120</v>
      </c>
      <c r="E507" s="14" t="s">
        <v>274</v>
      </c>
      <c r="F507" s="14" t="s">
        <v>56</v>
      </c>
      <c r="G507" s="13">
        <v>1</v>
      </c>
      <c r="H507" s="14">
        <f t="shared" si="20"/>
        <v>1</v>
      </c>
      <c r="J507" s="14">
        <v>1</v>
      </c>
      <c r="K507" s="13" t="s">
        <v>3084</v>
      </c>
    </row>
    <row r="508" spans="1:17" x14ac:dyDescent="0.25">
      <c r="A508" s="11" t="s">
        <v>2684</v>
      </c>
      <c r="B508" s="13" t="s">
        <v>66</v>
      </c>
      <c r="C508" s="62" t="s">
        <v>3121</v>
      </c>
      <c r="E508" s="14" t="s">
        <v>274</v>
      </c>
      <c r="F508" s="14" t="s">
        <v>56</v>
      </c>
      <c r="G508" s="13">
        <v>1</v>
      </c>
      <c r="H508" s="14">
        <f t="shared" si="20"/>
        <v>1</v>
      </c>
      <c r="J508" s="14">
        <v>1</v>
      </c>
      <c r="K508" s="13" t="s">
        <v>3084</v>
      </c>
    </row>
    <row r="509" spans="1:17" s="33" customFormat="1" x14ac:dyDescent="0.25">
      <c r="A509" s="11" t="s">
        <v>2684</v>
      </c>
      <c r="B509" s="13" t="s">
        <v>161</v>
      </c>
      <c r="C509" s="62" t="s">
        <v>2634</v>
      </c>
      <c r="D509" s="13"/>
      <c r="E509" s="14" t="s">
        <v>254</v>
      </c>
      <c r="F509" s="14" t="s">
        <v>56</v>
      </c>
      <c r="G509" s="13">
        <v>2</v>
      </c>
      <c r="H509" s="14">
        <f t="shared" si="20"/>
        <v>2</v>
      </c>
      <c r="I509" s="14"/>
      <c r="J509" s="14">
        <v>2</v>
      </c>
      <c r="K509" s="13" t="s">
        <v>3013</v>
      </c>
      <c r="Q509" s="35"/>
    </row>
    <row r="510" spans="1:17" x14ac:dyDescent="0.25">
      <c r="A510" s="11" t="s">
        <v>2684</v>
      </c>
      <c r="B510" s="13" t="s">
        <v>186</v>
      </c>
      <c r="C510" s="62" t="s">
        <v>190</v>
      </c>
      <c r="F510" s="14" t="s">
        <v>56</v>
      </c>
      <c r="G510" s="13">
        <v>1</v>
      </c>
      <c r="H510" s="14">
        <f t="shared" si="20"/>
        <v>1</v>
      </c>
      <c r="J510" s="14">
        <v>1</v>
      </c>
      <c r="K510" s="13" t="s">
        <v>1322</v>
      </c>
    </row>
    <row r="511" spans="1:17" x14ac:dyDescent="0.25">
      <c r="A511" s="11" t="s">
        <v>2684</v>
      </c>
      <c r="B511" s="13" t="s">
        <v>3018</v>
      </c>
      <c r="C511" s="62" t="s">
        <v>3017</v>
      </c>
      <c r="E511" s="14" t="s">
        <v>2616</v>
      </c>
      <c r="F511" s="14" t="s">
        <v>56</v>
      </c>
      <c r="G511" s="13">
        <v>1</v>
      </c>
      <c r="H511" s="14">
        <f t="shared" si="20"/>
        <v>1</v>
      </c>
      <c r="J511" s="14">
        <v>1</v>
      </c>
      <c r="K511" s="13" t="s">
        <v>1322</v>
      </c>
    </row>
    <row r="512" spans="1:17" x14ac:dyDescent="0.25">
      <c r="A512" s="11" t="s">
        <v>2684</v>
      </c>
      <c r="B512" s="13" t="s">
        <v>66</v>
      </c>
      <c r="C512" s="62" t="s">
        <v>2095</v>
      </c>
      <c r="F512" s="14" t="s">
        <v>56</v>
      </c>
      <c r="G512" s="13">
        <v>1</v>
      </c>
      <c r="H512" s="14">
        <f t="shared" si="20"/>
        <v>1</v>
      </c>
      <c r="J512" s="14">
        <v>1</v>
      </c>
      <c r="K512" s="13" t="s">
        <v>1322</v>
      </c>
    </row>
    <row r="513" spans="1:17" ht="22.5" x14ac:dyDescent="0.25">
      <c r="A513" s="11" t="s">
        <v>2684</v>
      </c>
      <c r="B513" s="35"/>
      <c r="C513" s="68" t="s">
        <v>35</v>
      </c>
      <c r="D513" s="35"/>
      <c r="E513" s="33"/>
      <c r="F513" s="33" t="s">
        <v>35</v>
      </c>
      <c r="G513" s="35">
        <v>20</v>
      </c>
      <c r="H513" s="14">
        <f t="shared" si="19"/>
        <v>20</v>
      </c>
      <c r="I513" s="33"/>
      <c r="J513" s="33">
        <v>15</v>
      </c>
      <c r="K513" s="35" t="s">
        <v>3127</v>
      </c>
      <c r="Q513" s="14"/>
    </row>
    <row r="514" spans="1:17" s="33" customFormat="1" ht="22.5" x14ac:dyDescent="0.25">
      <c r="A514" s="11" t="s">
        <v>2684</v>
      </c>
      <c r="B514" s="13"/>
      <c r="C514" s="62"/>
      <c r="D514" s="13" t="s">
        <v>2642</v>
      </c>
      <c r="E514" s="14"/>
      <c r="F514" s="13" t="s">
        <v>1905</v>
      </c>
      <c r="G514" s="13">
        <v>4</v>
      </c>
      <c r="H514" s="14">
        <f>G514+I514</f>
        <v>4</v>
      </c>
      <c r="I514" s="14"/>
      <c r="J514" s="14">
        <v>2</v>
      </c>
      <c r="K514" s="13" t="s">
        <v>2866</v>
      </c>
      <c r="Q514" s="35"/>
    </row>
    <row r="515" spans="1:17" ht="22.5" x14ac:dyDescent="0.25">
      <c r="A515" s="11" t="s">
        <v>2684</v>
      </c>
      <c r="B515" s="35"/>
      <c r="C515" s="62" t="s">
        <v>1904</v>
      </c>
      <c r="D515" s="35"/>
      <c r="E515" s="14" t="s">
        <v>2708</v>
      </c>
      <c r="F515" s="13" t="s">
        <v>1905</v>
      </c>
      <c r="G515" s="13">
        <v>1</v>
      </c>
      <c r="H515" s="14">
        <f t="shared" si="19"/>
        <v>1</v>
      </c>
      <c r="J515" s="14">
        <v>1</v>
      </c>
      <c r="K515" s="13" t="s">
        <v>733</v>
      </c>
      <c r="L515" s="33"/>
      <c r="M515" s="33"/>
      <c r="N515" s="33"/>
      <c r="O515" s="33"/>
      <c r="P515" s="33"/>
      <c r="Q515" s="14"/>
    </row>
    <row r="516" spans="1:17" ht="22.5" x14ac:dyDescent="0.25">
      <c r="A516" s="11" t="s">
        <v>2684</v>
      </c>
      <c r="B516" s="35"/>
      <c r="C516" s="62" t="s">
        <v>394</v>
      </c>
      <c r="D516" s="35"/>
      <c r="E516" s="33"/>
      <c r="F516" s="13" t="s">
        <v>1905</v>
      </c>
      <c r="G516" s="13">
        <v>1</v>
      </c>
      <c r="H516" s="14">
        <f t="shared" si="19"/>
        <v>1</v>
      </c>
      <c r="J516" s="14">
        <v>1</v>
      </c>
      <c r="K516" s="13" t="s">
        <v>846</v>
      </c>
      <c r="Q516" s="14"/>
    </row>
    <row r="517" spans="1:17" x14ac:dyDescent="0.25">
      <c r="A517" s="11" t="s">
        <v>2684</v>
      </c>
      <c r="C517" s="62" t="s">
        <v>1906</v>
      </c>
      <c r="F517" s="14" t="s">
        <v>35</v>
      </c>
      <c r="G517" s="13">
        <v>1</v>
      </c>
      <c r="H517" s="14">
        <f t="shared" si="19"/>
        <v>1</v>
      </c>
      <c r="J517" s="14">
        <v>1</v>
      </c>
      <c r="K517" s="13" t="s">
        <v>3022</v>
      </c>
      <c r="Q517" s="14"/>
    </row>
    <row r="518" spans="1:17" x14ac:dyDescent="0.25">
      <c r="A518" s="11" t="s">
        <v>2684</v>
      </c>
      <c r="C518" s="62" t="s">
        <v>1779</v>
      </c>
      <c r="F518" s="14" t="s">
        <v>35</v>
      </c>
      <c r="G518" s="13">
        <v>1</v>
      </c>
      <c r="H518" s="14">
        <f t="shared" si="19"/>
        <v>1</v>
      </c>
      <c r="J518" s="14">
        <v>1</v>
      </c>
      <c r="K518" s="13" t="s">
        <v>3022</v>
      </c>
      <c r="Q518" s="14"/>
    </row>
    <row r="519" spans="1:17" x14ac:dyDescent="0.25">
      <c r="A519" s="11" t="s">
        <v>2684</v>
      </c>
      <c r="C519" s="62" t="s">
        <v>2640</v>
      </c>
      <c r="D519" s="13" t="s">
        <v>2641</v>
      </c>
      <c r="F519" s="14" t="s">
        <v>874</v>
      </c>
      <c r="G519" s="13">
        <v>2</v>
      </c>
      <c r="H519" s="14">
        <f>G519+I519</f>
        <v>2</v>
      </c>
      <c r="J519" s="14">
        <v>2</v>
      </c>
      <c r="K519" s="13" t="s">
        <v>2639</v>
      </c>
      <c r="Q519" s="14"/>
    </row>
    <row r="520" spans="1:17" ht="22.5" x14ac:dyDescent="0.25">
      <c r="A520" s="11" t="s">
        <v>2684</v>
      </c>
      <c r="C520" s="62" t="s">
        <v>256</v>
      </c>
      <c r="D520" s="13" t="s">
        <v>813</v>
      </c>
      <c r="E520" s="13" t="s">
        <v>258</v>
      </c>
      <c r="F520" s="14" t="s">
        <v>35</v>
      </c>
      <c r="G520" s="13">
        <v>2</v>
      </c>
      <c r="H520" s="14">
        <f t="shared" si="19"/>
        <v>2</v>
      </c>
      <c r="J520" s="14">
        <v>2</v>
      </c>
      <c r="K520" s="13" t="s">
        <v>2709</v>
      </c>
      <c r="Q520" s="14"/>
    </row>
    <row r="521" spans="1:17" x14ac:dyDescent="0.25">
      <c r="A521" s="11" t="s">
        <v>2684</v>
      </c>
      <c r="C521" s="62" t="s">
        <v>1907</v>
      </c>
      <c r="D521" s="13" t="s">
        <v>1944</v>
      </c>
      <c r="E521" s="13" t="s">
        <v>2336</v>
      </c>
      <c r="F521" s="14" t="s">
        <v>35</v>
      </c>
      <c r="G521" s="13">
        <v>1</v>
      </c>
      <c r="H521" s="14">
        <f t="shared" si="19"/>
        <v>1</v>
      </c>
      <c r="J521" s="14">
        <v>1</v>
      </c>
      <c r="K521" s="13" t="s">
        <v>846</v>
      </c>
      <c r="Q521" s="14"/>
    </row>
    <row r="522" spans="1:17" x14ac:dyDescent="0.25">
      <c r="A522" s="11" t="s">
        <v>2684</v>
      </c>
      <c r="C522" s="62" t="s">
        <v>2057</v>
      </c>
      <c r="E522" s="13" t="s">
        <v>3135</v>
      </c>
      <c r="F522" s="14" t="s">
        <v>35</v>
      </c>
      <c r="G522" s="13">
        <v>3</v>
      </c>
      <c r="H522" s="14">
        <f t="shared" si="19"/>
        <v>3</v>
      </c>
      <c r="J522" s="14">
        <v>3</v>
      </c>
      <c r="K522" s="13" t="s">
        <v>2785</v>
      </c>
      <c r="Q522" s="14"/>
    </row>
    <row r="523" spans="1:17" x14ac:dyDescent="0.25">
      <c r="A523" s="11" t="s">
        <v>2684</v>
      </c>
      <c r="C523" s="62" t="s">
        <v>307</v>
      </c>
      <c r="E523" s="13"/>
      <c r="F523" s="14" t="s">
        <v>35</v>
      </c>
      <c r="G523" s="13">
        <v>5</v>
      </c>
      <c r="H523" s="14">
        <f t="shared" si="19"/>
        <v>5</v>
      </c>
      <c r="J523" s="14">
        <v>4</v>
      </c>
      <c r="K523" s="13" t="s">
        <v>2749</v>
      </c>
      <c r="Q523" s="14"/>
    </row>
    <row r="524" spans="1:17" x14ac:dyDescent="0.25">
      <c r="A524" s="11" t="s">
        <v>2684</v>
      </c>
      <c r="C524" s="62" t="s">
        <v>257</v>
      </c>
      <c r="F524" s="14" t="s">
        <v>35</v>
      </c>
      <c r="G524" s="13">
        <v>3</v>
      </c>
      <c r="H524" s="14">
        <f>G524+I524</f>
        <v>3</v>
      </c>
      <c r="J524" s="14">
        <v>2</v>
      </c>
      <c r="K524" s="13" t="s">
        <v>3054</v>
      </c>
      <c r="Q524" s="14"/>
    </row>
    <row r="525" spans="1:17" x14ac:dyDescent="0.25">
      <c r="A525" s="11" t="s">
        <v>2684</v>
      </c>
      <c r="C525" s="62" t="s">
        <v>257</v>
      </c>
      <c r="E525" s="14" t="s">
        <v>2635</v>
      </c>
      <c r="F525" s="14" t="s">
        <v>35</v>
      </c>
      <c r="G525" s="13">
        <v>1</v>
      </c>
      <c r="H525" s="14">
        <f t="shared" si="19"/>
        <v>1</v>
      </c>
      <c r="J525" s="14">
        <v>1</v>
      </c>
      <c r="K525" s="13" t="s">
        <v>32</v>
      </c>
      <c r="Q525" s="14"/>
    </row>
    <row r="526" spans="1:17" x14ac:dyDescent="0.25">
      <c r="A526" s="11" t="s">
        <v>2684</v>
      </c>
      <c r="C526" s="62" t="s">
        <v>471</v>
      </c>
      <c r="E526" s="14" t="s">
        <v>86</v>
      </c>
      <c r="F526" s="14" t="s">
        <v>35</v>
      </c>
      <c r="G526" s="13">
        <v>9</v>
      </c>
      <c r="H526" s="14">
        <f t="shared" si="19"/>
        <v>9</v>
      </c>
      <c r="J526" s="14">
        <v>7</v>
      </c>
      <c r="K526" s="13" t="s">
        <v>3082</v>
      </c>
      <c r="Q526" s="14"/>
    </row>
    <row r="527" spans="1:17" x14ac:dyDescent="0.25">
      <c r="A527" s="11" t="s">
        <v>2684</v>
      </c>
      <c r="C527" s="62" t="s">
        <v>471</v>
      </c>
      <c r="E527" s="14" t="s">
        <v>2637</v>
      </c>
      <c r="F527" s="14" t="s">
        <v>35</v>
      </c>
      <c r="G527" s="13">
        <v>1</v>
      </c>
      <c r="H527" s="14">
        <f>G527+I527</f>
        <v>1</v>
      </c>
      <c r="J527" s="14">
        <v>1</v>
      </c>
      <c r="K527" s="13" t="s">
        <v>32</v>
      </c>
      <c r="Q527" s="14"/>
    </row>
    <row r="528" spans="1:17" x14ac:dyDescent="0.25">
      <c r="A528" s="11" t="s">
        <v>2684</v>
      </c>
      <c r="C528" s="62" t="s">
        <v>260</v>
      </c>
      <c r="F528" s="14" t="s">
        <v>35</v>
      </c>
      <c r="G528" s="13">
        <v>3</v>
      </c>
      <c r="H528" s="14">
        <f t="shared" si="19"/>
        <v>3</v>
      </c>
      <c r="J528" s="14">
        <v>3</v>
      </c>
      <c r="K528" s="13" t="s">
        <v>2962</v>
      </c>
      <c r="Q528" s="14"/>
    </row>
    <row r="529" spans="1:17" x14ac:dyDescent="0.25">
      <c r="A529" s="11" t="s">
        <v>2684</v>
      </c>
      <c r="C529" s="62" t="s">
        <v>737</v>
      </c>
      <c r="F529" s="14" t="s">
        <v>35</v>
      </c>
      <c r="G529" s="13">
        <v>1</v>
      </c>
      <c r="H529" s="14">
        <f t="shared" si="19"/>
        <v>1</v>
      </c>
      <c r="J529" s="14">
        <v>1</v>
      </c>
      <c r="K529" s="13" t="s">
        <v>32</v>
      </c>
      <c r="Q529" s="14"/>
    </row>
    <row r="530" spans="1:17" x14ac:dyDescent="0.25">
      <c r="A530" s="11" t="s">
        <v>2684</v>
      </c>
      <c r="B530" s="13" t="s">
        <v>2058</v>
      </c>
      <c r="C530" s="62" t="s">
        <v>2059</v>
      </c>
      <c r="F530" s="14" t="s">
        <v>35</v>
      </c>
      <c r="G530" s="13">
        <v>1</v>
      </c>
      <c r="H530" s="14">
        <f t="shared" si="19"/>
        <v>1</v>
      </c>
      <c r="J530" s="14">
        <v>1</v>
      </c>
      <c r="K530" s="13" t="s">
        <v>3022</v>
      </c>
      <c r="Q530" s="14"/>
    </row>
    <row r="531" spans="1:17" x14ac:dyDescent="0.25">
      <c r="A531" s="11" t="s">
        <v>2684</v>
      </c>
      <c r="B531" s="13" t="s">
        <v>238</v>
      </c>
      <c r="E531" s="14" t="s">
        <v>236</v>
      </c>
      <c r="F531" s="14" t="s">
        <v>35</v>
      </c>
      <c r="G531" s="13">
        <v>3</v>
      </c>
      <c r="H531" s="14">
        <f t="shared" si="19"/>
        <v>3</v>
      </c>
      <c r="J531" s="14">
        <v>3</v>
      </c>
      <c r="K531" s="13" t="s">
        <v>3128</v>
      </c>
      <c r="Q531" s="14"/>
    </row>
    <row r="532" spans="1:17" x14ac:dyDescent="0.25">
      <c r="A532" s="11" t="s">
        <v>2684</v>
      </c>
      <c r="D532" s="13" t="s">
        <v>1015</v>
      </c>
      <c r="E532" s="14" t="s">
        <v>3136</v>
      </c>
      <c r="F532" s="13" t="s">
        <v>35</v>
      </c>
      <c r="G532" s="13">
        <v>6</v>
      </c>
      <c r="H532" s="14">
        <f t="shared" si="19"/>
        <v>6</v>
      </c>
      <c r="J532" s="14">
        <v>4</v>
      </c>
      <c r="K532" s="13" t="s">
        <v>2750</v>
      </c>
      <c r="Q532" s="14"/>
    </row>
    <row r="533" spans="1:17" ht="22.5" x14ac:dyDescent="0.25">
      <c r="A533" s="11" t="s">
        <v>2684</v>
      </c>
      <c r="B533" s="13" t="s">
        <v>231</v>
      </c>
      <c r="D533" s="13" t="s">
        <v>1825</v>
      </c>
      <c r="F533" s="13" t="s">
        <v>35</v>
      </c>
      <c r="G533" s="13">
        <v>2</v>
      </c>
      <c r="H533" s="14">
        <f t="shared" si="19"/>
        <v>2</v>
      </c>
      <c r="J533" s="14">
        <v>2</v>
      </c>
      <c r="K533" s="13" t="s">
        <v>3068</v>
      </c>
      <c r="Q533" s="14"/>
    </row>
    <row r="534" spans="1:17" x14ac:dyDescent="0.25">
      <c r="A534" s="11" t="s">
        <v>2684</v>
      </c>
      <c r="B534" s="13" t="s">
        <v>231</v>
      </c>
      <c r="D534" s="13" t="s">
        <v>1940</v>
      </c>
      <c r="F534" s="13" t="s">
        <v>35</v>
      </c>
      <c r="G534" s="13">
        <v>2</v>
      </c>
      <c r="H534" s="14">
        <f t="shared" si="19"/>
        <v>2</v>
      </c>
      <c r="J534" s="14">
        <v>2</v>
      </c>
      <c r="K534" s="13" t="s">
        <v>3074</v>
      </c>
      <c r="Q534" s="14"/>
    </row>
    <row r="535" spans="1:17" x14ac:dyDescent="0.25">
      <c r="A535" s="11" t="s">
        <v>2684</v>
      </c>
      <c r="B535" s="13" t="s">
        <v>226</v>
      </c>
      <c r="E535" s="13" t="s">
        <v>2784</v>
      </c>
      <c r="F535" s="14" t="s">
        <v>35</v>
      </c>
      <c r="G535" s="13">
        <v>1</v>
      </c>
      <c r="H535" s="14">
        <f>G535+I535</f>
        <v>1</v>
      </c>
      <c r="J535" s="14">
        <v>1</v>
      </c>
      <c r="K535" s="13" t="s">
        <v>846</v>
      </c>
      <c r="Q535" s="14"/>
    </row>
    <row r="536" spans="1:17" x14ac:dyDescent="0.25">
      <c r="A536" s="11" t="s">
        <v>2684</v>
      </c>
      <c r="B536" s="13" t="s">
        <v>676</v>
      </c>
      <c r="D536" s="13" t="s">
        <v>1940</v>
      </c>
      <c r="F536" s="14" t="s">
        <v>35</v>
      </c>
      <c r="G536" s="13">
        <v>3</v>
      </c>
      <c r="H536" s="14">
        <f>G536+I536</f>
        <v>3</v>
      </c>
      <c r="J536" s="14">
        <v>3</v>
      </c>
      <c r="K536" s="13" t="s">
        <v>2710</v>
      </c>
      <c r="Q536" s="14"/>
    </row>
    <row r="537" spans="1:17" x14ac:dyDescent="0.25">
      <c r="A537" s="11" t="s">
        <v>2684</v>
      </c>
      <c r="B537" s="13" t="s">
        <v>676</v>
      </c>
      <c r="E537" s="14" t="s">
        <v>729</v>
      </c>
      <c r="F537" s="14" t="s">
        <v>35</v>
      </c>
      <c r="G537" s="13">
        <v>1</v>
      </c>
      <c r="H537" s="14">
        <f t="shared" si="19"/>
        <v>1</v>
      </c>
      <c r="J537" s="14">
        <v>1</v>
      </c>
      <c r="K537" s="13" t="s">
        <v>1552</v>
      </c>
      <c r="Q537" s="14"/>
    </row>
    <row r="538" spans="1:17" x14ac:dyDescent="0.25">
      <c r="A538" s="11" t="s">
        <v>2684</v>
      </c>
      <c r="B538" s="13" t="s">
        <v>676</v>
      </c>
      <c r="E538" s="14" t="s">
        <v>1030</v>
      </c>
      <c r="F538" s="14" t="s">
        <v>35</v>
      </c>
      <c r="G538" s="13">
        <v>1</v>
      </c>
      <c r="H538" s="14">
        <f t="shared" si="19"/>
        <v>1</v>
      </c>
      <c r="J538" s="14">
        <v>1</v>
      </c>
      <c r="K538" s="13" t="s">
        <v>733</v>
      </c>
      <c r="Q538" s="14"/>
    </row>
    <row r="539" spans="1:17" x14ac:dyDescent="0.25">
      <c r="A539" s="11" t="s">
        <v>2684</v>
      </c>
      <c r="B539" s="13" t="s">
        <v>676</v>
      </c>
      <c r="E539" s="14" t="s">
        <v>746</v>
      </c>
      <c r="F539" s="14" t="s">
        <v>35</v>
      </c>
      <c r="G539" s="13">
        <v>1</v>
      </c>
      <c r="H539" s="14">
        <f t="shared" si="19"/>
        <v>1</v>
      </c>
      <c r="J539" s="14">
        <v>1</v>
      </c>
      <c r="K539" s="13" t="s">
        <v>1529</v>
      </c>
      <c r="Q539" s="14"/>
    </row>
    <row r="540" spans="1:17" x14ac:dyDescent="0.25">
      <c r="A540" s="11" t="s">
        <v>2684</v>
      </c>
      <c r="B540" s="13" t="s">
        <v>249</v>
      </c>
      <c r="F540" s="14" t="s">
        <v>35</v>
      </c>
      <c r="G540" s="13">
        <v>2</v>
      </c>
      <c r="H540" s="14">
        <f t="shared" si="19"/>
        <v>2</v>
      </c>
      <c r="J540" s="14">
        <v>2</v>
      </c>
      <c r="K540" s="13" t="s">
        <v>3074</v>
      </c>
      <c r="Q540" s="14"/>
    </row>
    <row r="541" spans="1:17" x14ac:dyDescent="0.25">
      <c r="A541" s="11" t="s">
        <v>2684</v>
      </c>
      <c r="B541" s="13" t="s">
        <v>249</v>
      </c>
      <c r="D541" s="13" t="s">
        <v>465</v>
      </c>
      <c r="E541" s="14" t="s">
        <v>464</v>
      </c>
      <c r="F541" s="14" t="s">
        <v>35</v>
      </c>
      <c r="G541" s="13">
        <v>8</v>
      </c>
      <c r="H541" s="14">
        <f t="shared" ref="H541:H588" si="21">G541+I541</f>
        <v>8</v>
      </c>
      <c r="J541" s="14">
        <v>4</v>
      </c>
      <c r="K541" s="13" t="s">
        <v>3073</v>
      </c>
      <c r="Q541" s="14"/>
    </row>
    <row r="542" spans="1:17" ht="22.5" x14ac:dyDescent="0.25">
      <c r="A542" s="11" t="s">
        <v>2684</v>
      </c>
      <c r="B542" s="13" t="s">
        <v>249</v>
      </c>
      <c r="D542" s="13" t="s">
        <v>3075</v>
      </c>
      <c r="E542" s="14" t="s">
        <v>464</v>
      </c>
      <c r="F542" s="14" t="s">
        <v>35</v>
      </c>
      <c r="G542" s="13">
        <v>1</v>
      </c>
      <c r="H542" s="14">
        <f>G542+I542</f>
        <v>1</v>
      </c>
      <c r="J542" s="14">
        <v>1</v>
      </c>
      <c r="K542" s="13" t="s">
        <v>3068</v>
      </c>
      <c r="Q542" s="14"/>
    </row>
    <row r="543" spans="1:17" x14ac:dyDescent="0.25">
      <c r="A543" s="11" t="s">
        <v>2684</v>
      </c>
      <c r="B543" s="13" t="s">
        <v>34</v>
      </c>
      <c r="D543" s="13" t="s">
        <v>1940</v>
      </c>
      <c r="F543" s="14" t="s">
        <v>35</v>
      </c>
      <c r="G543" s="13">
        <v>7</v>
      </c>
      <c r="H543" s="14">
        <f t="shared" si="21"/>
        <v>7</v>
      </c>
      <c r="J543" s="14">
        <v>6</v>
      </c>
      <c r="K543" s="13" t="s">
        <v>3055</v>
      </c>
    </row>
    <row r="544" spans="1:17" ht="22.5" x14ac:dyDescent="0.25">
      <c r="A544" s="11" t="s">
        <v>2684</v>
      </c>
      <c r="B544" s="13" t="s">
        <v>34</v>
      </c>
      <c r="D544" s="13" t="s">
        <v>1034</v>
      </c>
      <c r="E544" s="14" t="s">
        <v>1047</v>
      </c>
      <c r="F544" s="14" t="s">
        <v>35</v>
      </c>
      <c r="G544" s="13">
        <v>1</v>
      </c>
      <c r="H544" s="14">
        <f t="shared" si="21"/>
        <v>1</v>
      </c>
      <c r="J544" s="14">
        <v>1</v>
      </c>
      <c r="K544" s="13" t="s">
        <v>486</v>
      </c>
    </row>
    <row r="545" spans="1:17" ht="22.5" x14ac:dyDescent="0.25">
      <c r="A545" s="11" t="s">
        <v>2684</v>
      </c>
      <c r="B545" s="13" t="s">
        <v>34</v>
      </c>
      <c r="D545" s="13" t="s">
        <v>753</v>
      </c>
      <c r="E545" s="13" t="s">
        <v>1504</v>
      </c>
      <c r="F545" s="14" t="s">
        <v>35</v>
      </c>
      <c r="G545" s="13">
        <v>7</v>
      </c>
      <c r="H545" s="14">
        <f t="shared" si="21"/>
        <v>7</v>
      </c>
      <c r="J545" s="14">
        <v>5</v>
      </c>
      <c r="K545" s="13" t="s">
        <v>2751</v>
      </c>
    </row>
    <row r="546" spans="1:17" ht="22.5" x14ac:dyDescent="0.25">
      <c r="A546" s="11" t="s">
        <v>2684</v>
      </c>
      <c r="D546" s="13" t="s">
        <v>1034</v>
      </c>
      <c r="E546" s="13" t="s">
        <v>1490</v>
      </c>
      <c r="F546" s="14" t="s">
        <v>35</v>
      </c>
      <c r="G546" s="13">
        <v>1</v>
      </c>
      <c r="H546" s="14">
        <f t="shared" si="21"/>
        <v>1</v>
      </c>
      <c r="J546" s="14">
        <v>1</v>
      </c>
      <c r="K546" s="13" t="s">
        <v>733</v>
      </c>
    </row>
    <row r="547" spans="1:17" x14ac:dyDescent="0.25">
      <c r="A547" s="11" t="s">
        <v>2684</v>
      </c>
      <c r="B547" s="13" t="s">
        <v>34</v>
      </c>
      <c r="E547" s="13" t="s">
        <v>469</v>
      </c>
      <c r="F547" s="14" t="s">
        <v>35</v>
      </c>
      <c r="G547" s="13">
        <v>1</v>
      </c>
      <c r="H547" s="14">
        <f t="shared" si="21"/>
        <v>1</v>
      </c>
      <c r="J547" s="14">
        <v>1</v>
      </c>
      <c r="K547" s="13" t="s">
        <v>513</v>
      </c>
    </row>
    <row r="548" spans="1:17" x14ac:dyDescent="0.25">
      <c r="A548" s="11" t="s">
        <v>2684</v>
      </c>
      <c r="B548" s="13" t="s">
        <v>34</v>
      </c>
      <c r="C548" s="62" t="s">
        <v>2779</v>
      </c>
      <c r="E548" s="13" t="s">
        <v>2780</v>
      </c>
      <c r="F548" s="14" t="s">
        <v>35</v>
      </c>
      <c r="G548" s="13">
        <v>1</v>
      </c>
      <c r="H548" s="14">
        <f>G548+I548</f>
        <v>1</v>
      </c>
      <c r="J548" s="14">
        <v>1</v>
      </c>
      <c r="K548" s="13" t="s">
        <v>1391</v>
      </c>
    </row>
    <row r="549" spans="1:17" x14ac:dyDescent="0.25">
      <c r="A549" s="11" t="s">
        <v>2684</v>
      </c>
      <c r="B549" s="13" t="s">
        <v>34</v>
      </c>
      <c r="C549" s="62" t="s">
        <v>2781</v>
      </c>
      <c r="E549" s="13" t="s">
        <v>2780</v>
      </c>
      <c r="F549" s="14" t="s">
        <v>35</v>
      </c>
      <c r="G549" s="13">
        <v>1</v>
      </c>
      <c r="H549" s="14">
        <f>G549+I549</f>
        <v>1</v>
      </c>
      <c r="J549" s="14">
        <v>1</v>
      </c>
      <c r="K549" s="13" t="s">
        <v>1391</v>
      </c>
    </row>
    <row r="550" spans="1:17" x14ac:dyDescent="0.25">
      <c r="A550" s="11" t="s">
        <v>2684</v>
      </c>
      <c r="B550" s="13" t="s">
        <v>99</v>
      </c>
      <c r="C550" s="62" t="s">
        <v>1505</v>
      </c>
      <c r="E550" s="13"/>
      <c r="F550" s="14" t="s">
        <v>35</v>
      </c>
      <c r="G550" s="13">
        <v>1</v>
      </c>
      <c r="H550" s="14">
        <f t="shared" si="21"/>
        <v>1</v>
      </c>
      <c r="J550" s="14">
        <v>1</v>
      </c>
      <c r="K550" s="13" t="s">
        <v>1529</v>
      </c>
    </row>
    <row r="551" spans="1:17" x14ac:dyDescent="0.25">
      <c r="A551" s="11" t="s">
        <v>2684</v>
      </c>
      <c r="B551" s="13" t="s">
        <v>99</v>
      </c>
      <c r="C551" s="62" t="s">
        <v>2162</v>
      </c>
      <c r="F551" s="14" t="s">
        <v>35</v>
      </c>
      <c r="G551" s="13">
        <v>2</v>
      </c>
      <c r="H551" s="14">
        <f t="shared" si="21"/>
        <v>2</v>
      </c>
      <c r="J551" s="14">
        <v>2</v>
      </c>
      <c r="K551" s="13" t="s">
        <v>3131</v>
      </c>
    </row>
    <row r="552" spans="1:17" x14ac:dyDescent="0.25">
      <c r="A552" s="11" t="s">
        <v>2684</v>
      </c>
      <c r="B552" s="13" t="s">
        <v>170</v>
      </c>
      <c r="F552" s="14" t="s">
        <v>35</v>
      </c>
      <c r="G552" s="13">
        <v>1</v>
      </c>
      <c r="H552" s="14">
        <f t="shared" si="21"/>
        <v>1</v>
      </c>
      <c r="J552" s="14">
        <v>1</v>
      </c>
      <c r="K552" s="13" t="s">
        <v>3084</v>
      </c>
    </row>
    <row r="553" spans="1:17" x14ac:dyDescent="0.25">
      <c r="A553" s="11" t="s">
        <v>2684</v>
      </c>
      <c r="B553" s="13" t="s">
        <v>170</v>
      </c>
      <c r="C553" s="62" t="s">
        <v>3130</v>
      </c>
      <c r="F553" s="14" t="s">
        <v>35</v>
      </c>
      <c r="G553" s="13">
        <v>1</v>
      </c>
      <c r="H553" s="14">
        <f>G553+I553</f>
        <v>1</v>
      </c>
      <c r="J553" s="14">
        <v>1</v>
      </c>
      <c r="K553" s="13" t="s">
        <v>3084</v>
      </c>
    </row>
    <row r="554" spans="1:17" x14ac:dyDescent="0.25">
      <c r="A554" s="11" t="s">
        <v>2684</v>
      </c>
      <c r="B554" s="13" t="s">
        <v>525</v>
      </c>
      <c r="F554" s="14" t="s">
        <v>35</v>
      </c>
      <c r="G554" s="13">
        <v>2</v>
      </c>
      <c r="H554" s="14">
        <f>G554+I554</f>
        <v>2</v>
      </c>
      <c r="J554" s="14">
        <v>2</v>
      </c>
      <c r="K554" s="13" t="s">
        <v>3047</v>
      </c>
    </row>
    <row r="555" spans="1:17" x14ac:dyDescent="0.25">
      <c r="A555" s="11" t="s">
        <v>2684</v>
      </c>
      <c r="B555" s="13" t="s">
        <v>319</v>
      </c>
      <c r="C555" s="62" t="s">
        <v>315</v>
      </c>
      <c r="D555" s="13" t="s">
        <v>1940</v>
      </c>
      <c r="F555" s="14" t="s">
        <v>35</v>
      </c>
      <c r="G555" s="13">
        <v>6</v>
      </c>
      <c r="H555" s="14">
        <f t="shared" si="21"/>
        <v>6</v>
      </c>
      <c r="J555" s="14">
        <v>6</v>
      </c>
      <c r="K555" s="13" t="s">
        <v>3056</v>
      </c>
    </row>
    <row r="556" spans="1:17" x14ac:dyDescent="0.25">
      <c r="A556" s="11" t="s">
        <v>2684</v>
      </c>
      <c r="B556" s="13" t="s">
        <v>319</v>
      </c>
      <c r="D556" s="13" t="s">
        <v>2711</v>
      </c>
      <c r="F556" s="14" t="s">
        <v>35</v>
      </c>
      <c r="G556" s="13">
        <v>2</v>
      </c>
      <c r="H556" s="14">
        <f>G556+I556</f>
        <v>2</v>
      </c>
      <c r="J556" s="14">
        <v>1</v>
      </c>
      <c r="K556" s="13" t="s">
        <v>486</v>
      </c>
    </row>
    <row r="557" spans="1:17" s="28" customFormat="1" x14ac:dyDescent="0.25">
      <c r="A557" s="11" t="s">
        <v>2684</v>
      </c>
      <c r="B557" s="13" t="s">
        <v>743</v>
      </c>
      <c r="C557" s="62"/>
      <c r="D557" s="13"/>
      <c r="E557" s="14"/>
      <c r="F557" s="13" t="s">
        <v>35</v>
      </c>
      <c r="G557" s="13">
        <v>2</v>
      </c>
      <c r="H557" s="14">
        <f>G557+I557</f>
        <v>2</v>
      </c>
      <c r="I557" s="14"/>
      <c r="J557" s="14">
        <v>2</v>
      </c>
      <c r="K557" s="13" t="s">
        <v>3129</v>
      </c>
      <c r="L557" s="14"/>
      <c r="M557" s="14"/>
      <c r="N557" s="14"/>
      <c r="O557" s="14"/>
      <c r="P557" s="14"/>
      <c r="Q557" s="30"/>
    </row>
    <row r="558" spans="1:17" s="25" customFormat="1" ht="22.5" x14ac:dyDescent="0.25">
      <c r="A558" s="11" t="s">
        <v>2684</v>
      </c>
      <c r="B558" s="13"/>
      <c r="C558" s="66" t="s">
        <v>771</v>
      </c>
      <c r="D558" s="26"/>
      <c r="F558" s="25" t="s">
        <v>771</v>
      </c>
      <c r="G558" s="26">
        <v>19</v>
      </c>
      <c r="H558" s="25">
        <f t="shared" si="21"/>
        <v>19</v>
      </c>
      <c r="J558" s="25">
        <v>14</v>
      </c>
      <c r="K558" s="26" t="s">
        <v>3132</v>
      </c>
      <c r="L558" s="28"/>
      <c r="M558" s="28"/>
      <c r="N558" s="28"/>
      <c r="O558" s="28"/>
      <c r="P558" s="28"/>
      <c r="Q558" s="26"/>
    </row>
    <row r="559" spans="1:17" ht="22.5" x14ac:dyDescent="0.25">
      <c r="A559" s="11" t="s">
        <v>2684</v>
      </c>
      <c r="C559" s="62" t="s">
        <v>1900</v>
      </c>
      <c r="F559" s="13" t="s">
        <v>776</v>
      </c>
      <c r="G559" s="13">
        <v>1</v>
      </c>
      <c r="H559" s="14">
        <f t="shared" si="21"/>
        <v>1</v>
      </c>
      <c r="J559" s="14">
        <v>1</v>
      </c>
      <c r="K559" s="13" t="s">
        <v>2643</v>
      </c>
    </row>
    <row r="560" spans="1:17" ht="22.5" x14ac:dyDescent="0.25">
      <c r="A560" s="11" t="s">
        <v>2684</v>
      </c>
      <c r="B560" s="13" t="s">
        <v>775</v>
      </c>
      <c r="F560" s="13" t="s">
        <v>776</v>
      </c>
      <c r="G560" s="13">
        <v>1</v>
      </c>
      <c r="H560" s="14">
        <f t="shared" ref="H560:H565" si="22">G560+I560</f>
        <v>1</v>
      </c>
      <c r="J560" s="14">
        <v>1</v>
      </c>
      <c r="K560" s="13" t="s">
        <v>541</v>
      </c>
    </row>
    <row r="561" spans="1:17" ht="22.5" x14ac:dyDescent="0.25">
      <c r="A561" s="11" t="s">
        <v>2684</v>
      </c>
      <c r="B561" s="13" t="s">
        <v>778</v>
      </c>
      <c r="C561" s="62" t="s">
        <v>2151</v>
      </c>
      <c r="F561" s="13" t="s">
        <v>776</v>
      </c>
      <c r="G561" s="13">
        <v>1</v>
      </c>
      <c r="H561" s="14">
        <f t="shared" si="22"/>
        <v>1</v>
      </c>
      <c r="J561" s="14">
        <v>1</v>
      </c>
      <c r="K561" s="13" t="s">
        <v>1396</v>
      </c>
    </row>
    <row r="562" spans="1:17" ht="22.5" x14ac:dyDescent="0.25">
      <c r="A562" s="11" t="s">
        <v>2684</v>
      </c>
      <c r="B562" s="13" t="s">
        <v>1968</v>
      </c>
      <c r="D562" s="14"/>
      <c r="F562" s="13" t="s">
        <v>776</v>
      </c>
      <c r="G562" s="13">
        <v>1</v>
      </c>
      <c r="H562" s="14">
        <f t="shared" si="22"/>
        <v>1</v>
      </c>
      <c r="J562" s="14">
        <v>1</v>
      </c>
      <c r="K562" s="14" t="s">
        <v>1535</v>
      </c>
    </row>
    <row r="563" spans="1:17" ht="22.5" x14ac:dyDescent="0.25">
      <c r="A563" s="11" t="s">
        <v>2684</v>
      </c>
      <c r="B563" s="13" t="s">
        <v>1099</v>
      </c>
      <c r="D563" s="14"/>
      <c r="F563" s="13" t="s">
        <v>776</v>
      </c>
      <c r="G563" s="13">
        <v>1</v>
      </c>
      <c r="H563" s="14">
        <f t="shared" si="22"/>
        <v>1</v>
      </c>
      <c r="J563" s="14">
        <v>1</v>
      </c>
      <c r="K563" s="14" t="s">
        <v>1535</v>
      </c>
    </row>
    <row r="564" spans="1:17" ht="22.5" x14ac:dyDescent="0.25">
      <c r="A564" s="11" t="s">
        <v>2684</v>
      </c>
      <c r="B564" s="13" t="s">
        <v>2114</v>
      </c>
      <c r="D564" s="14"/>
      <c r="F564" s="13" t="s">
        <v>776</v>
      </c>
      <c r="G564" s="13">
        <v>1</v>
      </c>
      <c r="H564" s="14">
        <f t="shared" si="22"/>
        <v>1</v>
      </c>
      <c r="J564" s="14">
        <v>1</v>
      </c>
      <c r="K564" s="14" t="s">
        <v>1535</v>
      </c>
    </row>
    <row r="565" spans="1:17" x14ac:dyDescent="0.25">
      <c r="A565" s="11" t="s">
        <v>2684</v>
      </c>
      <c r="B565" s="13" t="s">
        <v>1264</v>
      </c>
      <c r="F565" s="14" t="s">
        <v>773</v>
      </c>
      <c r="G565" s="13">
        <v>2</v>
      </c>
      <c r="H565" s="14">
        <f t="shared" si="22"/>
        <v>2</v>
      </c>
      <c r="J565" s="14">
        <v>1</v>
      </c>
      <c r="K565" s="13" t="s">
        <v>1535</v>
      </c>
      <c r="Q565" s="14"/>
    </row>
    <row r="566" spans="1:17" x14ac:dyDescent="0.25">
      <c r="A566" s="11" t="s">
        <v>2684</v>
      </c>
      <c r="D566" s="13" t="s">
        <v>1219</v>
      </c>
      <c r="F566" s="14" t="s">
        <v>771</v>
      </c>
      <c r="G566" s="13">
        <v>2</v>
      </c>
      <c r="H566" s="14">
        <f t="shared" si="21"/>
        <v>2</v>
      </c>
      <c r="J566" s="14">
        <v>2</v>
      </c>
      <c r="K566" s="13" t="s">
        <v>2730</v>
      </c>
      <c r="Q566" s="14"/>
    </row>
    <row r="567" spans="1:17" x14ac:dyDescent="0.25">
      <c r="A567" s="11" t="s">
        <v>2684</v>
      </c>
      <c r="D567" s="13" t="s">
        <v>1094</v>
      </c>
      <c r="E567" s="14" t="s">
        <v>982</v>
      </c>
      <c r="F567" s="14" t="s">
        <v>771</v>
      </c>
      <c r="G567" s="13">
        <v>1</v>
      </c>
      <c r="H567" s="14">
        <f t="shared" si="21"/>
        <v>1</v>
      </c>
      <c r="J567" s="14">
        <v>1</v>
      </c>
      <c r="K567" s="13" t="s">
        <v>2503</v>
      </c>
      <c r="Q567" s="14"/>
    </row>
    <row r="568" spans="1:17" x14ac:dyDescent="0.25">
      <c r="A568" s="11" t="s">
        <v>2684</v>
      </c>
      <c r="C568" s="62" t="s">
        <v>2734</v>
      </c>
      <c r="D568" s="13" t="s">
        <v>1094</v>
      </c>
      <c r="E568" s="14" t="s">
        <v>982</v>
      </c>
      <c r="F568" s="14" t="s">
        <v>771</v>
      </c>
      <c r="G568" s="13">
        <v>2</v>
      </c>
      <c r="H568" s="14">
        <f>G568+I568</f>
        <v>2</v>
      </c>
      <c r="J568" s="14">
        <v>2</v>
      </c>
      <c r="K568" s="13" t="s">
        <v>2733</v>
      </c>
      <c r="Q568" s="14"/>
    </row>
    <row r="569" spans="1:17" x14ac:dyDescent="0.25">
      <c r="A569" s="11" t="s">
        <v>2684</v>
      </c>
      <c r="C569" s="62" t="s">
        <v>2735</v>
      </c>
      <c r="D569" s="13" t="s">
        <v>1094</v>
      </c>
      <c r="E569" s="14" t="s">
        <v>982</v>
      </c>
      <c r="F569" s="14" t="s">
        <v>771</v>
      </c>
      <c r="G569" s="13">
        <v>2</v>
      </c>
      <c r="H569" s="14">
        <f>G569+I569</f>
        <v>2</v>
      </c>
      <c r="J569" s="14">
        <v>2</v>
      </c>
      <c r="K569" s="13" t="s">
        <v>2733</v>
      </c>
      <c r="Q569" s="14"/>
    </row>
    <row r="570" spans="1:17" x14ac:dyDescent="0.25">
      <c r="A570" s="11" t="s">
        <v>2684</v>
      </c>
      <c r="B570" s="13" t="s">
        <v>1631</v>
      </c>
      <c r="D570" s="13" t="s">
        <v>1940</v>
      </c>
      <c r="F570" s="13" t="s">
        <v>773</v>
      </c>
      <c r="G570" s="13">
        <v>1</v>
      </c>
      <c r="H570" s="14">
        <f>G570+I570</f>
        <v>1</v>
      </c>
      <c r="J570" s="14">
        <v>1</v>
      </c>
      <c r="K570" s="13" t="s">
        <v>1535</v>
      </c>
      <c r="Q570" s="14"/>
    </row>
    <row r="571" spans="1:17" x14ac:dyDescent="0.25">
      <c r="A571" s="11" t="s">
        <v>2684</v>
      </c>
      <c r="B571" s="13" t="s">
        <v>1248</v>
      </c>
      <c r="D571" s="13" t="s">
        <v>1940</v>
      </c>
      <c r="E571" s="14" t="s">
        <v>1220</v>
      </c>
      <c r="F571" s="13" t="s">
        <v>773</v>
      </c>
      <c r="G571" s="13">
        <v>2</v>
      </c>
      <c r="H571" s="14">
        <f t="shared" si="21"/>
        <v>2</v>
      </c>
      <c r="J571" s="14">
        <v>2</v>
      </c>
      <c r="K571" s="13" t="s">
        <v>3081</v>
      </c>
      <c r="Q571" s="14"/>
    </row>
    <row r="572" spans="1:17" x14ac:dyDescent="0.25">
      <c r="A572" s="11" t="s">
        <v>2684</v>
      </c>
      <c r="B572" s="13" t="s">
        <v>1688</v>
      </c>
      <c r="D572" s="13" t="s">
        <v>1940</v>
      </c>
      <c r="F572" s="13" t="s">
        <v>773</v>
      </c>
      <c r="G572" s="13">
        <v>1</v>
      </c>
      <c r="H572" s="14">
        <f>G572+I572</f>
        <v>1</v>
      </c>
      <c r="J572" s="14">
        <v>1</v>
      </c>
      <c r="K572" s="13" t="s">
        <v>1535</v>
      </c>
      <c r="Q572" s="14"/>
    </row>
    <row r="573" spans="1:17" x14ac:dyDescent="0.25">
      <c r="A573" s="11" t="s">
        <v>2684</v>
      </c>
      <c r="B573" s="13" t="s">
        <v>793</v>
      </c>
      <c r="E573" s="14" t="s">
        <v>793</v>
      </c>
      <c r="F573" s="13" t="s">
        <v>773</v>
      </c>
      <c r="G573" s="13">
        <v>5</v>
      </c>
      <c r="H573" s="14">
        <f t="shared" si="21"/>
        <v>5</v>
      </c>
      <c r="J573" s="14">
        <v>3</v>
      </c>
      <c r="K573" s="13" t="s">
        <v>2799</v>
      </c>
      <c r="Q573" s="14"/>
    </row>
    <row r="574" spans="1:17" x14ac:dyDescent="0.25">
      <c r="A574" s="11" t="s">
        <v>2684</v>
      </c>
      <c r="B574" s="13" t="s">
        <v>1666</v>
      </c>
      <c r="D574" s="13" t="s">
        <v>1940</v>
      </c>
      <c r="F574" s="13" t="s">
        <v>773</v>
      </c>
      <c r="G574" s="13">
        <v>1</v>
      </c>
      <c r="H574" s="14">
        <f t="shared" si="21"/>
        <v>1</v>
      </c>
      <c r="J574" s="14">
        <v>1</v>
      </c>
      <c r="K574" s="13" t="s">
        <v>1535</v>
      </c>
      <c r="Q574" s="14"/>
    </row>
    <row r="575" spans="1:17" x14ac:dyDescent="0.25">
      <c r="A575" s="11" t="s">
        <v>2684</v>
      </c>
      <c r="B575" s="13" t="s">
        <v>878</v>
      </c>
      <c r="D575" s="13" t="s">
        <v>1249</v>
      </c>
      <c r="E575" s="14" t="s">
        <v>1220</v>
      </c>
      <c r="F575" s="13" t="s">
        <v>773</v>
      </c>
      <c r="G575" s="13">
        <v>1</v>
      </c>
      <c r="H575" s="14">
        <f t="shared" si="21"/>
        <v>1</v>
      </c>
      <c r="J575" s="14">
        <v>1</v>
      </c>
      <c r="K575" s="13" t="s">
        <v>513</v>
      </c>
      <c r="Q575" s="14"/>
    </row>
    <row r="576" spans="1:17" x14ac:dyDescent="0.25">
      <c r="A576" s="11" t="s">
        <v>2684</v>
      </c>
      <c r="B576" s="13" t="s">
        <v>804</v>
      </c>
      <c r="D576" s="13" t="s">
        <v>1105</v>
      </c>
      <c r="F576" s="13" t="s">
        <v>773</v>
      </c>
      <c r="G576" s="13">
        <v>3</v>
      </c>
      <c r="H576" s="14">
        <f t="shared" si="21"/>
        <v>3</v>
      </c>
      <c r="J576" s="14">
        <v>2</v>
      </c>
      <c r="K576" s="13" t="s">
        <v>2736</v>
      </c>
      <c r="Q576" s="14"/>
    </row>
    <row r="577" spans="1:17" x14ac:dyDescent="0.25">
      <c r="A577" s="11" t="s">
        <v>2684</v>
      </c>
      <c r="B577" s="13" t="s">
        <v>984</v>
      </c>
      <c r="F577" s="13" t="s">
        <v>773</v>
      </c>
      <c r="G577" s="13">
        <v>1</v>
      </c>
      <c r="H577" s="14">
        <f t="shared" si="21"/>
        <v>1</v>
      </c>
      <c r="J577" s="14">
        <v>1</v>
      </c>
      <c r="K577" s="13" t="s">
        <v>1535</v>
      </c>
      <c r="Q577" s="14"/>
    </row>
    <row r="578" spans="1:17" x14ac:dyDescent="0.25">
      <c r="A578" s="11" t="s">
        <v>2684</v>
      </c>
      <c r="B578" s="13" t="s">
        <v>795</v>
      </c>
      <c r="F578" s="13" t="s">
        <v>773</v>
      </c>
      <c r="G578" s="13">
        <v>1</v>
      </c>
      <c r="H578" s="14">
        <f>G578+I578</f>
        <v>1</v>
      </c>
      <c r="J578" s="14">
        <v>1</v>
      </c>
      <c r="K578" s="13" t="s">
        <v>1535</v>
      </c>
      <c r="Q578" s="14"/>
    </row>
    <row r="579" spans="1:17" x14ac:dyDescent="0.25">
      <c r="A579" s="11" t="s">
        <v>2684</v>
      </c>
      <c r="B579" s="13" t="s">
        <v>795</v>
      </c>
      <c r="C579" s="62" t="s">
        <v>944</v>
      </c>
      <c r="D579" s="13" t="s">
        <v>1223</v>
      </c>
      <c r="E579" s="14" t="s">
        <v>797</v>
      </c>
      <c r="F579" s="13" t="s">
        <v>773</v>
      </c>
      <c r="G579" s="13">
        <v>15</v>
      </c>
      <c r="H579" s="14">
        <f>G579+I579</f>
        <v>15</v>
      </c>
      <c r="J579" s="14">
        <v>7</v>
      </c>
      <c r="K579" s="13" t="s">
        <v>3133</v>
      </c>
      <c r="Q579" s="14"/>
    </row>
    <row r="580" spans="1:17" x14ac:dyDescent="0.25">
      <c r="A580" s="11" t="s">
        <v>2684</v>
      </c>
      <c r="E580" s="13" t="s">
        <v>982</v>
      </c>
      <c r="F580" s="14" t="s">
        <v>771</v>
      </c>
      <c r="G580" s="13">
        <v>2</v>
      </c>
      <c r="H580" s="14">
        <f t="shared" si="21"/>
        <v>2</v>
      </c>
      <c r="J580" s="14">
        <v>1</v>
      </c>
      <c r="K580" s="13" t="s">
        <v>1396</v>
      </c>
      <c r="Q580" s="14"/>
    </row>
    <row r="581" spans="1:17" x14ac:dyDescent="0.25">
      <c r="A581" s="11" t="s">
        <v>2684</v>
      </c>
      <c r="E581" s="13" t="s">
        <v>1221</v>
      </c>
      <c r="F581" s="14" t="s">
        <v>771</v>
      </c>
      <c r="G581" s="13">
        <v>1</v>
      </c>
      <c r="H581" s="14">
        <f t="shared" si="21"/>
        <v>1</v>
      </c>
      <c r="J581" s="14">
        <v>1</v>
      </c>
      <c r="K581" s="13" t="s">
        <v>541</v>
      </c>
      <c r="Q581" s="14"/>
    </row>
    <row r="582" spans="1:17" x14ac:dyDescent="0.25">
      <c r="A582" s="11" t="s">
        <v>2684</v>
      </c>
      <c r="E582" s="14" t="s">
        <v>1947</v>
      </c>
      <c r="F582" s="14" t="s">
        <v>771</v>
      </c>
      <c r="G582" s="13">
        <v>2</v>
      </c>
      <c r="H582" s="14">
        <f t="shared" si="21"/>
        <v>2</v>
      </c>
      <c r="J582" s="14">
        <v>2</v>
      </c>
      <c r="K582" s="13" t="s">
        <v>2730</v>
      </c>
      <c r="Q582" s="14"/>
    </row>
    <row r="583" spans="1:17" x14ac:dyDescent="0.25">
      <c r="A583" s="11" t="s">
        <v>2684</v>
      </c>
      <c r="E583" s="14" t="s">
        <v>1023</v>
      </c>
      <c r="F583" s="14" t="s">
        <v>771</v>
      </c>
      <c r="G583" s="13">
        <v>1</v>
      </c>
      <c r="H583" s="14">
        <f t="shared" si="21"/>
        <v>1</v>
      </c>
      <c r="J583" s="14">
        <v>1</v>
      </c>
      <c r="K583" s="13" t="s">
        <v>513</v>
      </c>
      <c r="Q583" s="14"/>
    </row>
    <row r="584" spans="1:17" x14ac:dyDescent="0.25">
      <c r="A584" s="11" t="s">
        <v>2684</v>
      </c>
      <c r="E584" s="14" t="s">
        <v>1910</v>
      </c>
      <c r="F584" s="14" t="s">
        <v>771</v>
      </c>
      <c r="G584" s="13">
        <v>1</v>
      </c>
      <c r="H584" s="14">
        <f>G584+I584</f>
        <v>1</v>
      </c>
      <c r="J584" s="14">
        <v>1</v>
      </c>
      <c r="K584" s="13" t="s">
        <v>541</v>
      </c>
      <c r="Q584" s="14"/>
    </row>
    <row r="585" spans="1:17" x14ac:dyDescent="0.25">
      <c r="A585" s="11" t="s">
        <v>2684</v>
      </c>
      <c r="C585" s="62" t="s">
        <v>2636</v>
      </c>
      <c r="E585" s="14" t="s">
        <v>1910</v>
      </c>
      <c r="F585" s="14" t="s">
        <v>771</v>
      </c>
      <c r="G585" s="13">
        <v>1</v>
      </c>
      <c r="H585" s="14">
        <f t="shared" si="21"/>
        <v>1</v>
      </c>
      <c r="J585" s="14">
        <v>1</v>
      </c>
      <c r="K585" s="13" t="s">
        <v>32</v>
      </c>
      <c r="Q585" s="14"/>
    </row>
    <row r="586" spans="1:17" x14ac:dyDescent="0.25">
      <c r="A586" s="11" t="s">
        <v>2684</v>
      </c>
      <c r="E586" s="14" t="s">
        <v>1203</v>
      </c>
      <c r="F586" s="14" t="s">
        <v>771</v>
      </c>
      <c r="G586" s="13">
        <v>1</v>
      </c>
      <c r="H586" s="14">
        <f t="shared" si="21"/>
        <v>1</v>
      </c>
      <c r="J586" s="14">
        <v>1</v>
      </c>
      <c r="K586" s="13" t="s">
        <v>2486</v>
      </c>
      <c r="Q586" s="14"/>
    </row>
    <row r="587" spans="1:17" x14ac:dyDescent="0.25">
      <c r="A587" s="11" t="s">
        <v>2684</v>
      </c>
      <c r="C587" s="62" t="s">
        <v>2638</v>
      </c>
      <c r="E587" s="14" t="s">
        <v>1345</v>
      </c>
      <c r="F587" s="14" t="s">
        <v>771</v>
      </c>
      <c r="G587" s="13">
        <v>1</v>
      </c>
      <c r="H587" s="14">
        <f t="shared" si="21"/>
        <v>1</v>
      </c>
      <c r="J587" s="14">
        <v>1</v>
      </c>
      <c r="K587" s="13" t="s">
        <v>32</v>
      </c>
      <c r="Q587" s="14"/>
    </row>
    <row r="588" spans="1:17" x14ac:dyDescent="0.25">
      <c r="A588" s="11" t="s">
        <v>2684</v>
      </c>
      <c r="E588" s="14" t="s">
        <v>879</v>
      </c>
      <c r="F588" s="14" t="s">
        <v>771</v>
      </c>
      <c r="G588" s="13">
        <v>1</v>
      </c>
      <c r="H588" s="14">
        <f t="shared" si="21"/>
        <v>1</v>
      </c>
      <c r="J588" s="14">
        <v>1</v>
      </c>
      <c r="K588" s="13" t="s">
        <v>541</v>
      </c>
      <c r="Q588" s="14"/>
    </row>
    <row r="589" spans="1:17" x14ac:dyDescent="0.25">
      <c r="A589" s="11" t="s">
        <v>2684</v>
      </c>
      <c r="C589" s="62" t="s">
        <v>3079</v>
      </c>
      <c r="D589" s="13" t="s">
        <v>1257</v>
      </c>
      <c r="E589" s="14" t="s">
        <v>1290</v>
      </c>
      <c r="F589" s="14" t="s">
        <v>773</v>
      </c>
      <c r="G589" s="14">
        <v>1</v>
      </c>
      <c r="H589" s="14">
        <f>G589+I589</f>
        <v>1</v>
      </c>
      <c r="J589" s="14">
        <v>1</v>
      </c>
      <c r="K589" s="13" t="s">
        <v>3080</v>
      </c>
    </row>
    <row r="590" spans="1:17" x14ac:dyDescent="0.25">
      <c r="Q590" s="14"/>
    </row>
    <row r="591" spans="1:17" ht="22.5" x14ac:dyDescent="0.25">
      <c r="B591" s="13" t="s">
        <v>532</v>
      </c>
      <c r="C591" s="62">
        <f>SUM(H2:H7)</f>
        <v>19</v>
      </c>
      <c r="Q591" s="14"/>
    </row>
    <row r="592" spans="1:17" x14ac:dyDescent="0.25">
      <c r="B592" s="13" t="s">
        <v>411</v>
      </c>
      <c r="C592" s="62">
        <f>SUM(H8:H9)+H409</f>
        <v>3</v>
      </c>
      <c r="Q592" s="14"/>
    </row>
    <row r="593" spans="1:17" x14ac:dyDescent="0.25">
      <c r="B593" s="13" t="s">
        <v>297</v>
      </c>
      <c r="C593" s="62">
        <f>H10+H410</f>
        <v>3</v>
      </c>
      <c r="Q593" s="14"/>
    </row>
    <row r="594" spans="1:17" x14ac:dyDescent="0.25">
      <c r="B594" s="13" t="s">
        <v>2249</v>
      </c>
      <c r="C594" s="62">
        <v>0</v>
      </c>
      <c r="Q594" s="14"/>
    </row>
    <row r="595" spans="1:17" x14ac:dyDescent="0.25">
      <c r="B595" s="13" t="s">
        <v>76</v>
      </c>
      <c r="C595" s="62">
        <f>SUM(H11:H16)</f>
        <v>6</v>
      </c>
      <c r="Q595" s="14"/>
    </row>
    <row r="596" spans="1:17" x14ac:dyDescent="0.25">
      <c r="B596" s="13" t="s">
        <v>1424</v>
      </c>
      <c r="C596" s="62">
        <f>H17</f>
        <v>1</v>
      </c>
      <c r="D596" s="14"/>
      <c r="Q596" s="14"/>
    </row>
    <row r="597" spans="1:17" x14ac:dyDescent="0.25">
      <c r="B597" s="13" t="s">
        <v>213</v>
      </c>
      <c r="C597" s="62">
        <v>0</v>
      </c>
      <c r="D597" s="14"/>
      <c r="Q597" s="14"/>
    </row>
    <row r="598" spans="1:17" x14ac:dyDescent="0.25">
      <c r="B598" s="13" t="s">
        <v>42</v>
      </c>
      <c r="C598" s="62">
        <f>SUM(H18:H34)+SUM(H411:H418)</f>
        <v>34</v>
      </c>
      <c r="D598" s="14"/>
      <c r="Q598" s="14"/>
    </row>
    <row r="599" spans="1:17" x14ac:dyDescent="0.25">
      <c r="B599" s="13" t="s">
        <v>10</v>
      </c>
      <c r="C599" s="62">
        <f>SUM(H35:H52)+SUM(H419:H427)</f>
        <v>45</v>
      </c>
      <c r="D599" s="14"/>
      <c r="Q599" s="14"/>
    </row>
    <row r="600" spans="1:17" x14ac:dyDescent="0.25">
      <c r="B600" s="13" t="s">
        <v>126</v>
      </c>
      <c r="C600" s="62">
        <f>SUM(H53:H67)+SUM(H428:H429)</f>
        <v>29</v>
      </c>
      <c r="Q600" s="14"/>
    </row>
    <row r="601" spans="1:17" x14ac:dyDescent="0.25">
      <c r="B601" s="13" t="s">
        <v>191</v>
      </c>
      <c r="C601" s="62">
        <f>SUM(H68:H80)+SUM(H430:H436)</f>
        <v>29</v>
      </c>
      <c r="Q601" s="14"/>
    </row>
    <row r="602" spans="1:17" x14ac:dyDescent="0.25">
      <c r="B602" s="13" t="s">
        <v>68</v>
      </c>
      <c r="C602" s="62">
        <f>SUM(H81:H104)+SUM(H437:H439)</f>
        <v>64</v>
      </c>
      <c r="Q602" s="14"/>
    </row>
    <row r="603" spans="1:17" x14ac:dyDescent="0.25">
      <c r="B603" s="13" t="s">
        <v>674</v>
      </c>
      <c r="C603" s="62">
        <v>0</v>
      </c>
      <c r="Q603" s="14"/>
    </row>
    <row r="604" spans="1:17" s="70" customFormat="1" x14ac:dyDescent="0.2">
      <c r="A604" s="69"/>
      <c r="B604" s="13" t="s">
        <v>327</v>
      </c>
      <c r="C604" s="62">
        <f>H440</f>
        <v>2</v>
      </c>
      <c r="D604" s="13"/>
      <c r="E604" s="14"/>
      <c r="F604" s="14"/>
      <c r="G604" s="14"/>
      <c r="H604" s="14"/>
      <c r="I604" s="14"/>
      <c r="J604" s="14"/>
      <c r="K604" s="13"/>
      <c r="L604" s="14"/>
      <c r="M604" s="14"/>
      <c r="N604" s="14"/>
      <c r="O604" s="14"/>
      <c r="P604" s="14"/>
    </row>
    <row r="605" spans="1:17" x14ac:dyDescent="0.2">
      <c r="B605" s="13" t="s">
        <v>209</v>
      </c>
      <c r="C605" s="62">
        <f>H105</f>
        <v>1</v>
      </c>
      <c r="L605" s="70"/>
      <c r="M605" s="70"/>
      <c r="N605" s="70"/>
      <c r="O605" s="70"/>
      <c r="P605" s="70"/>
      <c r="Q605" s="14"/>
    </row>
    <row r="606" spans="1:17" x14ac:dyDescent="0.2">
      <c r="B606" s="13" t="s">
        <v>2006</v>
      </c>
      <c r="C606" s="71">
        <v>0</v>
      </c>
      <c r="D606" s="70"/>
      <c r="E606" s="70"/>
      <c r="F606" s="70"/>
      <c r="G606" s="70"/>
      <c r="I606" s="70"/>
      <c r="J606" s="70"/>
      <c r="K606" s="70"/>
      <c r="Q606" s="14"/>
    </row>
    <row r="607" spans="1:17" x14ac:dyDescent="0.25">
      <c r="B607" s="13" t="s">
        <v>64</v>
      </c>
      <c r="C607" s="62">
        <f>SUM(H106:H109)+H441</f>
        <v>7</v>
      </c>
      <c r="D607" s="14"/>
      <c r="K607" s="14"/>
      <c r="Q607" s="14"/>
    </row>
    <row r="608" spans="1:17" x14ac:dyDescent="0.25">
      <c r="B608" s="13" t="s">
        <v>261</v>
      </c>
      <c r="C608" s="62">
        <f>SUM(H110:H112)+H442</f>
        <v>9</v>
      </c>
      <c r="D608" s="14"/>
      <c r="K608" s="14"/>
      <c r="Q608" s="14"/>
    </row>
    <row r="609" spans="1:17" x14ac:dyDescent="0.25">
      <c r="B609" s="13" t="s">
        <v>1346</v>
      </c>
      <c r="C609" s="62">
        <v>0</v>
      </c>
      <c r="D609" s="14"/>
      <c r="K609" s="14"/>
      <c r="Q609" s="14"/>
    </row>
    <row r="610" spans="1:17" x14ac:dyDescent="0.25">
      <c r="A610" s="14"/>
      <c r="B610" s="13" t="s">
        <v>705</v>
      </c>
      <c r="C610" s="62">
        <v>0</v>
      </c>
      <c r="D610" s="14"/>
      <c r="K610" s="14"/>
      <c r="Q610" s="14"/>
    </row>
    <row r="611" spans="1:17" x14ac:dyDescent="0.25">
      <c r="A611" s="14"/>
      <c r="B611" s="13" t="s">
        <v>283</v>
      </c>
      <c r="C611" s="62">
        <f>H443</f>
        <v>2</v>
      </c>
      <c r="D611" s="14"/>
      <c r="K611" s="14"/>
      <c r="Q611" s="14"/>
    </row>
    <row r="612" spans="1:17" x14ac:dyDescent="0.25">
      <c r="A612" s="14"/>
      <c r="B612" s="13" t="s">
        <v>430</v>
      </c>
      <c r="C612" s="62">
        <f>SUM(H113:H114)+H444</f>
        <v>3</v>
      </c>
      <c r="D612" s="14"/>
      <c r="K612" s="14"/>
      <c r="Q612" s="14"/>
    </row>
    <row r="613" spans="1:17" x14ac:dyDescent="0.25">
      <c r="A613" s="14"/>
      <c r="B613" s="13" t="s">
        <v>1933</v>
      </c>
      <c r="C613" s="62">
        <v>0</v>
      </c>
      <c r="D613" s="14"/>
      <c r="K613" s="14"/>
      <c r="Q613" s="14"/>
    </row>
    <row r="614" spans="1:17" x14ac:dyDescent="0.25">
      <c r="A614" s="14"/>
      <c r="B614" s="13" t="s">
        <v>328</v>
      </c>
      <c r="C614" s="62">
        <f>SUM(H115:H117)+SUM(H445:H446)</f>
        <v>11</v>
      </c>
      <c r="D614" s="14"/>
      <c r="K614" s="14"/>
      <c r="Q614" s="14"/>
    </row>
    <row r="615" spans="1:17" x14ac:dyDescent="0.25">
      <c r="A615" s="14"/>
      <c r="B615" s="13" t="s">
        <v>2391</v>
      </c>
      <c r="C615" s="62">
        <v>0</v>
      </c>
      <c r="D615" s="14"/>
      <c r="K615" s="14"/>
      <c r="Q615" s="14"/>
    </row>
    <row r="616" spans="1:17" x14ac:dyDescent="0.25">
      <c r="A616" s="14"/>
      <c r="B616" s="13" t="s">
        <v>483</v>
      </c>
      <c r="C616" s="62">
        <v>0</v>
      </c>
      <c r="D616" s="14"/>
      <c r="K616" s="14"/>
      <c r="Q616" s="14"/>
    </row>
    <row r="617" spans="1:17" x14ac:dyDescent="0.25">
      <c r="A617" s="14"/>
      <c r="B617" s="13" t="s">
        <v>2674</v>
      </c>
      <c r="C617" s="62">
        <f>H447</f>
        <v>2</v>
      </c>
      <c r="D617" s="14"/>
      <c r="K617" s="14"/>
      <c r="Q617" s="14"/>
    </row>
    <row r="618" spans="1:17" x14ac:dyDescent="0.25">
      <c r="A618" s="14"/>
      <c r="B618" s="13" t="s">
        <v>2091</v>
      </c>
      <c r="C618" s="62">
        <v>0</v>
      </c>
      <c r="D618" s="14"/>
      <c r="K618" s="14"/>
      <c r="Q618" s="14"/>
    </row>
    <row r="619" spans="1:17" x14ac:dyDescent="0.25">
      <c r="A619" s="14"/>
      <c r="B619" s="13" t="s">
        <v>78</v>
      </c>
      <c r="C619" s="62">
        <f>SUM(H118:H121)+H448</f>
        <v>13</v>
      </c>
      <c r="D619" s="14"/>
      <c r="K619" s="14"/>
      <c r="Q619" s="14"/>
    </row>
    <row r="620" spans="1:17" x14ac:dyDescent="0.25">
      <c r="A620" s="14"/>
      <c r="B620" s="13" t="s">
        <v>206</v>
      </c>
      <c r="C620" s="62">
        <v>0</v>
      </c>
      <c r="D620" s="14"/>
      <c r="K620" s="14"/>
      <c r="Q620" s="14"/>
    </row>
    <row r="621" spans="1:17" x14ac:dyDescent="0.25">
      <c r="A621" s="14"/>
      <c r="B621" s="13" t="s">
        <v>46</v>
      </c>
      <c r="C621" s="62">
        <f>H122+H449</f>
        <v>2</v>
      </c>
      <c r="D621" s="14"/>
      <c r="K621" s="14"/>
      <c r="Q621" s="14"/>
    </row>
    <row r="622" spans="1:17" x14ac:dyDescent="0.25">
      <c r="A622" s="14"/>
      <c r="B622" s="13" t="s">
        <v>2617</v>
      </c>
      <c r="C622" s="62">
        <v>0</v>
      </c>
      <c r="D622" s="14"/>
      <c r="K622" s="14"/>
      <c r="Q622" s="14"/>
    </row>
    <row r="623" spans="1:17" x14ac:dyDescent="0.25">
      <c r="A623" s="14"/>
      <c r="B623" s="13" t="s">
        <v>62</v>
      </c>
      <c r="C623" s="62">
        <f>SUM(H123:H132)+H450</f>
        <v>17</v>
      </c>
      <c r="D623" s="14"/>
      <c r="K623" s="14"/>
      <c r="Q623" s="14"/>
    </row>
    <row r="624" spans="1:17" x14ac:dyDescent="0.25">
      <c r="A624" s="14"/>
      <c r="B624" s="13" t="s">
        <v>3137</v>
      </c>
      <c r="C624" s="62">
        <f>H133</f>
        <v>1</v>
      </c>
      <c r="D624" s="14"/>
      <c r="K624" s="14"/>
      <c r="Q624" s="14"/>
    </row>
    <row r="625" spans="1:17" x14ac:dyDescent="0.25">
      <c r="A625" s="14"/>
      <c r="B625" s="13" t="s">
        <v>82</v>
      </c>
      <c r="C625" s="62">
        <f>SUM(H134:H135)+H451</f>
        <v>3</v>
      </c>
      <c r="D625" s="14"/>
      <c r="K625" s="14"/>
      <c r="Q625" s="14"/>
    </row>
    <row r="626" spans="1:17" x14ac:dyDescent="0.25">
      <c r="A626" s="14"/>
      <c r="B626" s="13" t="s">
        <v>22</v>
      </c>
      <c r="C626" s="62">
        <f>SUM(H136:H142)+SUM(H452:H454)</f>
        <v>14</v>
      </c>
      <c r="D626" s="14"/>
      <c r="K626" s="14"/>
      <c r="Q626" s="14"/>
    </row>
    <row r="627" spans="1:17" x14ac:dyDescent="0.25">
      <c r="A627" s="14"/>
      <c r="B627" s="13" t="s">
        <v>446</v>
      </c>
      <c r="C627" s="62">
        <v>0</v>
      </c>
      <c r="D627" s="14"/>
      <c r="K627" s="14"/>
      <c r="Q627" s="14"/>
    </row>
    <row r="628" spans="1:17" x14ac:dyDescent="0.25">
      <c r="A628" s="14"/>
      <c r="B628" s="13" t="s">
        <v>609</v>
      </c>
      <c r="C628" s="62">
        <f>SUM(H143:H144)</f>
        <v>2</v>
      </c>
      <c r="D628" s="14"/>
      <c r="K628" s="14"/>
      <c r="Q628" s="14"/>
    </row>
    <row r="629" spans="1:17" x14ac:dyDescent="0.25">
      <c r="A629" s="14"/>
      <c r="B629" s="13" t="s">
        <v>699</v>
      </c>
      <c r="C629" s="62">
        <f>H145</f>
        <v>1</v>
      </c>
      <c r="D629" s="14"/>
      <c r="K629" s="14"/>
      <c r="Q629" s="14"/>
    </row>
    <row r="630" spans="1:17" x14ac:dyDescent="0.25">
      <c r="A630" s="14"/>
      <c r="B630" s="13" t="s">
        <v>93</v>
      </c>
      <c r="C630" s="62">
        <f>SUM(H146:H151)+SUM(H455:H457)</f>
        <v>28</v>
      </c>
      <c r="D630" s="14"/>
      <c r="K630" s="14"/>
      <c r="Q630" s="14"/>
    </row>
    <row r="631" spans="1:17" x14ac:dyDescent="0.25">
      <c r="A631" s="14"/>
      <c r="B631" s="13" t="s">
        <v>1731</v>
      </c>
      <c r="C631" s="62">
        <v>0</v>
      </c>
      <c r="D631" s="14"/>
      <c r="K631" s="14"/>
      <c r="Q631" s="14"/>
    </row>
    <row r="632" spans="1:17" x14ac:dyDescent="0.25">
      <c r="A632" s="14"/>
      <c r="B632" s="13" t="s">
        <v>50</v>
      </c>
      <c r="C632" s="62">
        <v>0</v>
      </c>
      <c r="D632" s="14"/>
      <c r="K632" s="14"/>
      <c r="Q632" s="14"/>
    </row>
    <row r="633" spans="1:17" x14ac:dyDescent="0.25">
      <c r="A633" s="14"/>
      <c r="B633" s="13" t="s">
        <v>24</v>
      </c>
      <c r="C633" s="62">
        <f>SUM(H152:H206)+SUM(H458:H463)+H472</f>
        <v>337</v>
      </c>
      <c r="D633" s="14"/>
      <c r="K633" s="14"/>
      <c r="Q633" s="14"/>
    </row>
    <row r="634" spans="1:17" x14ac:dyDescent="0.25">
      <c r="A634" s="14"/>
      <c r="B634" s="13" t="s">
        <v>139</v>
      </c>
      <c r="C634" s="62">
        <f>SUM(H207:H213)+SUM(H465:H466)</f>
        <v>11</v>
      </c>
      <c r="D634" s="14"/>
      <c r="K634" s="14"/>
      <c r="Q634" s="14"/>
    </row>
    <row r="635" spans="1:17" x14ac:dyDescent="0.25">
      <c r="A635" s="14"/>
      <c r="B635" s="13" t="s">
        <v>269</v>
      </c>
      <c r="C635" s="62">
        <f>SUM(H214:H226)+SUM(H467:H470)</f>
        <v>22</v>
      </c>
      <c r="D635" s="14"/>
      <c r="K635" s="14"/>
      <c r="Q635" s="14"/>
    </row>
    <row r="636" spans="1:17" x14ac:dyDescent="0.25">
      <c r="A636" s="14"/>
      <c r="B636" s="13" t="s">
        <v>2384</v>
      </c>
      <c r="C636" s="62">
        <v>0</v>
      </c>
      <c r="D636" s="14"/>
      <c r="K636" s="14"/>
      <c r="Q636" s="14"/>
    </row>
    <row r="637" spans="1:17" x14ac:dyDescent="0.25">
      <c r="A637" s="14"/>
      <c r="B637" s="13" t="s">
        <v>2079</v>
      </c>
      <c r="C637" s="62">
        <f>SUM(H227:H228)+H471</f>
        <v>3</v>
      </c>
      <c r="D637" s="14"/>
      <c r="K637" s="14"/>
      <c r="Q637" s="14"/>
    </row>
    <row r="638" spans="1:17" x14ac:dyDescent="0.25">
      <c r="A638" s="14"/>
      <c r="B638" s="13" t="s">
        <v>1347</v>
      </c>
      <c r="C638" s="62">
        <v>0</v>
      </c>
      <c r="D638" s="14"/>
      <c r="K638" s="14"/>
      <c r="Q638" s="14"/>
    </row>
    <row r="639" spans="1:17" x14ac:dyDescent="0.25">
      <c r="A639" s="14"/>
      <c r="B639" s="13" t="s">
        <v>718</v>
      </c>
      <c r="C639" s="62">
        <f>SUM(H301:H302)</f>
        <v>3</v>
      </c>
      <c r="D639" s="14"/>
      <c r="K639" s="14"/>
      <c r="Q639" s="14"/>
    </row>
    <row r="640" spans="1:17" x14ac:dyDescent="0.25">
      <c r="A640" s="14"/>
      <c r="B640" s="13" t="s">
        <v>1682</v>
      </c>
      <c r="C640" s="62">
        <f>H229</f>
        <v>1</v>
      </c>
      <c r="D640" s="14"/>
      <c r="K640" s="14"/>
      <c r="Q640" s="14"/>
    </row>
    <row r="641" spans="1:17" x14ac:dyDescent="0.25">
      <c r="A641" s="14"/>
      <c r="B641" s="13" t="s">
        <v>742</v>
      </c>
      <c r="C641" s="62">
        <v>0</v>
      </c>
      <c r="D641" s="14"/>
      <c r="K641" s="14"/>
      <c r="Q641" s="14"/>
    </row>
    <row r="642" spans="1:17" x14ac:dyDescent="0.25">
      <c r="A642" s="14"/>
      <c r="C642" s="62">
        <f>SUM(C591:C641)</f>
        <v>728</v>
      </c>
      <c r="D642" s="14"/>
      <c r="K642" s="14"/>
      <c r="Q642" s="14"/>
    </row>
    <row r="643" spans="1:17" x14ac:dyDescent="0.25">
      <c r="A643" s="14"/>
      <c r="B643" s="12" t="s">
        <v>11</v>
      </c>
      <c r="C643" s="62">
        <f>H403+H405+H475+SUM(H489/2)+SUM(H491:H492)/2+SUM(H514:H516)/2+SUM(C644:C648)</f>
        <v>842.5</v>
      </c>
      <c r="D643" s="14"/>
      <c r="K643" s="14"/>
      <c r="Q643" s="14"/>
    </row>
    <row r="644" spans="1:17" x14ac:dyDescent="0.25">
      <c r="A644" s="14"/>
      <c r="B644" s="13" t="s">
        <v>663</v>
      </c>
      <c r="C644" s="62">
        <f>H464+SUM(H476/2)+SUM(H477/2)+C614+C621+C634+C635</f>
        <v>61.5</v>
      </c>
      <c r="D644" s="14"/>
      <c r="K644" s="14"/>
      <c r="Q644" s="14"/>
    </row>
    <row r="645" spans="1:17" x14ac:dyDescent="0.25">
      <c r="A645" s="14"/>
      <c r="B645" s="13" t="s">
        <v>664</v>
      </c>
      <c r="C645" s="62">
        <f>SUM(H476/2)+H482+SUM(H487/2)+C596+C599+C612+C639</f>
        <v>56.5</v>
      </c>
      <c r="D645" s="14"/>
      <c r="K645" s="14"/>
      <c r="Q645" s="14"/>
    </row>
    <row r="646" spans="1:17" x14ac:dyDescent="0.25">
      <c r="A646" s="14"/>
      <c r="B646" s="13" t="s">
        <v>271</v>
      </c>
      <c r="C646" s="62">
        <f>SUM(H473:H474)+SUM(H477/2)+SUM(H479:H480)/2+H481+H484+H490+C604+C605+C608+C611+C619+C628+C629+C630</f>
        <v>71</v>
      </c>
      <c r="D646" s="14"/>
      <c r="K646" s="14"/>
      <c r="Q646" s="14"/>
    </row>
    <row r="647" spans="1:17" x14ac:dyDescent="0.25">
      <c r="A647" s="14"/>
      <c r="B647" s="13" t="s">
        <v>144</v>
      </c>
      <c r="C647" s="62">
        <f>SUM(H479:H480)/2+H483+SUM(H485:H486)+SUM(H487/2)+H488+C591+C598+C601+C602+C607+C626+C624+C633+C640</f>
        <v>555</v>
      </c>
      <c r="D647" s="14"/>
      <c r="K647" s="14"/>
      <c r="Q647" s="14"/>
    </row>
    <row r="648" spans="1:17" x14ac:dyDescent="0.25">
      <c r="A648" s="14"/>
      <c r="B648" s="13" t="s">
        <v>666</v>
      </c>
      <c r="C648" s="62">
        <f>H478+C592+C593+C595+C600+C615+C623+C625+C637</f>
        <v>67</v>
      </c>
      <c r="D648" s="14"/>
      <c r="K648" s="14"/>
      <c r="Q648" s="14"/>
    </row>
    <row r="649" spans="1:17" x14ac:dyDescent="0.25">
      <c r="D649" s="14"/>
      <c r="K649" s="14"/>
      <c r="Q649" s="14"/>
    </row>
    <row r="650" spans="1:17" x14ac:dyDescent="0.25">
      <c r="B650" s="13" t="s">
        <v>231</v>
      </c>
      <c r="C650" s="62">
        <f>SUM(H230:H237)+SUM(H533:H534)</f>
        <v>15</v>
      </c>
      <c r="D650" s="14"/>
      <c r="K650" s="14"/>
      <c r="Q650" s="14"/>
    </row>
    <row r="651" spans="1:17" x14ac:dyDescent="0.25">
      <c r="B651" s="13" t="s">
        <v>995</v>
      </c>
      <c r="C651" s="62">
        <v>0</v>
      </c>
      <c r="D651" s="14"/>
      <c r="K651" s="14"/>
      <c r="Q651" s="14"/>
    </row>
    <row r="652" spans="1:17" x14ac:dyDescent="0.25">
      <c r="B652" s="13" t="s">
        <v>953</v>
      </c>
      <c r="C652" s="62">
        <f>SUM(H238:H240)</f>
        <v>3</v>
      </c>
      <c r="D652" s="14"/>
      <c r="K652" s="14"/>
      <c r="Q652" s="14"/>
    </row>
    <row r="653" spans="1:17" x14ac:dyDescent="0.25">
      <c r="B653" s="13" t="s">
        <v>394</v>
      </c>
      <c r="C653" s="62">
        <f>SUM(H241:H245)</f>
        <v>6</v>
      </c>
      <c r="D653" s="14"/>
      <c r="K653" s="14"/>
      <c r="Q653" s="14"/>
    </row>
    <row r="654" spans="1:17" x14ac:dyDescent="0.25">
      <c r="B654" s="13" t="s">
        <v>238</v>
      </c>
      <c r="C654" s="62">
        <f>SUM(H246:H250)+H531</f>
        <v>15</v>
      </c>
      <c r="D654" s="14"/>
      <c r="K654" s="14"/>
      <c r="Q654" s="14"/>
    </row>
    <row r="655" spans="1:17" s="70" customFormat="1" x14ac:dyDescent="0.2">
      <c r="A655" s="69"/>
      <c r="B655" s="13" t="s">
        <v>226</v>
      </c>
      <c r="C655" s="62">
        <f>SUM(H251:H254)+H535</f>
        <v>6</v>
      </c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</row>
    <row r="656" spans="1:17" s="70" customFormat="1" x14ac:dyDescent="0.2">
      <c r="A656" s="69"/>
      <c r="B656" s="13" t="s">
        <v>1641</v>
      </c>
      <c r="C656" s="62">
        <f>H255</f>
        <v>2</v>
      </c>
      <c r="D656" s="14"/>
      <c r="E656" s="14"/>
      <c r="F656" s="14"/>
      <c r="G656" s="14"/>
      <c r="H656" s="14"/>
      <c r="I656" s="14"/>
      <c r="J656" s="14"/>
      <c r="K656" s="14"/>
    </row>
    <row r="657" spans="1:17" s="70" customFormat="1" x14ac:dyDescent="0.2">
      <c r="A657" s="69"/>
      <c r="B657" s="13" t="s">
        <v>998</v>
      </c>
      <c r="C657" s="71">
        <v>0</v>
      </c>
      <c r="H657" s="14"/>
    </row>
    <row r="658" spans="1:17" x14ac:dyDescent="0.2">
      <c r="B658" s="13" t="s">
        <v>407</v>
      </c>
      <c r="C658" s="71">
        <v>0</v>
      </c>
      <c r="D658" s="70"/>
      <c r="E658" s="70"/>
      <c r="F658" s="70"/>
      <c r="G658" s="70"/>
      <c r="I658" s="70"/>
      <c r="J658" s="70"/>
      <c r="K658" s="70"/>
      <c r="L658" s="70"/>
      <c r="M658" s="70"/>
      <c r="N658" s="70"/>
      <c r="O658" s="70"/>
      <c r="P658" s="70"/>
      <c r="Q658" s="14"/>
    </row>
    <row r="659" spans="1:17" x14ac:dyDescent="0.2">
      <c r="B659" s="13" t="s">
        <v>1612</v>
      </c>
      <c r="C659" s="71">
        <v>0</v>
      </c>
      <c r="D659" s="70"/>
      <c r="E659" s="70"/>
      <c r="F659" s="70"/>
      <c r="G659" s="70"/>
      <c r="H659" s="70"/>
      <c r="I659" s="70"/>
      <c r="J659" s="70"/>
      <c r="K659" s="70"/>
      <c r="Q659" s="14"/>
    </row>
    <row r="660" spans="1:17" x14ac:dyDescent="0.2">
      <c r="B660" s="13" t="s">
        <v>86</v>
      </c>
      <c r="C660" s="62">
        <v>0</v>
      </c>
      <c r="D660" s="14"/>
      <c r="H660" s="70"/>
      <c r="K660" s="14"/>
      <c r="Q660" s="14"/>
    </row>
    <row r="661" spans="1:17" x14ac:dyDescent="0.2">
      <c r="B661" s="13" t="s">
        <v>676</v>
      </c>
      <c r="C661" s="62">
        <f>H256+SUM(H536:H539)</f>
        <v>8</v>
      </c>
      <c r="D661" s="14"/>
      <c r="H661" s="70"/>
      <c r="K661" s="14"/>
      <c r="Q661" s="14"/>
    </row>
    <row r="662" spans="1:17" x14ac:dyDescent="0.25">
      <c r="B662" s="13" t="s">
        <v>975</v>
      </c>
      <c r="C662" s="62">
        <v>0</v>
      </c>
      <c r="D662" s="14"/>
      <c r="K662" s="14"/>
      <c r="Q662" s="14"/>
    </row>
    <row r="663" spans="1:17" x14ac:dyDescent="0.25">
      <c r="B663" s="13" t="s">
        <v>249</v>
      </c>
      <c r="C663" s="62">
        <f>SUM(H257:H260)+SUM(H540:H542)</f>
        <v>15</v>
      </c>
      <c r="D663" s="14"/>
      <c r="K663" s="14"/>
      <c r="Q663" s="14"/>
    </row>
    <row r="664" spans="1:17" x14ac:dyDescent="0.25">
      <c r="B664" s="13" t="s">
        <v>1709</v>
      </c>
      <c r="C664" s="62">
        <f>H261</f>
        <v>1</v>
      </c>
      <c r="D664" s="14"/>
      <c r="K664" s="14"/>
      <c r="Q664" s="14"/>
    </row>
    <row r="665" spans="1:17" x14ac:dyDescent="0.25">
      <c r="A665" s="14"/>
      <c r="B665" s="13" t="s">
        <v>426</v>
      </c>
      <c r="C665" s="62">
        <v>0</v>
      </c>
      <c r="D665" s="14"/>
      <c r="K665" s="14"/>
      <c r="Q665" s="14"/>
    </row>
    <row r="666" spans="1:17" x14ac:dyDescent="0.25">
      <c r="A666" s="14"/>
      <c r="B666" s="13" t="s">
        <v>34</v>
      </c>
      <c r="C666" s="62">
        <f>SUM(H262:H277)+SUM(H543:H549)</f>
        <v>79</v>
      </c>
      <c r="D666" s="14"/>
      <c r="K666" s="14"/>
      <c r="Q666" s="14"/>
    </row>
    <row r="667" spans="1:17" x14ac:dyDescent="0.25">
      <c r="A667" s="14"/>
      <c r="B667" s="13" t="s">
        <v>99</v>
      </c>
      <c r="C667" s="62">
        <f>SUM(H278:H285)+SUM(H550:H551)</f>
        <v>16</v>
      </c>
      <c r="D667" s="14"/>
      <c r="K667" s="14"/>
      <c r="Q667" s="14"/>
    </row>
    <row r="668" spans="1:17" x14ac:dyDescent="0.25">
      <c r="A668" s="14"/>
      <c r="B668" s="13" t="s">
        <v>170</v>
      </c>
      <c r="C668" s="62">
        <f>SUM(H286:H287)+SUM(H552:H553)</f>
        <v>4</v>
      </c>
      <c r="D668" s="14"/>
      <c r="K668" s="14"/>
      <c r="Q668" s="14"/>
    </row>
    <row r="669" spans="1:17" x14ac:dyDescent="0.25">
      <c r="A669" s="14"/>
      <c r="B669" s="13" t="s">
        <v>1694</v>
      </c>
      <c r="C669" s="62">
        <v>0</v>
      </c>
      <c r="D669" s="14"/>
      <c r="K669" s="14"/>
      <c r="Q669" s="14"/>
    </row>
    <row r="670" spans="1:17" x14ac:dyDescent="0.25">
      <c r="A670" s="14"/>
      <c r="B670" s="13" t="s">
        <v>1031</v>
      </c>
      <c r="C670" s="62">
        <f>SUM(H288:H291)+H554</f>
        <v>6</v>
      </c>
      <c r="D670" s="14"/>
      <c r="K670" s="14"/>
      <c r="Q670" s="14"/>
    </row>
    <row r="671" spans="1:17" x14ac:dyDescent="0.25">
      <c r="A671" s="14"/>
      <c r="B671" s="13" t="s">
        <v>319</v>
      </c>
      <c r="C671" s="62">
        <f>SUM(H292:H296)+SUM(H555:H556)</f>
        <v>20</v>
      </c>
      <c r="D671" s="14"/>
      <c r="K671" s="14"/>
      <c r="Q671" s="14"/>
    </row>
    <row r="672" spans="1:17" x14ac:dyDescent="0.25">
      <c r="A672" s="14"/>
      <c r="B672" s="13" t="s">
        <v>1606</v>
      </c>
      <c r="C672" s="62">
        <v>0</v>
      </c>
      <c r="D672" s="14"/>
      <c r="K672" s="14"/>
      <c r="Q672" s="14"/>
    </row>
    <row r="673" spans="1:17" x14ac:dyDescent="0.25">
      <c r="A673" s="14"/>
      <c r="B673" s="13" t="s">
        <v>1610</v>
      </c>
      <c r="C673" s="62">
        <f>SUM(H297:H298)</f>
        <v>2</v>
      </c>
      <c r="D673" s="14"/>
      <c r="K673" s="14"/>
      <c r="Q673" s="14"/>
    </row>
    <row r="674" spans="1:17" x14ac:dyDescent="0.25">
      <c r="A674" s="14"/>
      <c r="B674" s="13" t="s">
        <v>709</v>
      </c>
      <c r="C674" s="62">
        <v>0</v>
      </c>
      <c r="D674" s="14"/>
      <c r="K674" s="14"/>
      <c r="Q674" s="14"/>
    </row>
    <row r="675" spans="1:17" x14ac:dyDescent="0.25">
      <c r="A675" s="14"/>
      <c r="B675" s="13" t="s">
        <v>743</v>
      </c>
      <c r="C675" s="62">
        <f>H299+H557</f>
        <v>3</v>
      </c>
      <c r="D675" s="14"/>
      <c r="K675" s="14"/>
      <c r="Q675" s="14"/>
    </row>
    <row r="676" spans="1:17" x14ac:dyDescent="0.25">
      <c r="A676" s="14"/>
      <c r="B676" s="13" t="s">
        <v>167</v>
      </c>
      <c r="C676" s="62">
        <v>0</v>
      </c>
      <c r="D676" s="14"/>
      <c r="K676" s="14"/>
      <c r="Q676" s="14"/>
    </row>
    <row r="677" spans="1:17" x14ac:dyDescent="0.25">
      <c r="A677" s="14"/>
      <c r="B677" s="13" t="s">
        <v>522</v>
      </c>
      <c r="C677" s="62">
        <v>0</v>
      </c>
      <c r="D677" s="14"/>
      <c r="K677" s="14"/>
      <c r="Q677" s="14"/>
    </row>
    <row r="678" spans="1:17" x14ac:dyDescent="0.25">
      <c r="A678" s="14"/>
      <c r="B678" s="13" t="s">
        <v>1594</v>
      </c>
      <c r="C678" s="62">
        <f>H300</f>
        <v>2</v>
      </c>
      <c r="D678" s="14"/>
      <c r="K678" s="14"/>
      <c r="Q678" s="14"/>
    </row>
    <row r="679" spans="1:17" x14ac:dyDescent="0.25">
      <c r="A679" s="14"/>
      <c r="B679" s="13" t="s">
        <v>1347</v>
      </c>
      <c r="C679" s="62">
        <v>0</v>
      </c>
      <c r="D679" s="14"/>
      <c r="K679" s="14"/>
      <c r="Q679" s="14"/>
    </row>
    <row r="680" spans="1:17" x14ac:dyDescent="0.25">
      <c r="A680" s="14"/>
      <c r="B680" s="12" t="s">
        <v>35</v>
      </c>
      <c r="C680" s="62">
        <f>SUM(C681:C685)+H406+H513+SUM(H514:H516)/2+SUM(H517:H518)</f>
        <v>268</v>
      </c>
      <c r="D680" s="14"/>
      <c r="K680" s="14"/>
      <c r="Q680" s="14"/>
    </row>
    <row r="681" spans="1:17" x14ac:dyDescent="0.25">
      <c r="A681" s="14"/>
      <c r="B681" s="13" t="s">
        <v>667</v>
      </c>
      <c r="C681" s="62">
        <f>C650+C654+C661+C666+C667+C670+C671+C675+SUM(H524:H525)+SUM(H526:H527)/2+SUM(H529/2)</f>
        <v>171.5</v>
      </c>
      <c r="D681" s="14"/>
      <c r="K681" s="14"/>
      <c r="Q681" s="14"/>
    </row>
    <row r="682" spans="1:17" x14ac:dyDescent="0.25">
      <c r="A682" s="14"/>
      <c r="B682" s="13" t="s">
        <v>668</v>
      </c>
      <c r="C682" s="62">
        <f>C653+C655+SUM(H521/2)+SUM(H523/2)</f>
        <v>15</v>
      </c>
      <c r="D682" s="14"/>
      <c r="K682" s="14"/>
      <c r="Q682" s="14"/>
    </row>
    <row r="683" spans="1:17" x14ac:dyDescent="0.25">
      <c r="A683" s="14"/>
      <c r="B683" s="13" t="s">
        <v>669</v>
      </c>
      <c r="C683" s="62">
        <f>C663+C664+SUM(H521/2)+SUM(H526:H527)/2+H528</f>
        <v>24.5</v>
      </c>
      <c r="D683" s="14"/>
      <c r="K683" s="14"/>
      <c r="Q683" s="14"/>
    </row>
    <row r="684" spans="1:17" x14ac:dyDescent="0.25">
      <c r="A684" s="14"/>
      <c r="B684" s="13" t="s">
        <v>670</v>
      </c>
      <c r="C684" s="62">
        <f>C652+H520+SUM(H523/2)+SUM(H529/2)+H530+H532</f>
        <v>15</v>
      </c>
      <c r="D684" s="14"/>
      <c r="K684" s="14"/>
      <c r="Q684" s="14"/>
    </row>
    <row r="685" spans="1:17" x14ac:dyDescent="0.25">
      <c r="A685" s="14"/>
      <c r="B685" s="13" t="s">
        <v>666</v>
      </c>
      <c r="C685" s="62">
        <f>C656+C668+C673+C678</f>
        <v>10</v>
      </c>
      <c r="D685" s="14"/>
      <c r="K685" s="14"/>
      <c r="Q685" s="14"/>
    </row>
    <row r="686" spans="1:17" x14ac:dyDescent="0.25">
      <c r="A686" s="14"/>
      <c r="D686" s="14"/>
      <c r="K686" s="14"/>
      <c r="Q686" s="14"/>
    </row>
    <row r="687" spans="1:17" x14ac:dyDescent="0.25">
      <c r="A687" s="14"/>
      <c r="B687" s="13" t="s">
        <v>163</v>
      </c>
      <c r="C687" s="62">
        <v>0</v>
      </c>
      <c r="D687" s="14"/>
      <c r="K687" s="14"/>
      <c r="Q687" s="14"/>
    </row>
    <row r="688" spans="1:17" x14ac:dyDescent="0.25">
      <c r="A688" s="14"/>
      <c r="B688" s="13" t="s">
        <v>186</v>
      </c>
      <c r="C688" s="62">
        <f>SUM(H303:H308)+H510</f>
        <v>7</v>
      </c>
      <c r="D688" s="14"/>
      <c r="K688" s="14"/>
      <c r="Q688" s="14"/>
    </row>
    <row r="689" spans="1:17" x14ac:dyDescent="0.25">
      <c r="A689" s="14"/>
      <c r="B689" s="13" t="s">
        <v>55</v>
      </c>
      <c r="C689" s="62">
        <f>SUM(H309:H320)</f>
        <v>14</v>
      </c>
      <c r="D689" s="14"/>
      <c r="K689" s="14"/>
      <c r="Q689" s="14"/>
    </row>
    <row r="690" spans="1:17" x14ac:dyDescent="0.25">
      <c r="A690" s="14"/>
      <c r="B690" s="13" t="s">
        <v>593</v>
      </c>
      <c r="C690" s="62">
        <f>SUM(H321:H330)</f>
        <v>11</v>
      </c>
      <c r="D690" s="14"/>
      <c r="K690" s="14"/>
      <c r="Q690" s="14"/>
    </row>
    <row r="691" spans="1:17" x14ac:dyDescent="0.25">
      <c r="A691" s="14"/>
      <c r="B691" s="13" t="s">
        <v>161</v>
      </c>
      <c r="C691" s="62">
        <f>SUM(H331:H340)+SUM(H500:H501)+H504+H509</f>
        <v>23</v>
      </c>
      <c r="D691" s="14"/>
      <c r="K691" s="14"/>
      <c r="Q691" s="14"/>
    </row>
    <row r="692" spans="1:17" x14ac:dyDescent="0.25">
      <c r="A692" s="14"/>
      <c r="B692" s="13" t="s">
        <v>66</v>
      </c>
      <c r="C692" s="62">
        <f>SUM(H341:H348)+H502+H505+H508+H512</f>
        <v>14</v>
      </c>
      <c r="D692" s="14"/>
      <c r="K692" s="14"/>
      <c r="Q692" s="14"/>
    </row>
    <row r="693" spans="1:17" x14ac:dyDescent="0.25">
      <c r="A693" s="14"/>
      <c r="B693" s="13" t="s">
        <v>1347</v>
      </c>
      <c r="C693" s="62">
        <v>0</v>
      </c>
      <c r="D693" s="14"/>
      <c r="K693" s="14"/>
      <c r="Q693" s="14"/>
    </row>
    <row r="694" spans="1:17" x14ac:dyDescent="0.25">
      <c r="A694" s="14"/>
      <c r="B694" s="12" t="s">
        <v>56</v>
      </c>
      <c r="C694" s="62">
        <f>SUM(C695:C699)+SUM(H489/2)+SUM(H491:H492)/2+H493</f>
        <v>114.5</v>
      </c>
      <c r="D694" s="14"/>
      <c r="K694" s="14"/>
      <c r="Q694" s="14"/>
    </row>
    <row r="695" spans="1:17" x14ac:dyDescent="0.25">
      <c r="A695" s="14"/>
      <c r="B695" s="13" t="s">
        <v>663</v>
      </c>
      <c r="C695" s="62">
        <f>C688+SUM(H495/2)</f>
        <v>9</v>
      </c>
      <c r="D695" s="14"/>
      <c r="K695" s="14"/>
      <c r="Q695" s="14"/>
    </row>
    <row r="696" spans="1:17" x14ac:dyDescent="0.25">
      <c r="A696" s="14"/>
      <c r="B696" s="13" t="s">
        <v>664</v>
      </c>
      <c r="C696" s="62">
        <f>C691+SUM(H495/2)+H496</f>
        <v>26</v>
      </c>
      <c r="D696" s="14"/>
      <c r="K696" s="14"/>
      <c r="Q696" s="14"/>
    </row>
    <row r="697" spans="1:17" x14ac:dyDescent="0.25">
      <c r="A697" s="14"/>
      <c r="B697" s="13" t="s">
        <v>271</v>
      </c>
      <c r="C697" s="62">
        <f>C690+H511</f>
        <v>12</v>
      </c>
      <c r="D697" s="14"/>
      <c r="K697" s="14"/>
      <c r="Q697" s="14"/>
    </row>
    <row r="698" spans="1:17" x14ac:dyDescent="0.25">
      <c r="A698" s="14"/>
      <c r="B698" s="13" t="s">
        <v>144</v>
      </c>
      <c r="C698" s="62">
        <f>C689+SUM(H497:H499)+H503</f>
        <v>24</v>
      </c>
      <c r="D698" s="14"/>
      <c r="K698" s="14"/>
      <c r="Q698" s="14"/>
    </row>
    <row r="699" spans="1:17" x14ac:dyDescent="0.25">
      <c r="A699" s="14"/>
      <c r="B699" s="13" t="s">
        <v>666</v>
      </c>
      <c r="C699" s="62">
        <f>C692+H494</f>
        <v>15</v>
      </c>
      <c r="D699" s="14"/>
      <c r="K699" s="14"/>
      <c r="Q699" s="14"/>
    </row>
    <row r="700" spans="1:17" x14ac:dyDescent="0.25">
      <c r="A700" s="14"/>
      <c r="D700" s="14"/>
      <c r="K700" s="14"/>
      <c r="Q700" s="14"/>
    </row>
    <row r="701" spans="1:17" x14ac:dyDescent="0.25">
      <c r="B701" s="13" t="s">
        <v>778</v>
      </c>
      <c r="C701" s="62">
        <f>H349+H561</f>
        <v>2</v>
      </c>
      <c r="D701" s="14"/>
      <c r="K701" s="14"/>
      <c r="Q701" s="14"/>
    </row>
    <row r="702" spans="1:17" x14ac:dyDescent="0.25">
      <c r="B702" s="13" t="s">
        <v>1444</v>
      </c>
      <c r="C702" s="62">
        <f>H350</f>
        <v>1</v>
      </c>
      <c r="Q702" s="14"/>
    </row>
    <row r="703" spans="1:17" x14ac:dyDescent="0.25">
      <c r="B703" s="13" t="s">
        <v>1631</v>
      </c>
      <c r="C703" s="62">
        <f>H570</f>
        <v>1</v>
      </c>
      <c r="Q703" s="14"/>
    </row>
    <row r="704" spans="1:17" x14ac:dyDescent="0.25">
      <c r="B704" s="13" t="s">
        <v>1968</v>
      </c>
      <c r="C704" s="62">
        <f>SUM(H351:H352)+H562</f>
        <v>3</v>
      </c>
      <c r="Q704" s="14"/>
    </row>
    <row r="705" spans="1:17" x14ac:dyDescent="0.25">
      <c r="B705" s="13" t="s">
        <v>1099</v>
      </c>
      <c r="C705" s="62">
        <f>SUM(H353:H355)+H563</f>
        <v>6</v>
      </c>
      <c r="Q705" s="14"/>
    </row>
    <row r="706" spans="1:17" x14ac:dyDescent="0.25">
      <c r="B706" s="13" t="s">
        <v>2114</v>
      </c>
      <c r="C706" s="62">
        <f>H564</f>
        <v>1</v>
      </c>
      <c r="Q706" s="14"/>
    </row>
    <row r="707" spans="1:17" x14ac:dyDescent="0.25">
      <c r="B707" s="13" t="s">
        <v>1264</v>
      </c>
      <c r="C707" s="62">
        <f>SUM(H356:H357)+H565</f>
        <v>4</v>
      </c>
      <c r="Q707" s="14"/>
    </row>
    <row r="708" spans="1:17" x14ac:dyDescent="0.25">
      <c r="B708" s="13" t="s">
        <v>980</v>
      </c>
      <c r="C708" s="62">
        <v>0</v>
      </c>
      <c r="Q708" s="14"/>
    </row>
    <row r="709" spans="1:17" x14ac:dyDescent="0.25">
      <c r="B709" s="13" t="s">
        <v>1157</v>
      </c>
      <c r="C709" s="62">
        <f>H358</f>
        <v>1</v>
      </c>
      <c r="Q709" s="14"/>
    </row>
    <row r="710" spans="1:17" x14ac:dyDescent="0.25">
      <c r="B710" s="13" t="s">
        <v>1248</v>
      </c>
      <c r="C710" s="62">
        <f>H359+H571</f>
        <v>3</v>
      </c>
      <c r="Q710" s="14"/>
    </row>
    <row r="711" spans="1:17" x14ac:dyDescent="0.25">
      <c r="B711" s="13" t="s">
        <v>1688</v>
      </c>
      <c r="C711" s="62">
        <f>H360+H572</f>
        <v>2</v>
      </c>
      <c r="Q711" s="14"/>
    </row>
    <row r="712" spans="1:17" x14ac:dyDescent="0.25">
      <c r="B712" s="13" t="s">
        <v>793</v>
      </c>
      <c r="C712" s="62">
        <f>H361+H573</f>
        <v>6</v>
      </c>
      <c r="Q712" s="14"/>
    </row>
    <row r="713" spans="1:17" x14ac:dyDescent="0.25">
      <c r="B713" s="13" t="s">
        <v>1666</v>
      </c>
      <c r="C713" s="62">
        <f>H362+H574</f>
        <v>2</v>
      </c>
      <c r="Q713" s="14"/>
    </row>
    <row r="714" spans="1:17" x14ac:dyDescent="0.25">
      <c r="B714" s="13" t="s">
        <v>878</v>
      </c>
      <c r="C714" s="62">
        <f>H575</f>
        <v>1</v>
      </c>
      <c r="Q714" s="14"/>
    </row>
    <row r="715" spans="1:17" x14ac:dyDescent="0.25">
      <c r="B715" s="13" t="s">
        <v>1977</v>
      </c>
      <c r="C715" s="62">
        <f>SUM(H363:H367)</f>
        <v>6</v>
      </c>
      <c r="Q715" s="14"/>
    </row>
    <row r="716" spans="1:17" x14ac:dyDescent="0.25">
      <c r="A716" s="14"/>
      <c r="B716" s="13" t="s">
        <v>2120</v>
      </c>
      <c r="C716" s="62">
        <v>0</v>
      </c>
      <c r="Q716" s="14"/>
    </row>
    <row r="717" spans="1:17" x14ac:dyDescent="0.25">
      <c r="A717" s="14"/>
      <c r="B717" s="13" t="s">
        <v>1691</v>
      </c>
      <c r="C717" s="62">
        <v>0</v>
      </c>
      <c r="D717" s="14"/>
      <c r="K717" s="14"/>
      <c r="Q717" s="14"/>
    </row>
    <row r="718" spans="1:17" x14ac:dyDescent="0.25">
      <c r="A718" s="14"/>
      <c r="B718" s="13" t="s">
        <v>804</v>
      </c>
      <c r="C718" s="62">
        <f>SUM(H368:H370)+H576</f>
        <v>16</v>
      </c>
      <c r="D718" s="14"/>
      <c r="K718" s="14"/>
      <c r="Q718" s="14"/>
    </row>
    <row r="719" spans="1:17" x14ac:dyDescent="0.25">
      <c r="A719" s="14" t="s">
        <v>2457</v>
      </c>
      <c r="B719" s="13" t="s">
        <v>2456</v>
      </c>
      <c r="C719" s="62">
        <v>0</v>
      </c>
      <c r="D719" s="14"/>
      <c r="K719" s="14"/>
      <c r="Q719" s="14"/>
    </row>
    <row r="720" spans="1:17" x14ac:dyDescent="0.25">
      <c r="A720" s="14"/>
      <c r="B720" s="13" t="s">
        <v>984</v>
      </c>
      <c r="C720" s="62">
        <f>H371+H577</f>
        <v>2</v>
      </c>
      <c r="D720" s="14"/>
      <c r="K720" s="14"/>
      <c r="Q720" s="14"/>
    </row>
    <row r="721" spans="1:17" x14ac:dyDescent="0.25">
      <c r="A721" s="14"/>
      <c r="B721" s="13" t="s">
        <v>785</v>
      </c>
      <c r="C721" s="62">
        <f>H372</f>
        <v>1</v>
      </c>
      <c r="D721" s="14"/>
      <c r="K721" s="14"/>
      <c r="Q721" s="14"/>
    </row>
    <row r="722" spans="1:17" x14ac:dyDescent="0.25">
      <c r="A722" s="14"/>
      <c r="B722" s="13" t="s">
        <v>795</v>
      </c>
      <c r="C722" s="62">
        <f>SUM(H373:H394)+SUM(H578:H579)</f>
        <v>52</v>
      </c>
      <c r="D722" s="14"/>
      <c r="K722" s="14"/>
      <c r="Q722" s="14"/>
    </row>
    <row r="723" spans="1:17" x14ac:dyDescent="0.25">
      <c r="A723" s="14"/>
      <c r="B723" s="13" t="s">
        <v>989</v>
      </c>
      <c r="C723" s="62">
        <v>0</v>
      </c>
      <c r="D723" s="14"/>
      <c r="K723" s="14"/>
      <c r="Q723" s="14"/>
    </row>
    <row r="724" spans="1:17" x14ac:dyDescent="0.25">
      <c r="A724" s="14"/>
      <c r="B724" s="13" t="s">
        <v>1677</v>
      </c>
      <c r="C724" s="62">
        <v>0</v>
      </c>
      <c r="D724" s="14"/>
      <c r="K724" s="14"/>
      <c r="Q724" s="14"/>
    </row>
    <row r="725" spans="1:17" x14ac:dyDescent="0.25">
      <c r="A725" s="14"/>
      <c r="B725" s="13" t="s">
        <v>772</v>
      </c>
      <c r="C725" s="62">
        <f>SUM(H395:H398)</f>
        <v>9</v>
      </c>
      <c r="D725" s="14"/>
      <c r="K725" s="14"/>
      <c r="Q725" s="14"/>
    </row>
    <row r="726" spans="1:17" x14ac:dyDescent="0.25">
      <c r="A726" s="14"/>
      <c r="B726" s="13" t="s">
        <v>1245</v>
      </c>
      <c r="C726" s="62">
        <v>0</v>
      </c>
      <c r="D726" s="14"/>
      <c r="K726" s="14"/>
      <c r="Q726" s="14"/>
    </row>
    <row r="727" spans="1:17" x14ac:dyDescent="0.25">
      <c r="A727" s="14"/>
      <c r="B727" s="13" t="s">
        <v>789</v>
      </c>
      <c r="C727" s="62">
        <f>SUM(H399:H400)</f>
        <v>2</v>
      </c>
      <c r="D727" s="14"/>
      <c r="K727" s="14"/>
      <c r="Q727" s="14"/>
    </row>
    <row r="728" spans="1:17" x14ac:dyDescent="0.25">
      <c r="A728" s="14"/>
      <c r="B728" s="13" t="s">
        <v>875</v>
      </c>
      <c r="C728" s="62">
        <v>0</v>
      </c>
      <c r="D728" s="14"/>
      <c r="K728" s="14"/>
      <c r="Q728" s="14"/>
    </row>
    <row r="729" spans="1:17" x14ac:dyDescent="0.25">
      <c r="A729" s="14"/>
      <c r="B729" s="13" t="s">
        <v>1347</v>
      </c>
      <c r="C729" s="62">
        <v>0</v>
      </c>
      <c r="D729" s="14"/>
      <c r="K729" s="14"/>
      <c r="Q729" s="14"/>
    </row>
    <row r="730" spans="1:17" x14ac:dyDescent="0.25">
      <c r="A730" s="14"/>
      <c r="B730" s="12" t="s">
        <v>771</v>
      </c>
      <c r="C730" s="62">
        <f>C731+C737+H558+H566</f>
        <v>161</v>
      </c>
      <c r="D730" s="14"/>
      <c r="K730" s="14"/>
      <c r="Q730" s="14"/>
    </row>
    <row r="731" spans="1:17" x14ac:dyDescent="0.25">
      <c r="A731" s="14"/>
      <c r="B731" s="13" t="s">
        <v>2251</v>
      </c>
      <c r="C731" s="62">
        <f>SUM(C701:C707)+SUM(H559:H560)+SUM(H581/3)+SUM(H582/3)+SUM(H583/2)</f>
        <v>21.5</v>
      </c>
      <c r="D731" s="14"/>
      <c r="K731" s="14"/>
      <c r="Q731" s="14"/>
    </row>
    <row r="732" spans="1:17" x14ac:dyDescent="0.25">
      <c r="A732" s="14"/>
      <c r="B732" s="13" t="s">
        <v>1351</v>
      </c>
      <c r="C732" s="62">
        <f>C712+C720+C722+SUM(H581/3)+SUM(H582/3)+SUM(H583/2)+SUM(C715/2)</f>
        <v>64.5</v>
      </c>
      <c r="D732" s="14"/>
      <c r="K732" s="14"/>
      <c r="Q732" s="14"/>
    </row>
    <row r="733" spans="1:17" x14ac:dyDescent="0.25">
      <c r="A733" s="14"/>
      <c r="B733" s="13" t="s">
        <v>1352</v>
      </c>
      <c r="C733" s="62">
        <f>C711+C713+C721+C725+SUM(H567/2)+H568+SUM(H580/2)+SUM(H582/3)+H586</f>
        <v>19.166666666666668</v>
      </c>
      <c r="D733" s="14"/>
      <c r="K733" s="14"/>
      <c r="Q733" s="14"/>
    </row>
    <row r="734" spans="1:17" x14ac:dyDescent="0.25">
      <c r="A734" s="14"/>
      <c r="B734" s="13" t="s">
        <v>1353</v>
      </c>
      <c r="C734" s="62">
        <f>C727+SUM(H581/3)+SUM(H584:H585)/2+H587+SUM(H589/2)+SUM(C715/2)</f>
        <v>7.8333333333333339</v>
      </c>
      <c r="D734" s="14"/>
      <c r="K734" s="14"/>
      <c r="Q734" s="14"/>
    </row>
    <row r="735" spans="1:17" x14ac:dyDescent="0.25">
      <c r="A735" s="14"/>
      <c r="B735" s="13" t="s">
        <v>1354</v>
      </c>
      <c r="C735" s="62">
        <f>C709+C710+C714+C718+SUM(H567/2)+H569+SUM(H580/2)+SUM(H584:H585)/2+H588+SUM(H589/2)</f>
        <v>27</v>
      </c>
      <c r="D735" s="14"/>
      <c r="K735" s="14"/>
      <c r="Q735" s="14"/>
    </row>
    <row r="736" spans="1:17" x14ac:dyDescent="0.25">
      <c r="A736" s="14"/>
      <c r="B736" s="13" t="s">
        <v>1355</v>
      </c>
      <c r="C736" s="62">
        <v>0</v>
      </c>
      <c r="D736" s="14"/>
      <c r="K736" s="14"/>
      <c r="Q736" s="14"/>
    </row>
    <row r="737" spans="1:17" x14ac:dyDescent="0.25">
      <c r="A737" s="14"/>
      <c r="B737" s="13" t="s">
        <v>2250</v>
      </c>
      <c r="C737" s="62">
        <f>SUM(C732:C736)</f>
        <v>118.5</v>
      </c>
      <c r="D737" s="14"/>
      <c r="K737" s="14"/>
      <c r="Q737" s="14"/>
    </row>
    <row r="738" spans="1:17" x14ac:dyDescent="0.25">
      <c r="A738" s="14"/>
      <c r="D738" s="14"/>
      <c r="K738" s="14"/>
      <c r="Q738" s="14"/>
    </row>
    <row r="739" spans="1:17" x14ac:dyDescent="0.25">
      <c r="A739" s="14"/>
      <c r="B739" s="52" t="s">
        <v>2252</v>
      </c>
      <c r="C739" s="62">
        <f>SUM(H401:H402)+H404+SUM(H407:H408)+H519</f>
        <v>23</v>
      </c>
      <c r="D739" s="14"/>
      <c r="K739" s="14"/>
      <c r="Q739" s="14"/>
    </row>
    <row r="740" spans="1:17" x14ac:dyDescent="0.25">
      <c r="A740" s="14"/>
      <c r="B740" s="52"/>
      <c r="D740" s="14"/>
      <c r="K740" s="14"/>
      <c r="Q740" s="14"/>
    </row>
    <row r="741" spans="1:17" x14ac:dyDescent="0.25">
      <c r="A741" s="14"/>
      <c r="B741" s="12" t="s">
        <v>2253</v>
      </c>
      <c r="C741" s="62">
        <f>C643+C680+C694+C730+C739</f>
        <v>1409</v>
      </c>
      <c r="D741" s="14"/>
      <c r="K741" s="14"/>
      <c r="Q741" s="14"/>
    </row>
    <row r="742" spans="1:17" x14ac:dyDescent="0.25">
      <c r="A742" s="14"/>
      <c r="D742" s="14"/>
      <c r="K742" s="14"/>
      <c r="Q742" s="14"/>
    </row>
    <row r="743" spans="1:17" x14ac:dyDescent="0.25">
      <c r="A743" s="14"/>
      <c r="B743" s="13" t="s">
        <v>5756</v>
      </c>
      <c r="C743" s="62">
        <f>C599+C621+C635</f>
        <v>69</v>
      </c>
      <c r="D743" s="14"/>
      <c r="K743" s="14"/>
      <c r="Q743" s="14"/>
    </row>
    <row r="744" spans="1:17" x14ac:dyDescent="0.25">
      <c r="A744" s="14"/>
      <c r="B744" s="13" t="s">
        <v>1272</v>
      </c>
      <c r="C744" s="62">
        <f>C643-C743</f>
        <v>773.5</v>
      </c>
      <c r="D744" s="14"/>
      <c r="K744" s="14"/>
      <c r="Q744" s="14"/>
    </row>
    <row r="745" spans="1:17" x14ac:dyDescent="0.25">
      <c r="A745" s="14"/>
      <c r="D745" s="14"/>
      <c r="K745" s="14"/>
      <c r="Q745" s="14"/>
    </row>
    <row r="746" spans="1:17" x14ac:dyDescent="0.25">
      <c r="A746" s="14"/>
      <c r="B746" s="13" t="s">
        <v>1359</v>
      </c>
      <c r="C746" s="62">
        <f>C743</f>
        <v>69</v>
      </c>
      <c r="D746" s="14"/>
      <c r="K746" s="14"/>
      <c r="Q746" s="14"/>
    </row>
    <row r="747" spans="1:17" x14ac:dyDescent="0.25">
      <c r="A747" s="14"/>
      <c r="B747" s="13" t="s">
        <v>1891</v>
      </c>
      <c r="C747" s="62">
        <f>C741-C746</f>
        <v>1340</v>
      </c>
      <c r="D747" s="14"/>
      <c r="K747" s="14"/>
      <c r="Q747" s="14"/>
    </row>
    <row r="748" spans="1:17" x14ac:dyDescent="0.25">
      <c r="A748" s="14"/>
      <c r="D748" s="14"/>
      <c r="K748" s="14"/>
      <c r="Q748" s="14"/>
    </row>
    <row r="749" spans="1:17" x14ac:dyDescent="0.25">
      <c r="A749" s="14"/>
      <c r="B749" s="13" t="s">
        <v>11</v>
      </c>
      <c r="C749" s="62">
        <f>C643</f>
        <v>842.5</v>
      </c>
      <c r="D749" s="14"/>
      <c r="K749" s="14"/>
      <c r="Q749" s="14"/>
    </row>
    <row r="750" spans="1:17" x14ac:dyDescent="0.25">
      <c r="A750" s="14"/>
      <c r="B750" s="13" t="s">
        <v>35</v>
      </c>
      <c r="C750" s="62">
        <f>C680</f>
        <v>268</v>
      </c>
      <c r="D750" s="14"/>
      <c r="K750" s="14"/>
      <c r="Q750" s="14"/>
    </row>
    <row r="751" spans="1:17" x14ac:dyDescent="0.25">
      <c r="A751" s="14"/>
      <c r="B751" s="13" t="s">
        <v>56</v>
      </c>
      <c r="C751" s="62">
        <f>C694</f>
        <v>114.5</v>
      </c>
      <c r="D751" s="14"/>
      <c r="K751" s="14"/>
      <c r="Q751" s="14"/>
    </row>
    <row r="752" spans="1:17" x14ac:dyDescent="0.25">
      <c r="A752" s="14"/>
      <c r="B752" s="13" t="s">
        <v>771</v>
      </c>
      <c r="C752" s="62">
        <f>C730</f>
        <v>161</v>
      </c>
      <c r="D752" s="14"/>
      <c r="K752" s="14"/>
      <c r="Q752" s="14"/>
    </row>
    <row r="753" spans="2:11" x14ac:dyDescent="0.25">
      <c r="D753" s="14"/>
      <c r="K753" s="14"/>
    </row>
    <row r="754" spans="2:11" ht="12" thickBot="1" x14ac:dyDescent="0.3"/>
    <row r="755" spans="2:11" ht="12.75" x14ac:dyDescent="0.25">
      <c r="B755" s="85" t="s">
        <v>5449</v>
      </c>
      <c r="C755" s="88">
        <v>61.5</v>
      </c>
    </row>
    <row r="756" spans="2:11" ht="12.75" x14ac:dyDescent="0.25">
      <c r="B756" s="86" t="s">
        <v>5450</v>
      </c>
      <c r="C756" s="89">
        <v>56.5</v>
      </c>
    </row>
    <row r="757" spans="2:11" ht="12.75" x14ac:dyDescent="0.25">
      <c r="B757" s="86" t="s">
        <v>5451</v>
      </c>
      <c r="C757" s="89">
        <v>71</v>
      </c>
    </row>
    <row r="758" spans="2:11" ht="12.75" x14ac:dyDescent="0.25">
      <c r="B758" s="86" t="s">
        <v>5452</v>
      </c>
      <c r="C758" s="89">
        <v>555</v>
      </c>
    </row>
    <row r="759" spans="2:11" ht="13.5" thickBot="1" x14ac:dyDescent="0.3">
      <c r="B759" s="87" t="s">
        <v>5453</v>
      </c>
      <c r="C759" s="90">
        <v>67</v>
      </c>
    </row>
    <row r="760" spans="2:11" ht="12.75" x14ac:dyDescent="0.25">
      <c r="B760" s="85" t="s">
        <v>5454</v>
      </c>
      <c r="C760" s="88">
        <v>171.5</v>
      </c>
    </row>
    <row r="761" spans="2:11" ht="12.75" x14ac:dyDescent="0.25">
      <c r="B761" s="86" t="s">
        <v>5455</v>
      </c>
      <c r="C761" s="89">
        <v>15</v>
      </c>
    </row>
    <row r="762" spans="2:11" ht="12.75" x14ac:dyDescent="0.25">
      <c r="B762" s="86" t="s">
        <v>5456</v>
      </c>
      <c r="C762" s="89">
        <v>24.5</v>
      </c>
    </row>
    <row r="763" spans="2:11" ht="12.75" x14ac:dyDescent="0.25">
      <c r="B763" s="86" t="s">
        <v>5457</v>
      </c>
      <c r="C763" s="89">
        <v>15</v>
      </c>
    </row>
    <row r="764" spans="2:11" ht="13.5" thickBot="1" x14ac:dyDescent="0.3">
      <c r="B764" s="87" t="s">
        <v>5458</v>
      </c>
      <c r="C764" s="90">
        <v>10</v>
      </c>
    </row>
    <row r="765" spans="2:11" ht="12.75" x14ac:dyDescent="0.25">
      <c r="B765" s="85" t="s">
        <v>923</v>
      </c>
      <c r="C765" s="88">
        <v>9</v>
      </c>
    </row>
    <row r="766" spans="2:11" ht="12.75" x14ac:dyDescent="0.25">
      <c r="B766" s="86" t="s">
        <v>924</v>
      </c>
      <c r="C766" s="89">
        <v>26</v>
      </c>
    </row>
    <row r="767" spans="2:11" ht="12.75" x14ac:dyDescent="0.25">
      <c r="B767" s="86" t="s">
        <v>925</v>
      </c>
      <c r="C767" s="89">
        <v>12</v>
      </c>
    </row>
    <row r="768" spans="2:11" ht="12.75" x14ac:dyDescent="0.25">
      <c r="B768" s="86" t="s">
        <v>926</v>
      </c>
      <c r="C768" s="89">
        <v>24</v>
      </c>
    </row>
    <row r="769" spans="2:3" ht="13.5" thickBot="1" x14ac:dyDescent="0.3">
      <c r="B769" s="87" t="s">
        <v>629</v>
      </c>
      <c r="C769" s="90">
        <v>15</v>
      </c>
    </row>
    <row r="770" spans="2:3" ht="12.75" x14ac:dyDescent="0.25">
      <c r="B770" s="85" t="s">
        <v>776</v>
      </c>
      <c r="C770" s="88">
        <v>21.5</v>
      </c>
    </row>
    <row r="771" spans="2:3" ht="12.75" x14ac:dyDescent="0.25">
      <c r="B771" s="86" t="s">
        <v>1351</v>
      </c>
      <c r="C771" s="89">
        <v>64.5</v>
      </c>
    </row>
    <row r="772" spans="2:3" ht="12.75" x14ac:dyDescent="0.25">
      <c r="B772" s="86" t="s">
        <v>1352</v>
      </c>
      <c r="C772" s="89">
        <v>19.167000000000002</v>
      </c>
    </row>
    <row r="773" spans="2:3" ht="12.75" x14ac:dyDescent="0.25">
      <c r="B773" s="86" t="s">
        <v>1353</v>
      </c>
      <c r="C773" s="89">
        <v>7.8330000000000002</v>
      </c>
    </row>
    <row r="774" spans="2:3" ht="12.75" x14ac:dyDescent="0.25">
      <c r="B774" s="86" t="s">
        <v>1354</v>
      </c>
      <c r="C774" s="89">
        <v>27</v>
      </c>
    </row>
    <row r="775" spans="2:3" ht="13.5" thickBot="1" x14ac:dyDescent="0.3">
      <c r="B775" s="87" t="s">
        <v>1880</v>
      </c>
      <c r="C775" s="90">
        <v>0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71"/>
  <sheetViews>
    <sheetView zoomScale="98" zoomScaleNormal="114" workbookViewId="0">
      <pane ySplit="1" topLeftCell="A635" activePane="bottomLeft" state="frozen"/>
      <selection activeCell="A680" sqref="A680"/>
      <selection pane="bottomLeft" activeCell="E649" sqref="E649"/>
    </sheetView>
  </sheetViews>
  <sheetFormatPr defaultRowHeight="12.75" x14ac:dyDescent="0.25"/>
  <cols>
    <col min="1" max="1" width="13.28515625" style="47" customWidth="1"/>
    <col min="2" max="2" width="17.140625" style="13" customWidth="1"/>
    <col min="3" max="3" width="21.140625" style="10" customWidth="1"/>
    <col min="4" max="4" width="11.5703125" style="13" customWidth="1"/>
    <col min="5" max="5" width="13.5703125" style="14" customWidth="1"/>
    <col min="6" max="6" width="8.42578125" style="14" customWidth="1"/>
    <col min="7" max="7" width="7.85546875" style="14" customWidth="1"/>
    <col min="8" max="8" width="7.28515625" style="14" customWidth="1"/>
    <col min="9" max="9" width="7.85546875" style="14" customWidth="1"/>
    <col min="10" max="10" width="8" style="14" customWidth="1"/>
    <col min="11" max="11" width="40.7109375" style="13" customWidth="1"/>
    <col min="12" max="12" width="5.85546875" style="15" customWidth="1"/>
    <col min="13" max="13" width="6.85546875" style="15" customWidth="1"/>
    <col min="14" max="14" width="6.5703125" style="15" customWidth="1"/>
    <col min="15" max="16" width="9.140625" style="15"/>
    <col min="17" max="17" width="13.85546875" style="13" customWidth="1"/>
    <col min="18" max="16384" width="9.140625" style="15"/>
  </cols>
  <sheetData>
    <row r="1" spans="1:19" s="11" customFormat="1" ht="54.75" customHeight="1" x14ac:dyDescent="0.25">
      <c r="A1" s="11" t="s">
        <v>1267</v>
      </c>
      <c r="B1" s="12" t="s">
        <v>2</v>
      </c>
      <c r="C1" s="18" t="s">
        <v>0</v>
      </c>
      <c r="D1" s="12" t="s">
        <v>6</v>
      </c>
      <c r="E1" s="11" t="s">
        <v>1</v>
      </c>
      <c r="F1" s="11" t="s">
        <v>3</v>
      </c>
      <c r="G1" s="12" t="s">
        <v>29</v>
      </c>
      <c r="H1" s="12" t="s">
        <v>30</v>
      </c>
      <c r="I1" s="12" t="s">
        <v>71</v>
      </c>
      <c r="J1" s="12" t="s">
        <v>4</v>
      </c>
      <c r="K1" s="12" t="s">
        <v>5</v>
      </c>
      <c r="L1" s="11" t="s">
        <v>109</v>
      </c>
      <c r="M1" s="11" t="s">
        <v>104</v>
      </c>
      <c r="N1" s="11" t="s">
        <v>105</v>
      </c>
      <c r="O1" s="11" t="s">
        <v>106</v>
      </c>
      <c r="P1" s="11" t="s">
        <v>107</v>
      </c>
      <c r="Q1" s="12"/>
      <c r="R1" s="12"/>
      <c r="S1" s="12"/>
    </row>
    <row r="2" spans="1:19" ht="25.5" x14ac:dyDescent="0.25">
      <c r="A2" s="11" t="s">
        <v>3138</v>
      </c>
      <c r="B2" s="13" t="s">
        <v>3257</v>
      </c>
      <c r="C2" s="17" t="s">
        <v>3256</v>
      </c>
      <c r="D2" s="13" t="s">
        <v>3200</v>
      </c>
      <c r="E2" s="14" t="s">
        <v>3216</v>
      </c>
      <c r="F2" s="14" t="s">
        <v>11</v>
      </c>
      <c r="G2" s="13">
        <v>2</v>
      </c>
      <c r="H2" s="14">
        <f>G2+I2</f>
        <v>7</v>
      </c>
      <c r="I2" s="14">
        <v>5</v>
      </c>
      <c r="J2" s="14">
        <v>4</v>
      </c>
      <c r="K2" s="13" t="s">
        <v>3544</v>
      </c>
      <c r="L2" s="15" t="s">
        <v>110</v>
      </c>
      <c r="M2" s="15">
        <v>8964</v>
      </c>
      <c r="N2" s="15">
        <v>7926</v>
      </c>
      <c r="O2" s="15">
        <v>489640</v>
      </c>
      <c r="P2" s="15">
        <v>179260</v>
      </c>
      <c r="Q2" s="15"/>
    </row>
    <row r="3" spans="1:19" s="14" customFormat="1" ht="25.5" customHeight="1" x14ac:dyDescent="0.25">
      <c r="A3" s="11" t="s">
        <v>3138</v>
      </c>
      <c r="B3" s="13" t="s">
        <v>297</v>
      </c>
      <c r="C3" s="17" t="s">
        <v>3373</v>
      </c>
      <c r="D3" s="13" t="s">
        <v>39</v>
      </c>
      <c r="E3" s="14" t="s">
        <v>3374</v>
      </c>
      <c r="F3" s="14" t="s">
        <v>11</v>
      </c>
      <c r="G3" s="13"/>
      <c r="H3" s="14">
        <f>G3+I3</f>
        <v>4</v>
      </c>
      <c r="I3" s="13">
        <v>4</v>
      </c>
      <c r="J3" s="13">
        <v>3</v>
      </c>
      <c r="K3" s="13" t="s">
        <v>3382</v>
      </c>
      <c r="L3" s="14" t="s">
        <v>108</v>
      </c>
      <c r="M3" s="14">
        <v>182</v>
      </c>
      <c r="N3" s="14">
        <v>7468</v>
      </c>
      <c r="O3" s="14">
        <v>501820</v>
      </c>
      <c r="P3" s="14">
        <v>174680</v>
      </c>
    </row>
    <row r="4" spans="1:19" s="14" customFormat="1" ht="25.5" customHeight="1" x14ac:dyDescent="0.25">
      <c r="A4" s="11" t="s">
        <v>3138</v>
      </c>
      <c r="B4" s="13" t="s">
        <v>297</v>
      </c>
      <c r="C4" s="10" t="s">
        <v>539</v>
      </c>
      <c r="D4" s="13" t="s">
        <v>26</v>
      </c>
      <c r="E4" s="14" t="s">
        <v>311</v>
      </c>
      <c r="F4" s="14" t="s">
        <v>11</v>
      </c>
      <c r="G4" s="13"/>
      <c r="H4" s="14">
        <f>G4+I4</f>
        <v>1</v>
      </c>
      <c r="I4" s="13">
        <v>1</v>
      </c>
      <c r="J4" s="13">
        <v>1</v>
      </c>
      <c r="K4" s="13" t="s">
        <v>3205</v>
      </c>
      <c r="L4" s="14" t="s">
        <v>110</v>
      </c>
      <c r="M4" s="14">
        <v>3232</v>
      </c>
      <c r="N4" s="14">
        <v>8338</v>
      </c>
      <c r="O4" s="14">
        <v>432320</v>
      </c>
      <c r="P4" s="14">
        <v>183380</v>
      </c>
    </row>
    <row r="5" spans="1:19" s="14" customFormat="1" x14ac:dyDescent="0.25">
      <c r="A5" s="11" t="s">
        <v>3138</v>
      </c>
      <c r="B5" s="13" t="s">
        <v>297</v>
      </c>
      <c r="C5" s="10" t="s">
        <v>298</v>
      </c>
      <c r="D5" s="13" t="s">
        <v>39</v>
      </c>
      <c r="E5" s="14" t="s">
        <v>67</v>
      </c>
      <c r="F5" s="14" t="s">
        <v>11</v>
      </c>
      <c r="G5" s="13"/>
      <c r="H5" s="14">
        <f t="shared" ref="H5:H45" si="0">G5+I5</f>
        <v>1</v>
      </c>
      <c r="I5" s="13">
        <v>1</v>
      </c>
      <c r="J5" s="13">
        <v>1</v>
      </c>
      <c r="K5" s="13" t="s">
        <v>3242</v>
      </c>
      <c r="L5" s="14" t="s">
        <v>110</v>
      </c>
      <c r="M5" s="14">
        <v>39519</v>
      </c>
      <c r="N5" s="14">
        <v>68161</v>
      </c>
      <c r="O5" s="14">
        <v>439519</v>
      </c>
      <c r="P5" s="14">
        <v>168161</v>
      </c>
    </row>
    <row r="6" spans="1:19" s="14" customFormat="1" ht="33.75" x14ac:dyDescent="0.25">
      <c r="A6" s="11" t="s">
        <v>3138</v>
      </c>
      <c r="B6" s="13" t="s">
        <v>3211</v>
      </c>
      <c r="C6" s="10" t="s">
        <v>3212</v>
      </c>
      <c r="D6" s="13" t="s">
        <v>3638</v>
      </c>
      <c r="E6" s="14" t="s">
        <v>3213</v>
      </c>
      <c r="F6" s="14" t="s">
        <v>11</v>
      </c>
      <c r="G6" s="13">
        <v>1</v>
      </c>
      <c r="H6" s="14">
        <f>G6+I6</f>
        <v>5</v>
      </c>
      <c r="I6" s="13">
        <v>4</v>
      </c>
      <c r="J6" s="13">
        <v>4</v>
      </c>
      <c r="K6" s="13" t="s">
        <v>3639</v>
      </c>
      <c r="L6" s="14" t="s">
        <v>110</v>
      </c>
      <c r="M6" s="14">
        <v>9178</v>
      </c>
      <c r="N6" s="14">
        <v>7907</v>
      </c>
      <c r="O6" s="14">
        <v>491780</v>
      </c>
      <c r="P6" s="14">
        <v>179070</v>
      </c>
    </row>
    <row r="7" spans="1:19" s="14" customFormat="1" x14ac:dyDescent="0.25">
      <c r="A7" s="11" t="s">
        <v>3138</v>
      </c>
      <c r="B7" s="13" t="s">
        <v>76</v>
      </c>
      <c r="C7" s="10" t="s">
        <v>330</v>
      </c>
      <c r="D7" s="13" t="s">
        <v>1940</v>
      </c>
      <c r="E7" s="14" t="s">
        <v>1281</v>
      </c>
      <c r="F7" s="14" t="s">
        <v>11</v>
      </c>
      <c r="G7" s="13">
        <v>6</v>
      </c>
      <c r="H7" s="14">
        <f>G7+I7</f>
        <v>6</v>
      </c>
      <c r="I7" s="13"/>
      <c r="J7" s="13">
        <v>5</v>
      </c>
      <c r="K7" s="13" t="s">
        <v>3439</v>
      </c>
      <c r="L7" s="14" t="s">
        <v>177</v>
      </c>
      <c r="M7" s="14">
        <v>193</v>
      </c>
      <c r="N7" s="14">
        <v>983</v>
      </c>
      <c r="O7" s="14">
        <v>519300</v>
      </c>
      <c r="P7" s="14">
        <v>298300</v>
      </c>
    </row>
    <row r="8" spans="1:19" x14ac:dyDescent="0.25">
      <c r="A8" s="11" t="s">
        <v>3138</v>
      </c>
      <c r="B8" s="13" t="s">
        <v>76</v>
      </c>
      <c r="C8" s="10" t="s">
        <v>3624</v>
      </c>
      <c r="D8" s="13" t="s">
        <v>434</v>
      </c>
      <c r="E8" s="13" t="s">
        <v>1926</v>
      </c>
      <c r="F8" s="14" t="s">
        <v>11</v>
      </c>
      <c r="G8" s="13">
        <v>1</v>
      </c>
      <c r="H8" s="14">
        <f>G8+I8</f>
        <v>1</v>
      </c>
      <c r="J8" s="14">
        <v>1</v>
      </c>
      <c r="K8" s="13" t="s">
        <v>3627</v>
      </c>
      <c r="L8" s="15" t="s">
        <v>177</v>
      </c>
      <c r="M8" s="15">
        <v>508</v>
      </c>
      <c r="N8" s="15">
        <v>464</v>
      </c>
      <c r="O8" s="15">
        <v>550800</v>
      </c>
      <c r="P8" s="15">
        <v>246400</v>
      </c>
    </row>
    <row r="9" spans="1:19" ht="22.5" x14ac:dyDescent="0.25">
      <c r="A9" s="11" t="s">
        <v>3138</v>
      </c>
      <c r="B9" s="13" t="s">
        <v>76</v>
      </c>
      <c r="C9" s="10" t="s">
        <v>174</v>
      </c>
      <c r="D9" s="13" t="s">
        <v>92</v>
      </c>
      <c r="E9" s="13" t="s">
        <v>176</v>
      </c>
      <c r="F9" s="14" t="s">
        <v>11</v>
      </c>
      <c r="G9" s="13">
        <v>3</v>
      </c>
      <c r="H9" s="14">
        <f t="shared" si="0"/>
        <v>8</v>
      </c>
      <c r="I9" s="14">
        <v>5</v>
      </c>
      <c r="J9" s="14">
        <v>7</v>
      </c>
      <c r="K9" s="13" t="s">
        <v>3684</v>
      </c>
      <c r="L9" s="15" t="s">
        <v>175</v>
      </c>
      <c r="M9" s="15">
        <v>1385</v>
      </c>
      <c r="N9" s="15">
        <v>735</v>
      </c>
      <c r="O9" s="15">
        <v>513850</v>
      </c>
      <c r="P9" s="15">
        <v>307350</v>
      </c>
    </row>
    <row r="10" spans="1:19" ht="25.5" x14ac:dyDescent="0.25">
      <c r="A10" s="11" t="s">
        <v>3138</v>
      </c>
      <c r="B10" s="13" t="s">
        <v>76</v>
      </c>
      <c r="C10" s="17" t="s">
        <v>3369</v>
      </c>
      <c r="D10" s="13" t="s">
        <v>39</v>
      </c>
      <c r="E10" s="13" t="s">
        <v>176</v>
      </c>
      <c r="F10" s="14" t="s">
        <v>11</v>
      </c>
      <c r="G10" s="13"/>
      <c r="H10" s="14">
        <f t="shared" si="0"/>
        <v>5</v>
      </c>
      <c r="I10" s="14">
        <v>5</v>
      </c>
      <c r="J10" s="14">
        <v>4</v>
      </c>
      <c r="K10" s="13" t="s">
        <v>3383</v>
      </c>
      <c r="L10" s="15" t="s">
        <v>177</v>
      </c>
      <c r="M10" s="15">
        <v>208</v>
      </c>
      <c r="N10" s="15">
        <v>989</v>
      </c>
      <c r="O10" s="15">
        <v>520800</v>
      </c>
      <c r="P10" s="15">
        <v>298900</v>
      </c>
    </row>
    <row r="11" spans="1:19" ht="22.5" x14ac:dyDescent="0.25">
      <c r="A11" s="11" t="s">
        <v>3138</v>
      </c>
      <c r="B11" s="13" t="s">
        <v>76</v>
      </c>
      <c r="C11" s="10" t="s">
        <v>946</v>
      </c>
      <c r="D11" s="13" t="s">
        <v>26</v>
      </c>
      <c r="E11" s="13" t="s">
        <v>178</v>
      </c>
      <c r="F11" s="14" t="s">
        <v>11</v>
      </c>
      <c r="G11" s="13"/>
      <c r="H11" s="14">
        <f t="shared" si="0"/>
        <v>12</v>
      </c>
      <c r="I11" s="14">
        <v>12</v>
      </c>
      <c r="J11" s="14">
        <v>8</v>
      </c>
      <c r="K11" s="13" t="s">
        <v>3467</v>
      </c>
      <c r="L11" s="15" t="s">
        <v>177</v>
      </c>
      <c r="M11" s="15">
        <v>420</v>
      </c>
      <c r="N11" s="15">
        <v>767</v>
      </c>
      <c r="O11" s="15">
        <v>542000</v>
      </c>
      <c r="P11" s="15">
        <v>276700</v>
      </c>
    </row>
    <row r="12" spans="1:19" ht="22.5" x14ac:dyDescent="0.25">
      <c r="A12" s="11" t="s">
        <v>3138</v>
      </c>
      <c r="B12" s="13" t="s">
        <v>76</v>
      </c>
      <c r="C12" s="10" t="s">
        <v>3625</v>
      </c>
      <c r="D12" s="13" t="s">
        <v>434</v>
      </c>
      <c r="E12" s="13" t="s">
        <v>3626</v>
      </c>
      <c r="F12" s="14" t="s">
        <v>11</v>
      </c>
      <c r="G12" s="13">
        <v>1</v>
      </c>
      <c r="H12" s="14">
        <f>G12+I12</f>
        <v>1</v>
      </c>
      <c r="J12" s="14">
        <v>1</v>
      </c>
      <c r="K12" s="13" t="s">
        <v>3627</v>
      </c>
      <c r="L12" s="15" t="s">
        <v>177</v>
      </c>
      <c r="M12" s="15">
        <v>355</v>
      </c>
      <c r="N12" s="15">
        <v>725</v>
      </c>
      <c r="O12" s="15">
        <v>535500</v>
      </c>
      <c r="P12" s="15">
        <v>272500</v>
      </c>
    </row>
    <row r="13" spans="1:19" s="14" customFormat="1" x14ac:dyDescent="0.25">
      <c r="A13" s="11" t="s">
        <v>3138</v>
      </c>
      <c r="B13" s="13" t="s">
        <v>76</v>
      </c>
      <c r="C13" s="10" t="s">
        <v>3368</v>
      </c>
      <c r="D13" s="13" t="s">
        <v>39</v>
      </c>
      <c r="E13" s="13" t="s">
        <v>1926</v>
      </c>
      <c r="F13" s="14" t="s">
        <v>11</v>
      </c>
      <c r="G13" s="13"/>
      <c r="H13" s="14">
        <f>G13+I13</f>
        <v>1</v>
      </c>
      <c r="I13" s="13">
        <v>1</v>
      </c>
      <c r="J13" s="13">
        <v>1</v>
      </c>
      <c r="K13" s="13" t="s">
        <v>3367</v>
      </c>
      <c r="L13" s="14" t="s">
        <v>177</v>
      </c>
      <c r="M13" s="14">
        <v>195</v>
      </c>
      <c r="N13" s="14">
        <v>625</v>
      </c>
      <c r="O13" s="14">
        <v>519500</v>
      </c>
      <c r="P13" s="14">
        <v>262500</v>
      </c>
    </row>
    <row r="14" spans="1:19" ht="22.5" x14ac:dyDescent="0.25">
      <c r="A14" s="11" t="s">
        <v>3138</v>
      </c>
      <c r="B14" s="13" t="s">
        <v>213</v>
      </c>
      <c r="C14" s="10" t="s">
        <v>214</v>
      </c>
      <c r="D14" s="13" t="s">
        <v>215</v>
      </c>
      <c r="E14" s="13" t="s">
        <v>216</v>
      </c>
      <c r="F14" s="14" t="s">
        <v>11</v>
      </c>
      <c r="G14" s="13"/>
      <c r="H14" s="14">
        <f t="shared" si="0"/>
        <v>5</v>
      </c>
      <c r="I14" s="14">
        <v>5</v>
      </c>
      <c r="J14" s="14">
        <v>4</v>
      </c>
      <c r="K14" s="13" t="s">
        <v>3426</v>
      </c>
      <c r="L14" s="15" t="s">
        <v>218</v>
      </c>
      <c r="M14" s="15">
        <v>7365</v>
      </c>
      <c r="N14" s="15">
        <v>1960</v>
      </c>
      <c r="O14" s="15">
        <v>473650</v>
      </c>
      <c r="P14" s="15">
        <v>519600</v>
      </c>
      <c r="Q14" s="15"/>
    </row>
    <row r="15" spans="1:19" ht="22.5" x14ac:dyDescent="0.25">
      <c r="A15" s="11" t="s">
        <v>3138</v>
      </c>
      <c r="B15" s="13" t="s">
        <v>42</v>
      </c>
      <c r="C15" s="10" t="s">
        <v>3183</v>
      </c>
      <c r="D15" s="13" t="s">
        <v>41</v>
      </c>
      <c r="E15" s="14" t="s">
        <v>3184</v>
      </c>
      <c r="F15" s="14" t="s">
        <v>11</v>
      </c>
      <c r="G15" s="13">
        <v>1</v>
      </c>
      <c r="H15" s="14">
        <f>G15+I15</f>
        <v>1</v>
      </c>
      <c r="J15" s="14">
        <v>1</v>
      </c>
      <c r="K15" s="13" t="s">
        <v>3185</v>
      </c>
      <c r="L15" s="15" t="s">
        <v>144</v>
      </c>
      <c r="M15" s="15">
        <v>6242</v>
      </c>
      <c r="N15" s="15">
        <v>3785</v>
      </c>
      <c r="O15" s="15">
        <v>162420</v>
      </c>
      <c r="P15" s="15">
        <v>37850</v>
      </c>
      <c r="Q15" s="15"/>
    </row>
    <row r="16" spans="1:19" x14ac:dyDescent="0.25">
      <c r="A16" s="11" t="s">
        <v>3138</v>
      </c>
      <c r="B16" s="13" t="s">
        <v>42</v>
      </c>
      <c r="C16" s="10" t="s">
        <v>3219</v>
      </c>
      <c r="D16" s="13" t="s">
        <v>598</v>
      </c>
      <c r="E16" s="14" t="s">
        <v>3220</v>
      </c>
      <c r="F16" s="14" t="s">
        <v>11</v>
      </c>
      <c r="G16" s="13"/>
      <c r="H16" s="14">
        <f>G16+I16</f>
        <v>1</v>
      </c>
      <c r="I16" s="14">
        <v>1</v>
      </c>
      <c r="J16" s="14">
        <v>1</v>
      </c>
      <c r="K16" s="13" t="s">
        <v>3221</v>
      </c>
      <c r="L16" s="15" t="s">
        <v>144</v>
      </c>
      <c r="M16" s="15">
        <v>789</v>
      </c>
      <c r="N16" s="15">
        <v>212</v>
      </c>
      <c r="O16" s="15">
        <v>178900</v>
      </c>
      <c r="P16" s="15">
        <v>21200</v>
      </c>
      <c r="Q16" s="15"/>
    </row>
    <row r="17" spans="1:17" x14ac:dyDescent="0.25">
      <c r="A17" s="11" t="s">
        <v>3138</v>
      </c>
      <c r="B17" s="13" t="s">
        <v>42</v>
      </c>
      <c r="C17" s="10" t="s">
        <v>3222</v>
      </c>
      <c r="D17" s="13" t="s">
        <v>598</v>
      </c>
      <c r="E17" s="14" t="s">
        <v>3223</v>
      </c>
      <c r="F17" s="14" t="s">
        <v>11</v>
      </c>
      <c r="G17" s="13"/>
      <c r="H17" s="14">
        <f>G17+I17</f>
        <v>1</v>
      </c>
      <c r="I17" s="14">
        <v>1</v>
      </c>
      <c r="J17" s="14">
        <v>1</v>
      </c>
      <c r="K17" s="13" t="s">
        <v>3221</v>
      </c>
      <c r="L17" s="15" t="s">
        <v>144</v>
      </c>
      <c r="M17" s="15">
        <v>876</v>
      </c>
      <c r="N17" s="15">
        <v>357</v>
      </c>
      <c r="O17" s="15">
        <v>187600</v>
      </c>
      <c r="P17" s="15">
        <v>35700</v>
      </c>
      <c r="Q17" s="15"/>
    </row>
    <row r="18" spans="1:17" ht="25.5" x14ac:dyDescent="0.25">
      <c r="A18" s="11" t="s">
        <v>3138</v>
      </c>
      <c r="B18" s="13" t="s">
        <v>42</v>
      </c>
      <c r="C18" s="17" t="s">
        <v>3475</v>
      </c>
      <c r="D18" s="13" t="s">
        <v>220</v>
      </c>
      <c r="E18" s="14" t="s">
        <v>3474</v>
      </c>
      <c r="F18" s="14" t="s">
        <v>11</v>
      </c>
      <c r="G18" s="13"/>
      <c r="H18" s="14">
        <f>G18+I18</f>
        <v>1</v>
      </c>
      <c r="I18" s="14">
        <v>1</v>
      </c>
      <c r="J18" s="14">
        <v>1</v>
      </c>
      <c r="K18" s="13" t="s">
        <v>3472</v>
      </c>
      <c r="L18" s="15" t="s">
        <v>144</v>
      </c>
      <c r="M18" s="15">
        <v>4709</v>
      </c>
      <c r="N18" s="15">
        <v>3826</v>
      </c>
      <c r="O18" s="15">
        <v>147090</v>
      </c>
      <c r="P18" s="15">
        <v>38260</v>
      </c>
      <c r="Q18" s="15"/>
    </row>
    <row r="19" spans="1:17" x14ac:dyDescent="0.25">
      <c r="A19" s="11" t="s">
        <v>3138</v>
      </c>
      <c r="B19" s="13" t="s">
        <v>42</v>
      </c>
      <c r="C19" s="10" t="s">
        <v>3224</v>
      </c>
      <c r="D19" s="13" t="s">
        <v>598</v>
      </c>
      <c r="E19" s="14" t="s">
        <v>3225</v>
      </c>
      <c r="F19" s="14" t="s">
        <v>11</v>
      </c>
      <c r="G19" s="13"/>
      <c r="H19" s="14">
        <f t="shared" si="0"/>
        <v>1</v>
      </c>
      <c r="I19" s="14">
        <v>1</v>
      </c>
      <c r="J19" s="14">
        <v>1</v>
      </c>
      <c r="K19" s="13" t="s">
        <v>3221</v>
      </c>
      <c r="L19" s="15" t="s">
        <v>520</v>
      </c>
      <c r="M19" s="15">
        <v>11</v>
      </c>
      <c r="N19" s="15">
        <v>5959</v>
      </c>
      <c r="O19" s="15">
        <v>200110</v>
      </c>
      <c r="P19" s="15">
        <v>59590</v>
      </c>
      <c r="Q19" s="15"/>
    </row>
    <row r="20" spans="1:17" x14ac:dyDescent="0.25">
      <c r="A20" s="11" t="s">
        <v>3138</v>
      </c>
      <c r="B20" s="13" t="s">
        <v>42</v>
      </c>
      <c r="C20" s="10" t="s">
        <v>2510</v>
      </c>
      <c r="D20" s="13" t="s">
        <v>220</v>
      </c>
      <c r="E20" s="14" t="s">
        <v>2511</v>
      </c>
      <c r="F20" s="14" t="s">
        <v>11</v>
      </c>
      <c r="G20" s="13"/>
      <c r="H20" s="14">
        <f t="shared" si="0"/>
        <v>1</v>
      </c>
      <c r="I20" s="14">
        <v>1</v>
      </c>
      <c r="J20" s="14">
        <v>1</v>
      </c>
      <c r="K20" s="13" t="s">
        <v>3472</v>
      </c>
      <c r="L20" s="15" t="s">
        <v>144</v>
      </c>
      <c r="M20" s="15">
        <v>4688</v>
      </c>
      <c r="N20" s="15">
        <v>3802</v>
      </c>
      <c r="O20" s="15">
        <v>146880</v>
      </c>
      <c r="P20" s="15">
        <v>38020</v>
      </c>
      <c r="Q20" s="15"/>
    </row>
    <row r="21" spans="1:17" ht="22.5" x14ac:dyDescent="0.25">
      <c r="A21" s="11" t="s">
        <v>3138</v>
      </c>
      <c r="B21" s="13" t="s">
        <v>10</v>
      </c>
      <c r="C21" s="10" t="s">
        <v>165</v>
      </c>
      <c r="D21" s="13" t="s">
        <v>825</v>
      </c>
      <c r="E21" s="14" t="s">
        <v>12</v>
      </c>
      <c r="F21" s="14" t="s">
        <v>11</v>
      </c>
      <c r="G21" s="13">
        <v>1</v>
      </c>
      <c r="H21" s="14">
        <f t="shared" si="0"/>
        <v>1</v>
      </c>
      <c r="J21" s="14">
        <v>1</v>
      </c>
      <c r="K21" s="13" t="s">
        <v>3360</v>
      </c>
      <c r="L21" s="15" t="s">
        <v>166</v>
      </c>
      <c r="M21" s="15">
        <v>274</v>
      </c>
      <c r="N21" s="15">
        <v>72</v>
      </c>
      <c r="O21" s="15">
        <v>327400</v>
      </c>
      <c r="P21" s="15">
        <v>507200</v>
      </c>
      <c r="Q21" s="15"/>
    </row>
    <row r="22" spans="1:17" x14ac:dyDescent="0.25">
      <c r="A22" s="11" t="s">
        <v>3138</v>
      </c>
      <c r="B22" s="13" t="s">
        <v>126</v>
      </c>
      <c r="C22" s="10" t="s">
        <v>127</v>
      </c>
      <c r="D22" s="13" t="s">
        <v>39</v>
      </c>
      <c r="E22" s="14" t="s">
        <v>1281</v>
      </c>
      <c r="F22" s="14" t="s">
        <v>11</v>
      </c>
      <c r="G22" s="13"/>
      <c r="H22" s="14">
        <f t="shared" si="0"/>
        <v>1</v>
      </c>
      <c r="I22" s="14">
        <v>1</v>
      </c>
      <c r="J22" s="14">
        <v>1</v>
      </c>
      <c r="K22" s="13" t="s">
        <v>3644</v>
      </c>
      <c r="L22" s="1" t="s">
        <v>445</v>
      </c>
      <c r="M22" s="1">
        <v>41504</v>
      </c>
      <c r="N22" s="1">
        <v>29345</v>
      </c>
      <c r="O22" s="1">
        <v>441504</v>
      </c>
      <c r="P22" s="1">
        <v>329345</v>
      </c>
      <c r="Q22" s="15"/>
    </row>
    <row r="23" spans="1:17" x14ac:dyDescent="0.25">
      <c r="A23" s="11" t="s">
        <v>3138</v>
      </c>
      <c r="B23" s="13" t="s">
        <v>126</v>
      </c>
      <c r="C23" s="10" t="s">
        <v>3379</v>
      </c>
      <c r="D23" s="13" t="s">
        <v>1207</v>
      </c>
      <c r="E23" s="14" t="s">
        <v>1378</v>
      </c>
      <c r="F23" s="14" t="s">
        <v>11</v>
      </c>
      <c r="G23" s="13"/>
      <c r="H23" s="14">
        <f>G23+I23</f>
        <v>10</v>
      </c>
      <c r="I23" s="14">
        <v>10</v>
      </c>
      <c r="J23" s="14">
        <v>7</v>
      </c>
      <c r="K23" s="13" t="s">
        <v>3648</v>
      </c>
      <c r="L23" s="15" t="s">
        <v>445</v>
      </c>
      <c r="M23" s="15">
        <v>499</v>
      </c>
      <c r="N23" s="15">
        <v>7320</v>
      </c>
      <c r="O23" s="15">
        <v>404990</v>
      </c>
      <c r="P23" s="15">
        <v>373200</v>
      </c>
      <c r="Q23" s="15"/>
    </row>
    <row r="24" spans="1:17" x14ac:dyDescent="0.25">
      <c r="A24" s="11" t="s">
        <v>3138</v>
      </c>
      <c r="B24" s="13" t="s">
        <v>126</v>
      </c>
      <c r="C24" s="10" t="s">
        <v>3380</v>
      </c>
      <c r="D24" s="13" t="s">
        <v>1207</v>
      </c>
      <c r="E24" s="14" t="s">
        <v>1378</v>
      </c>
      <c r="F24" s="14" t="s">
        <v>11</v>
      </c>
      <c r="G24" s="13"/>
      <c r="H24" s="14">
        <f>G24+I24</f>
        <v>1</v>
      </c>
      <c r="I24" s="14">
        <v>1</v>
      </c>
      <c r="J24" s="14">
        <v>1</v>
      </c>
      <c r="K24" s="13" t="s">
        <v>3381</v>
      </c>
      <c r="L24" s="15" t="s">
        <v>445</v>
      </c>
      <c r="M24" s="15">
        <v>499</v>
      </c>
      <c r="N24" s="15">
        <v>7320</v>
      </c>
      <c r="O24" s="15">
        <v>404990</v>
      </c>
      <c r="P24" s="15">
        <v>373200</v>
      </c>
      <c r="Q24" s="15"/>
    </row>
    <row r="25" spans="1:17" ht="22.5" x14ac:dyDescent="0.25">
      <c r="A25" s="11" t="s">
        <v>3138</v>
      </c>
      <c r="B25" s="13" t="s">
        <v>191</v>
      </c>
      <c r="C25" s="10" t="s">
        <v>1112</v>
      </c>
      <c r="D25" s="13" t="s">
        <v>41</v>
      </c>
      <c r="E25" s="14" t="s">
        <v>1113</v>
      </c>
      <c r="F25" s="14" t="s">
        <v>11</v>
      </c>
      <c r="G25" s="13">
        <v>1</v>
      </c>
      <c r="H25" s="14">
        <f t="shared" si="0"/>
        <v>10</v>
      </c>
      <c r="I25" s="14">
        <v>9</v>
      </c>
      <c r="J25" s="14">
        <v>7</v>
      </c>
      <c r="K25" s="13" t="s">
        <v>3560</v>
      </c>
      <c r="L25" s="15" t="s">
        <v>520</v>
      </c>
      <c r="M25" s="15">
        <v>8931</v>
      </c>
      <c r="N25" s="15">
        <v>5732</v>
      </c>
      <c r="O25" s="15">
        <v>289310</v>
      </c>
      <c r="P25" s="15">
        <v>57320</v>
      </c>
    </row>
    <row r="26" spans="1:17" x14ac:dyDescent="0.25">
      <c r="A26" s="11" t="s">
        <v>3138</v>
      </c>
      <c r="B26" s="13" t="s">
        <v>191</v>
      </c>
      <c r="C26" s="10" t="s">
        <v>1439</v>
      </c>
      <c r="D26" s="13" t="s">
        <v>39</v>
      </c>
      <c r="E26" s="14" t="s">
        <v>1440</v>
      </c>
      <c r="F26" s="14" t="s">
        <v>11</v>
      </c>
      <c r="G26" s="13"/>
      <c r="H26" s="14">
        <f t="shared" si="0"/>
        <v>1</v>
      </c>
      <c r="I26" s="14">
        <v>1</v>
      </c>
      <c r="J26" s="14">
        <v>1</v>
      </c>
      <c r="K26" s="13" t="s">
        <v>3366</v>
      </c>
      <c r="L26" s="15" t="s">
        <v>520</v>
      </c>
      <c r="M26" s="15">
        <v>8757</v>
      </c>
      <c r="N26" s="15">
        <v>8607</v>
      </c>
      <c r="O26" s="15">
        <v>287570</v>
      </c>
      <c r="P26" s="15">
        <v>86070</v>
      </c>
    </row>
    <row r="27" spans="1:17" ht="22.5" x14ac:dyDescent="0.25">
      <c r="A27" s="11" t="s">
        <v>3138</v>
      </c>
      <c r="B27" s="13" t="s">
        <v>191</v>
      </c>
      <c r="C27" s="10" t="s">
        <v>192</v>
      </c>
      <c r="D27" s="13" t="s">
        <v>3505</v>
      </c>
      <c r="E27" s="14" t="s">
        <v>194</v>
      </c>
      <c r="F27" s="14" t="s">
        <v>11</v>
      </c>
      <c r="G27" s="13">
        <v>5</v>
      </c>
      <c r="H27" s="14">
        <f t="shared" si="0"/>
        <v>5</v>
      </c>
      <c r="J27" s="14">
        <v>5</v>
      </c>
      <c r="K27" s="13" t="s">
        <v>3558</v>
      </c>
      <c r="L27" s="15" t="s">
        <v>119</v>
      </c>
      <c r="M27" s="15">
        <v>112</v>
      </c>
      <c r="N27" s="15">
        <v>30</v>
      </c>
      <c r="O27" s="15">
        <v>311200</v>
      </c>
      <c r="P27" s="15">
        <v>103000</v>
      </c>
    </row>
    <row r="28" spans="1:17" ht="22.5" x14ac:dyDescent="0.25">
      <c r="A28" s="11" t="s">
        <v>3138</v>
      </c>
      <c r="B28" s="13" t="s">
        <v>191</v>
      </c>
      <c r="C28" s="10" t="s">
        <v>192</v>
      </c>
      <c r="D28" s="13" t="s">
        <v>92</v>
      </c>
      <c r="E28" s="14" t="s">
        <v>194</v>
      </c>
      <c r="F28" s="14" t="s">
        <v>11</v>
      </c>
      <c r="G28" s="13"/>
      <c r="H28" s="14">
        <f t="shared" si="0"/>
        <v>1</v>
      </c>
      <c r="I28" s="14">
        <v>1</v>
      </c>
      <c r="J28" s="14">
        <v>1</v>
      </c>
      <c r="K28" s="13" t="s">
        <v>2216</v>
      </c>
      <c r="L28" s="15" t="s">
        <v>119</v>
      </c>
      <c r="M28" s="15">
        <v>112</v>
      </c>
      <c r="N28" s="15">
        <v>30</v>
      </c>
      <c r="O28" s="15">
        <v>311200</v>
      </c>
      <c r="P28" s="15">
        <v>103000</v>
      </c>
    </row>
    <row r="29" spans="1:17" ht="33.75" x14ac:dyDescent="0.25">
      <c r="A29" s="11" t="s">
        <v>3138</v>
      </c>
      <c r="B29" s="13" t="s">
        <v>191</v>
      </c>
      <c r="C29" s="10" t="s">
        <v>1378</v>
      </c>
      <c r="D29" s="13" t="s">
        <v>2675</v>
      </c>
      <c r="E29" s="14" t="s">
        <v>194</v>
      </c>
      <c r="F29" s="14" t="s">
        <v>11</v>
      </c>
      <c r="G29" s="13">
        <v>2</v>
      </c>
      <c r="H29" s="14">
        <f t="shared" si="0"/>
        <v>2</v>
      </c>
      <c r="J29" s="14">
        <v>2</v>
      </c>
      <c r="K29" s="13" t="s">
        <v>3357</v>
      </c>
      <c r="L29" s="15" t="s">
        <v>189</v>
      </c>
      <c r="M29" s="15">
        <v>10338</v>
      </c>
      <c r="N29" s="15">
        <v>85939</v>
      </c>
      <c r="O29" s="15">
        <v>310338</v>
      </c>
      <c r="P29" s="15">
        <v>85939</v>
      </c>
    </row>
    <row r="30" spans="1:17" x14ac:dyDescent="0.25">
      <c r="A30" s="11" t="s">
        <v>3138</v>
      </c>
      <c r="B30" s="13" t="s">
        <v>68</v>
      </c>
      <c r="C30" s="10" t="s">
        <v>382</v>
      </c>
      <c r="D30" s="13" t="s">
        <v>1278</v>
      </c>
      <c r="E30" s="14" t="s">
        <v>314</v>
      </c>
      <c r="F30" s="14" t="s">
        <v>11</v>
      </c>
      <c r="G30" s="13">
        <v>3</v>
      </c>
      <c r="H30" s="14">
        <f t="shared" si="0"/>
        <v>3</v>
      </c>
      <c r="J30" s="14">
        <v>2</v>
      </c>
      <c r="K30" s="13" t="s">
        <v>3616</v>
      </c>
      <c r="L30" s="15" t="s">
        <v>119</v>
      </c>
      <c r="M30" s="15">
        <v>96585</v>
      </c>
      <c r="N30" s="15">
        <v>18584</v>
      </c>
      <c r="O30" s="15">
        <v>396585</v>
      </c>
      <c r="P30" s="15">
        <v>118584</v>
      </c>
    </row>
    <row r="31" spans="1:17" ht="33.75" x14ac:dyDescent="0.25">
      <c r="A31" s="11" t="s">
        <v>3138</v>
      </c>
      <c r="B31" s="13" t="s">
        <v>68</v>
      </c>
      <c r="C31" s="17" t="s">
        <v>3207</v>
      </c>
      <c r="D31" s="13" t="s">
        <v>3206</v>
      </c>
      <c r="E31" s="14" t="s">
        <v>314</v>
      </c>
      <c r="F31" s="14" t="s">
        <v>11</v>
      </c>
      <c r="G31" s="13">
        <v>1</v>
      </c>
      <c r="H31" s="14">
        <f>G31+I31</f>
        <v>10</v>
      </c>
      <c r="I31" s="14">
        <v>9</v>
      </c>
      <c r="J31" s="14">
        <v>7</v>
      </c>
      <c r="K31" s="13" t="s">
        <v>3692</v>
      </c>
      <c r="L31" s="15" t="s">
        <v>110</v>
      </c>
      <c r="M31" s="15">
        <v>4</v>
      </c>
      <c r="N31" s="15">
        <v>1467</v>
      </c>
      <c r="O31" s="15">
        <v>400040</v>
      </c>
      <c r="P31" s="15">
        <v>114670</v>
      </c>
    </row>
    <row r="32" spans="1:17" ht="22.5" x14ac:dyDescent="0.25">
      <c r="A32" s="11" t="s">
        <v>3138</v>
      </c>
      <c r="B32" s="13" t="s">
        <v>68</v>
      </c>
      <c r="C32" s="10" t="s">
        <v>1959</v>
      </c>
      <c r="D32" s="13" t="s">
        <v>138</v>
      </c>
      <c r="E32" s="13" t="s">
        <v>600</v>
      </c>
      <c r="F32" s="14" t="s">
        <v>11</v>
      </c>
      <c r="G32" s="13">
        <v>4</v>
      </c>
      <c r="H32" s="14">
        <f>G32+I32</f>
        <v>6</v>
      </c>
      <c r="I32" s="14">
        <v>2</v>
      </c>
      <c r="J32" s="14">
        <v>4</v>
      </c>
      <c r="K32" s="13" t="s">
        <v>3557</v>
      </c>
      <c r="L32" s="15" t="s">
        <v>145</v>
      </c>
      <c r="M32" s="15">
        <v>704</v>
      </c>
      <c r="N32" s="15">
        <v>899</v>
      </c>
      <c r="O32" s="15">
        <v>370400</v>
      </c>
      <c r="P32" s="15">
        <v>89900</v>
      </c>
    </row>
    <row r="33" spans="1:17" ht="22.5" x14ac:dyDescent="0.25">
      <c r="A33" s="11" t="s">
        <v>3138</v>
      </c>
      <c r="B33" s="13" t="s">
        <v>68</v>
      </c>
      <c r="C33" s="10" t="s">
        <v>117</v>
      </c>
      <c r="D33" s="13" t="s">
        <v>92</v>
      </c>
      <c r="E33" s="14" t="s">
        <v>118</v>
      </c>
      <c r="F33" s="14" t="s">
        <v>11</v>
      </c>
      <c r="G33" s="13">
        <v>4</v>
      </c>
      <c r="H33" s="14">
        <f t="shared" si="0"/>
        <v>8</v>
      </c>
      <c r="I33" s="14">
        <v>4</v>
      </c>
      <c r="J33" s="14">
        <v>6</v>
      </c>
      <c r="K33" s="13" t="s">
        <v>3686</v>
      </c>
      <c r="L33" s="15" t="s">
        <v>119</v>
      </c>
      <c r="M33" s="15">
        <v>8492</v>
      </c>
      <c r="N33" s="15">
        <v>1226</v>
      </c>
      <c r="O33" s="15">
        <v>384920</v>
      </c>
      <c r="P33" s="15">
        <v>112260</v>
      </c>
      <c r="Q33" s="15"/>
    </row>
    <row r="34" spans="1:17" ht="33.75" x14ac:dyDescent="0.25">
      <c r="A34" s="11" t="s">
        <v>3138</v>
      </c>
      <c r="B34" s="13" t="s">
        <v>68</v>
      </c>
      <c r="C34" s="10" t="s">
        <v>312</v>
      </c>
      <c r="D34" s="13" t="s">
        <v>3655</v>
      </c>
      <c r="E34" s="14" t="s">
        <v>314</v>
      </c>
      <c r="F34" s="14" t="s">
        <v>11</v>
      </c>
      <c r="G34" s="13"/>
      <c r="H34" s="14">
        <f t="shared" si="0"/>
        <v>2</v>
      </c>
      <c r="I34" s="14">
        <v>2</v>
      </c>
      <c r="J34" s="14">
        <v>2</v>
      </c>
      <c r="K34" s="13" t="s">
        <v>3656</v>
      </c>
      <c r="L34" s="15" t="s">
        <v>110</v>
      </c>
      <c r="M34" s="15">
        <v>149</v>
      </c>
      <c r="N34" s="15">
        <v>1625</v>
      </c>
      <c r="O34" s="15">
        <v>401490</v>
      </c>
      <c r="P34" s="15">
        <v>116250</v>
      </c>
      <c r="Q34" s="15"/>
    </row>
    <row r="35" spans="1:17" ht="22.5" x14ac:dyDescent="0.25">
      <c r="A35" s="11" t="s">
        <v>3138</v>
      </c>
      <c r="B35" s="13" t="s">
        <v>68</v>
      </c>
      <c r="C35" s="10" t="s">
        <v>197</v>
      </c>
      <c r="D35" s="13" t="s">
        <v>92</v>
      </c>
      <c r="E35" s="14" t="s">
        <v>198</v>
      </c>
      <c r="F35" s="14" t="s">
        <v>11</v>
      </c>
      <c r="G35" s="13"/>
      <c r="H35" s="14">
        <f t="shared" si="0"/>
        <v>1</v>
      </c>
      <c r="I35" s="14">
        <v>1</v>
      </c>
      <c r="J35" s="14">
        <v>1</v>
      </c>
      <c r="K35" s="13" t="s">
        <v>2292</v>
      </c>
      <c r="L35" s="15" t="s">
        <v>145</v>
      </c>
      <c r="M35" s="15">
        <v>6693</v>
      </c>
      <c r="N35" s="15">
        <v>8848</v>
      </c>
      <c r="O35" s="15">
        <v>366930</v>
      </c>
      <c r="P35" s="15">
        <v>88480</v>
      </c>
      <c r="Q35" s="15"/>
    </row>
    <row r="36" spans="1:17" x14ac:dyDescent="0.25">
      <c r="A36" s="11" t="s">
        <v>3138</v>
      </c>
      <c r="B36" s="13" t="s">
        <v>209</v>
      </c>
      <c r="C36" s="10" t="s">
        <v>3634</v>
      </c>
      <c r="D36" s="13" t="s">
        <v>434</v>
      </c>
      <c r="E36" s="14" t="s">
        <v>3635</v>
      </c>
      <c r="F36" s="14" t="s">
        <v>11</v>
      </c>
      <c r="G36" s="13">
        <v>1</v>
      </c>
      <c r="H36" s="14">
        <f>G36+I36</f>
        <v>1</v>
      </c>
      <c r="J36" s="14">
        <v>1</v>
      </c>
      <c r="K36" s="13" t="s">
        <v>3636</v>
      </c>
      <c r="L36" s="15" t="s">
        <v>177</v>
      </c>
      <c r="M36" s="15">
        <v>901</v>
      </c>
      <c r="N36" s="15">
        <v>72</v>
      </c>
      <c r="O36" s="15">
        <v>590100</v>
      </c>
      <c r="P36" s="15">
        <v>207200</v>
      </c>
      <c r="Q36" s="15"/>
    </row>
    <row r="37" spans="1:17" ht="22.5" x14ac:dyDescent="0.25">
      <c r="A37" s="11" t="s">
        <v>3138</v>
      </c>
      <c r="B37" s="13" t="s">
        <v>209</v>
      </c>
      <c r="C37" s="10" t="s">
        <v>3645</v>
      </c>
      <c r="D37" s="13" t="s">
        <v>3646</v>
      </c>
      <c r="E37" s="14" t="s">
        <v>3635</v>
      </c>
      <c r="F37" s="14" t="s">
        <v>11</v>
      </c>
      <c r="G37" s="13">
        <v>1</v>
      </c>
      <c r="H37" s="14">
        <f>G37+I37</f>
        <v>1</v>
      </c>
      <c r="J37" s="14">
        <v>1</v>
      </c>
      <c r="K37" s="13" t="s">
        <v>3644</v>
      </c>
      <c r="L37" s="15" t="s">
        <v>177</v>
      </c>
      <c r="M37" s="15">
        <v>808</v>
      </c>
      <c r="N37" s="15">
        <v>68</v>
      </c>
      <c r="O37" s="15">
        <v>580800</v>
      </c>
      <c r="P37" s="15">
        <v>206800</v>
      </c>
      <c r="Q37" s="15"/>
    </row>
    <row r="38" spans="1:17" x14ac:dyDescent="0.25">
      <c r="A38" s="11" t="s">
        <v>3138</v>
      </c>
      <c r="B38" s="13" t="s">
        <v>64</v>
      </c>
      <c r="C38" s="10" t="s">
        <v>3178</v>
      </c>
      <c r="D38" s="13" t="s">
        <v>26</v>
      </c>
      <c r="E38" s="14" t="s">
        <v>69</v>
      </c>
      <c r="F38" s="14" t="s">
        <v>11</v>
      </c>
      <c r="G38" s="13"/>
      <c r="H38" s="14">
        <f t="shared" si="0"/>
        <v>2</v>
      </c>
      <c r="I38" s="14">
        <v>2</v>
      </c>
      <c r="J38" s="14">
        <v>2</v>
      </c>
      <c r="K38" s="13" t="s">
        <v>3485</v>
      </c>
      <c r="L38" s="15" t="s">
        <v>111</v>
      </c>
      <c r="M38" s="15">
        <v>1076</v>
      </c>
      <c r="N38" s="15">
        <v>944</v>
      </c>
      <c r="O38" s="15">
        <v>410760</v>
      </c>
      <c r="P38" s="15">
        <v>209440</v>
      </c>
      <c r="Q38" s="15"/>
    </row>
    <row r="39" spans="1:17" x14ac:dyDescent="0.25">
      <c r="A39" s="11" t="s">
        <v>3138</v>
      </c>
      <c r="B39" s="13" t="s">
        <v>64</v>
      </c>
      <c r="C39" s="10" t="s">
        <v>3177</v>
      </c>
      <c r="D39" s="13" t="s">
        <v>26</v>
      </c>
      <c r="E39" s="14" t="s">
        <v>69</v>
      </c>
      <c r="F39" s="14" t="s">
        <v>11</v>
      </c>
      <c r="G39" s="13"/>
      <c r="H39" s="14">
        <f>G39+I39</f>
        <v>1</v>
      </c>
      <c r="I39" s="14">
        <v>1</v>
      </c>
      <c r="J39" s="14">
        <v>1</v>
      </c>
      <c r="K39" s="13" t="s">
        <v>3144</v>
      </c>
      <c r="L39" s="15" t="s">
        <v>111</v>
      </c>
      <c r="M39" s="15">
        <v>1091</v>
      </c>
      <c r="N39" s="15">
        <v>925</v>
      </c>
      <c r="O39" s="15">
        <v>410910</v>
      </c>
      <c r="P39" s="15">
        <v>209250</v>
      </c>
      <c r="Q39" s="15"/>
    </row>
    <row r="40" spans="1:17" x14ac:dyDescent="0.25">
      <c r="A40" s="11" t="s">
        <v>3138</v>
      </c>
      <c r="B40" s="13" t="s">
        <v>64</v>
      </c>
      <c r="C40" s="10" t="s">
        <v>3181</v>
      </c>
      <c r="D40" s="13" t="s">
        <v>26</v>
      </c>
      <c r="E40" s="14" t="s">
        <v>69</v>
      </c>
      <c r="F40" s="14" t="s">
        <v>11</v>
      </c>
      <c r="G40" s="13"/>
      <c r="H40" s="14">
        <f>G40+I40</f>
        <v>19</v>
      </c>
      <c r="I40" s="14">
        <v>19</v>
      </c>
      <c r="J40" s="14">
        <v>11</v>
      </c>
      <c r="K40" s="13" t="s">
        <v>3489</v>
      </c>
      <c r="L40" s="15" t="s">
        <v>111</v>
      </c>
      <c r="M40" s="15">
        <v>104</v>
      </c>
      <c r="N40" s="15">
        <v>161</v>
      </c>
      <c r="O40" s="15">
        <v>410400</v>
      </c>
      <c r="P40" s="15">
        <v>216100</v>
      </c>
      <c r="Q40" s="15"/>
    </row>
    <row r="41" spans="1:17" x14ac:dyDescent="0.25">
      <c r="A41" s="11" t="s">
        <v>3138</v>
      </c>
      <c r="B41" s="13" t="s">
        <v>64</v>
      </c>
      <c r="C41" s="10" t="s">
        <v>3179</v>
      </c>
      <c r="D41" s="13" t="s">
        <v>26</v>
      </c>
      <c r="E41" s="14" t="s">
        <v>69</v>
      </c>
      <c r="F41" s="14" t="s">
        <v>11</v>
      </c>
      <c r="G41" s="13"/>
      <c r="H41" s="14">
        <f>G41+I41</f>
        <v>2</v>
      </c>
      <c r="I41" s="14">
        <v>2</v>
      </c>
      <c r="J41" s="14">
        <v>2</v>
      </c>
      <c r="K41" s="13" t="s">
        <v>3485</v>
      </c>
      <c r="L41" s="15" t="s">
        <v>111</v>
      </c>
      <c r="M41" s="15">
        <v>135</v>
      </c>
      <c r="N41" s="15">
        <v>266</v>
      </c>
      <c r="O41" s="15">
        <v>413500</v>
      </c>
      <c r="P41" s="15">
        <v>226600</v>
      </c>
      <c r="Q41" s="15"/>
    </row>
    <row r="42" spans="1:17" ht="22.5" x14ac:dyDescent="0.25">
      <c r="A42" s="11" t="s">
        <v>3138</v>
      </c>
      <c r="B42" s="13" t="s">
        <v>64</v>
      </c>
      <c r="C42" s="10" t="s">
        <v>195</v>
      </c>
      <c r="D42" s="13" t="s">
        <v>92</v>
      </c>
      <c r="E42" s="14" t="s">
        <v>69</v>
      </c>
      <c r="F42" s="14" t="s">
        <v>11</v>
      </c>
      <c r="G42" s="13">
        <v>2</v>
      </c>
      <c r="H42" s="14">
        <f t="shared" si="0"/>
        <v>3</v>
      </c>
      <c r="I42" s="14">
        <v>1</v>
      </c>
      <c r="J42" s="14">
        <v>2</v>
      </c>
      <c r="K42" s="13" t="s">
        <v>3404</v>
      </c>
      <c r="L42" s="15" t="s">
        <v>113</v>
      </c>
      <c r="M42" s="15">
        <v>9265</v>
      </c>
      <c r="N42" s="15">
        <v>1610</v>
      </c>
      <c r="O42" s="15">
        <v>392650</v>
      </c>
      <c r="P42" s="15">
        <v>216100</v>
      </c>
      <c r="Q42" s="15"/>
    </row>
    <row r="43" spans="1:17" ht="25.5" x14ac:dyDescent="0.25">
      <c r="A43" s="11" t="s">
        <v>3138</v>
      </c>
      <c r="B43" s="13" t="s">
        <v>64</v>
      </c>
      <c r="C43" s="17" t="s">
        <v>3202</v>
      </c>
      <c r="D43" s="13" t="s">
        <v>26</v>
      </c>
      <c r="E43" s="14" t="s">
        <v>69</v>
      </c>
      <c r="F43" s="14" t="s">
        <v>11</v>
      </c>
      <c r="G43" s="13"/>
      <c r="H43" s="14">
        <f>G43+I43</f>
        <v>4</v>
      </c>
      <c r="I43" s="14">
        <v>4</v>
      </c>
      <c r="J43" s="14">
        <v>2</v>
      </c>
      <c r="K43" s="13" t="s">
        <v>3404</v>
      </c>
      <c r="L43" s="15" t="s">
        <v>113</v>
      </c>
      <c r="M43" s="15">
        <v>9265</v>
      </c>
      <c r="N43" s="15">
        <v>1610</v>
      </c>
      <c r="O43" s="15">
        <v>392650</v>
      </c>
      <c r="P43" s="15">
        <v>216100</v>
      </c>
      <c r="Q43" s="15"/>
    </row>
    <row r="44" spans="1:17" ht="33.75" x14ac:dyDescent="0.25">
      <c r="A44" s="11" t="s">
        <v>3138</v>
      </c>
      <c r="B44" s="13" t="s">
        <v>64</v>
      </c>
      <c r="C44" s="10" t="s">
        <v>1117</v>
      </c>
      <c r="D44" s="13" t="s">
        <v>3668</v>
      </c>
      <c r="E44" s="14" t="s">
        <v>69</v>
      </c>
      <c r="F44" s="14" t="s">
        <v>11</v>
      </c>
      <c r="G44" s="13">
        <v>14</v>
      </c>
      <c r="H44" s="14">
        <f>G44+I44</f>
        <v>34</v>
      </c>
      <c r="I44" s="14">
        <v>20</v>
      </c>
      <c r="J44" s="14">
        <v>21</v>
      </c>
      <c r="K44" s="13" t="s">
        <v>3689</v>
      </c>
      <c r="L44" s="15" t="s">
        <v>111</v>
      </c>
      <c r="M44" s="15">
        <v>72</v>
      </c>
      <c r="N44" s="15">
        <v>188</v>
      </c>
      <c r="O44" s="15">
        <v>407200</v>
      </c>
      <c r="P44" s="15">
        <v>218800</v>
      </c>
      <c r="Q44" s="15"/>
    </row>
    <row r="45" spans="1:17" x14ac:dyDescent="0.25">
      <c r="A45" s="11" t="s">
        <v>3138</v>
      </c>
      <c r="B45" s="13" t="s">
        <v>64</v>
      </c>
      <c r="C45" s="10" t="s">
        <v>222</v>
      </c>
      <c r="D45" s="13" t="s">
        <v>26</v>
      </c>
      <c r="E45" s="14" t="s">
        <v>69</v>
      </c>
      <c r="F45" s="14" t="s">
        <v>11</v>
      </c>
      <c r="G45" s="13"/>
      <c r="H45" s="14">
        <f t="shared" si="0"/>
        <v>3</v>
      </c>
      <c r="I45" s="14">
        <v>3</v>
      </c>
      <c r="J45" s="14">
        <v>2</v>
      </c>
      <c r="K45" s="13" t="s">
        <v>3203</v>
      </c>
      <c r="L45" s="15" t="s">
        <v>111</v>
      </c>
      <c r="M45" s="15">
        <v>9576</v>
      </c>
      <c r="N45" s="15">
        <v>21203</v>
      </c>
      <c r="O45" s="15">
        <v>409576</v>
      </c>
      <c r="P45" s="15">
        <v>221203</v>
      </c>
      <c r="Q45" s="15"/>
    </row>
    <row r="46" spans="1:17" x14ac:dyDescent="0.25">
      <c r="A46" s="11" t="s">
        <v>3138</v>
      </c>
      <c r="B46" s="13" t="s">
        <v>64</v>
      </c>
      <c r="C46" s="10" t="s">
        <v>3182</v>
      </c>
      <c r="D46" s="13" t="s">
        <v>26</v>
      </c>
      <c r="E46" s="14" t="s">
        <v>69</v>
      </c>
      <c r="F46" s="14" t="s">
        <v>11</v>
      </c>
      <c r="G46" s="13">
        <v>4</v>
      </c>
      <c r="H46" s="14">
        <f t="shared" ref="H46:H54" si="1">G46+I46</f>
        <v>6</v>
      </c>
      <c r="I46" s="14">
        <v>2</v>
      </c>
      <c r="J46" s="14">
        <v>4</v>
      </c>
      <c r="K46" s="13" t="s">
        <v>3637</v>
      </c>
      <c r="L46" s="15" t="s">
        <v>119</v>
      </c>
      <c r="M46" s="15">
        <v>778</v>
      </c>
      <c r="N46" s="15">
        <v>970</v>
      </c>
      <c r="O46" s="15">
        <v>377800</v>
      </c>
      <c r="P46" s="15">
        <v>197000</v>
      </c>
      <c r="Q46" s="15"/>
    </row>
    <row r="47" spans="1:17" x14ac:dyDescent="0.25">
      <c r="A47" s="11" t="s">
        <v>3138</v>
      </c>
      <c r="B47" s="13" t="s">
        <v>64</v>
      </c>
      <c r="C47" s="10" t="s">
        <v>3175</v>
      </c>
      <c r="D47" s="13" t="s">
        <v>26</v>
      </c>
      <c r="E47" s="14" t="s">
        <v>3176</v>
      </c>
      <c r="F47" s="14" t="s">
        <v>11</v>
      </c>
      <c r="G47" s="13"/>
      <c r="H47" s="14">
        <f t="shared" si="1"/>
        <v>5</v>
      </c>
      <c r="I47" s="14">
        <v>5</v>
      </c>
      <c r="J47" s="14">
        <v>3</v>
      </c>
      <c r="K47" s="13" t="s">
        <v>3486</v>
      </c>
      <c r="L47" s="15" t="s">
        <v>111</v>
      </c>
      <c r="M47" s="15">
        <v>487</v>
      </c>
      <c r="N47" s="15">
        <v>1578</v>
      </c>
      <c r="O47" s="15">
        <v>404870</v>
      </c>
      <c r="P47" s="15">
        <v>215780</v>
      </c>
      <c r="Q47" s="15"/>
    </row>
    <row r="48" spans="1:17" x14ac:dyDescent="0.25">
      <c r="A48" s="11" t="s">
        <v>3138</v>
      </c>
      <c r="B48" s="13" t="s">
        <v>64</v>
      </c>
      <c r="C48" s="10" t="s">
        <v>3180</v>
      </c>
      <c r="D48" s="13" t="s">
        <v>26</v>
      </c>
      <c r="E48" s="14" t="s">
        <v>69</v>
      </c>
      <c r="F48" s="14" t="s">
        <v>11</v>
      </c>
      <c r="G48" s="13"/>
      <c r="H48" s="14">
        <f t="shared" si="1"/>
        <v>2</v>
      </c>
      <c r="I48" s="14">
        <v>2</v>
      </c>
      <c r="J48" s="14">
        <v>2</v>
      </c>
      <c r="K48" s="13" t="s">
        <v>3485</v>
      </c>
      <c r="L48" s="15" t="s">
        <v>111</v>
      </c>
      <c r="M48" s="15">
        <v>115</v>
      </c>
      <c r="N48" s="15">
        <v>91</v>
      </c>
      <c r="O48" s="15">
        <v>411500</v>
      </c>
      <c r="P48" s="15">
        <v>209100</v>
      </c>
      <c r="Q48" s="15"/>
    </row>
    <row r="49" spans="1:17" s="46" customFormat="1" x14ac:dyDescent="0.25">
      <c r="A49" s="11" t="s">
        <v>3138</v>
      </c>
      <c r="B49" s="55" t="s">
        <v>64</v>
      </c>
      <c r="C49" s="58" t="s">
        <v>3204</v>
      </c>
      <c r="D49" s="55" t="s">
        <v>26</v>
      </c>
      <c r="E49" s="57" t="s">
        <v>69</v>
      </c>
      <c r="F49" s="57" t="s">
        <v>11</v>
      </c>
      <c r="G49" s="55"/>
      <c r="H49" s="57">
        <f t="shared" si="1"/>
        <v>1</v>
      </c>
      <c r="I49" s="57">
        <v>1</v>
      </c>
      <c r="J49" s="57">
        <v>1</v>
      </c>
      <c r="K49" s="55" t="s">
        <v>3205</v>
      </c>
      <c r="L49" s="46" t="s">
        <v>113</v>
      </c>
      <c r="M49" s="46">
        <v>9114</v>
      </c>
      <c r="N49" s="46">
        <v>1322</v>
      </c>
      <c r="O49" s="46">
        <v>391140</v>
      </c>
      <c r="P49" s="46">
        <v>213220</v>
      </c>
    </row>
    <row r="50" spans="1:17" ht="22.5" x14ac:dyDescent="0.25">
      <c r="A50" s="11" t="s">
        <v>3138</v>
      </c>
      <c r="B50" s="13" t="s">
        <v>261</v>
      </c>
      <c r="C50" s="10" t="s">
        <v>3361</v>
      </c>
      <c r="D50" s="13" t="s">
        <v>3352</v>
      </c>
      <c r="E50" s="14" t="s">
        <v>601</v>
      </c>
      <c r="F50" s="14" t="s">
        <v>11</v>
      </c>
      <c r="G50" s="13">
        <v>2</v>
      </c>
      <c r="H50" s="14">
        <f t="shared" si="1"/>
        <v>2</v>
      </c>
      <c r="J50" s="14">
        <v>2</v>
      </c>
      <c r="K50" s="13" t="s">
        <v>3362</v>
      </c>
      <c r="L50" s="15" t="s">
        <v>110</v>
      </c>
      <c r="M50" s="15">
        <v>15</v>
      </c>
      <c r="N50" s="15">
        <v>17</v>
      </c>
      <c r="O50" s="15">
        <v>415500</v>
      </c>
      <c r="P50" s="15">
        <v>117500</v>
      </c>
      <c r="Q50" s="15"/>
    </row>
    <row r="51" spans="1:17" ht="22.5" x14ac:dyDescent="0.25">
      <c r="A51" s="11" t="s">
        <v>3138</v>
      </c>
      <c r="B51" s="13" t="s">
        <v>261</v>
      </c>
      <c r="C51" s="10" t="s">
        <v>262</v>
      </c>
      <c r="D51" s="13" t="s">
        <v>3261</v>
      </c>
      <c r="E51" s="14" t="s">
        <v>263</v>
      </c>
      <c r="F51" s="14" t="s">
        <v>11</v>
      </c>
      <c r="G51" s="13"/>
      <c r="H51" s="14">
        <f t="shared" si="1"/>
        <v>2</v>
      </c>
      <c r="I51" s="14">
        <v>2</v>
      </c>
      <c r="J51" s="14">
        <v>2</v>
      </c>
      <c r="K51" s="13" t="s">
        <v>3428</v>
      </c>
      <c r="L51" s="15" t="s">
        <v>110</v>
      </c>
      <c r="M51" s="15">
        <v>3310</v>
      </c>
      <c r="N51" s="15">
        <v>4952</v>
      </c>
      <c r="O51" s="15">
        <v>433100</v>
      </c>
      <c r="P51" s="15">
        <v>149520</v>
      </c>
      <c r="Q51" s="15"/>
    </row>
    <row r="52" spans="1:17" ht="22.5" x14ac:dyDescent="0.25">
      <c r="A52" s="11" t="s">
        <v>3138</v>
      </c>
      <c r="B52" s="13" t="s">
        <v>261</v>
      </c>
      <c r="C52" s="10" t="s">
        <v>3243</v>
      </c>
      <c r="D52" s="13" t="s">
        <v>1033</v>
      </c>
      <c r="E52" s="14" t="s">
        <v>3244</v>
      </c>
      <c r="F52" s="14" t="s">
        <v>11</v>
      </c>
      <c r="G52" s="13"/>
      <c r="H52" s="14">
        <f t="shared" si="1"/>
        <v>1</v>
      </c>
      <c r="I52" s="14">
        <v>1</v>
      </c>
      <c r="J52" s="14">
        <v>1</v>
      </c>
      <c r="K52" s="13" t="s">
        <v>3242</v>
      </c>
      <c r="L52" s="15" t="s">
        <v>110</v>
      </c>
      <c r="M52" s="15">
        <v>774</v>
      </c>
      <c r="N52" s="15">
        <v>365</v>
      </c>
      <c r="O52" s="15">
        <v>477400</v>
      </c>
      <c r="P52" s="15">
        <v>136500</v>
      </c>
      <c r="Q52" s="15"/>
    </row>
    <row r="53" spans="1:17" x14ac:dyDescent="0.25">
      <c r="A53" s="11" t="s">
        <v>3138</v>
      </c>
      <c r="B53" s="13" t="s">
        <v>1346</v>
      </c>
      <c r="C53" s="10" t="s">
        <v>3562</v>
      </c>
      <c r="D53" s="13" t="s">
        <v>1940</v>
      </c>
      <c r="E53" s="14" t="s">
        <v>2599</v>
      </c>
      <c r="F53" s="14" t="s">
        <v>11</v>
      </c>
      <c r="G53" s="13">
        <v>1</v>
      </c>
      <c r="H53" s="14">
        <f t="shared" si="1"/>
        <v>1</v>
      </c>
      <c r="J53" s="14">
        <v>1</v>
      </c>
      <c r="K53" s="13" t="s">
        <v>3563</v>
      </c>
      <c r="L53" s="15" t="s">
        <v>113</v>
      </c>
      <c r="M53" s="15">
        <v>318</v>
      </c>
      <c r="N53" s="15">
        <v>431</v>
      </c>
      <c r="O53" s="15">
        <v>331800</v>
      </c>
      <c r="P53" s="15">
        <v>243100</v>
      </c>
      <c r="Q53" s="15"/>
    </row>
    <row r="54" spans="1:17" ht="22.5" x14ac:dyDescent="0.25">
      <c r="A54" s="11" t="s">
        <v>3138</v>
      </c>
      <c r="B54" s="13" t="s">
        <v>705</v>
      </c>
      <c r="C54" s="10" t="s">
        <v>3392</v>
      </c>
      <c r="D54" s="13" t="s">
        <v>3393</v>
      </c>
      <c r="E54" s="10" t="s">
        <v>2003</v>
      </c>
      <c r="F54" s="14" t="s">
        <v>11</v>
      </c>
      <c r="G54" s="13"/>
      <c r="H54" s="14">
        <f t="shared" si="1"/>
        <v>1</v>
      </c>
      <c r="I54" s="14">
        <v>1</v>
      </c>
      <c r="J54" s="14">
        <v>1</v>
      </c>
      <c r="K54" s="13" t="s">
        <v>3381</v>
      </c>
      <c r="L54" s="15" t="s">
        <v>177</v>
      </c>
      <c r="M54" s="15">
        <v>1175</v>
      </c>
      <c r="N54" s="15">
        <v>793</v>
      </c>
      <c r="O54" s="15">
        <v>511750</v>
      </c>
      <c r="P54" s="15">
        <v>207930</v>
      </c>
      <c r="Q54" s="15"/>
    </row>
    <row r="55" spans="1:17" ht="22.5" x14ac:dyDescent="0.25">
      <c r="A55" s="11" t="s">
        <v>3138</v>
      </c>
      <c r="B55" s="13" t="s">
        <v>705</v>
      </c>
      <c r="C55" s="10" t="s">
        <v>3325</v>
      </c>
      <c r="D55" s="13" t="s">
        <v>2401</v>
      </c>
      <c r="E55" s="10" t="s">
        <v>2003</v>
      </c>
      <c r="F55" s="14" t="s">
        <v>11</v>
      </c>
      <c r="G55" s="13"/>
      <c r="H55" s="14">
        <f t="shared" ref="H55:H88" si="2">G55+I55</f>
        <v>2</v>
      </c>
      <c r="I55" s="14">
        <v>2</v>
      </c>
      <c r="J55" s="14">
        <v>2</v>
      </c>
      <c r="K55" s="13" t="s">
        <v>3326</v>
      </c>
      <c r="L55" s="15" t="s">
        <v>177</v>
      </c>
      <c r="M55" s="15">
        <v>1595</v>
      </c>
      <c r="N55" s="15">
        <v>220</v>
      </c>
      <c r="O55" s="15">
        <v>515950</v>
      </c>
      <c r="P55" s="15">
        <v>202200</v>
      </c>
      <c r="Q55" s="15"/>
    </row>
    <row r="56" spans="1:17" ht="33.75" x14ac:dyDescent="0.25">
      <c r="A56" s="11" t="s">
        <v>3138</v>
      </c>
      <c r="B56" s="13" t="s">
        <v>283</v>
      </c>
      <c r="C56" s="10" t="s">
        <v>1954</v>
      </c>
      <c r="D56" s="13" t="s">
        <v>1955</v>
      </c>
      <c r="E56" s="14" t="s">
        <v>1956</v>
      </c>
      <c r="F56" s="14" t="s">
        <v>11</v>
      </c>
      <c r="G56" s="13"/>
      <c r="H56" s="14">
        <f t="shared" si="2"/>
        <v>2</v>
      </c>
      <c r="I56" s="14">
        <v>2</v>
      </c>
      <c r="J56" s="14">
        <v>2</v>
      </c>
      <c r="K56" s="13" t="s">
        <v>3683</v>
      </c>
      <c r="L56" s="15" t="s">
        <v>477</v>
      </c>
      <c r="M56" s="15">
        <v>3615</v>
      </c>
      <c r="N56" s="15">
        <v>6457</v>
      </c>
      <c r="O56" s="15">
        <v>636150</v>
      </c>
      <c r="P56" s="15">
        <v>164570</v>
      </c>
      <c r="Q56" s="15"/>
    </row>
    <row r="57" spans="1:17" ht="22.5" x14ac:dyDescent="0.25">
      <c r="A57" s="11" t="s">
        <v>3138</v>
      </c>
      <c r="B57" s="13" t="s">
        <v>283</v>
      </c>
      <c r="C57" s="10" t="s">
        <v>3520</v>
      </c>
      <c r="D57" s="13" t="s">
        <v>41</v>
      </c>
      <c r="E57" s="14" t="s">
        <v>3521</v>
      </c>
      <c r="F57" s="14" t="s">
        <v>11</v>
      </c>
      <c r="G57" s="13">
        <v>1</v>
      </c>
      <c r="H57" s="14">
        <f>G57+I57</f>
        <v>1</v>
      </c>
      <c r="J57" s="14">
        <v>1</v>
      </c>
      <c r="K57" s="13" t="s">
        <v>3517</v>
      </c>
      <c r="L57" s="15" t="s">
        <v>108</v>
      </c>
      <c r="M57" s="15">
        <v>6526</v>
      </c>
      <c r="N57" s="15">
        <v>5917</v>
      </c>
      <c r="O57" s="15">
        <v>565260</v>
      </c>
      <c r="P57" s="15">
        <v>159170</v>
      </c>
      <c r="Q57" s="15"/>
    </row>
    <row r="58" spans="1:17" ht="22.5" x14ac:dyDescent="0.25">
      <c r="A58" s="11" t="s">
        <v>3138</v>
      </c>
      <c r="B58" s="13" t="s">
        <v>283</v>
      </c>
      <c r="C58" s="10" t="s">
        <v>761</v>
      </c>
      <c r="D58" s="13" t="s">
        <v>41</v>
      </c>
      <c r="E58" s="14" t="s">
        <v>757</v>
      </c>
      <c r="F58" s="14" t="s">
        <v>11</v>
      </c>
      <c r="G58" s="13"/>
      <c r="H58" s="14">
        <f t="shared" si="2"/>
        <v>10</v>
      </c>
      <c r="I58" s="14">
        <v>10</v>
      </c>
      <c r="J58" s="14">
        <v>8</v>
      </c>
      <c r="K58" s="13" t="s">
        <v>3495</v>
      </c>
      <c r="L58" s="15" t="s">
        <v>108</v>
      </c>
      <c r="M58" s="15">
        <v>6544</v>
      </c>
      <c r="N58" s="15">
        <v>6072</v>
      </c>
      <c r="O58" s="15">
        <v>565440</v>
      </c>
      <c r="P58" s="15">
        <v>160720</v>
      </c>
      <c r="Q58" s="15"/>
    </row>
    <row r="59" spans="1:17" x14ac:dyDescent="0.25">
      <c r="A59" s="11" t="s">
        <v>3138</v>
      </c>
      <c r="B59" s="13" t="s">
        <v>283</v>
      </c>
      <c r="C59" s="10" t="s">
        <v>1388</v>
      </c>
      <c r="D59" s="13" t="s">
        <v>39</v>
      </c>
      <c r="E59" s="14" t="s">
        <v>1389</v>
      </c>
      <c r="F59" s="14" t="s">
        <v>11</v>
      </c>
      <c r="G59" s="13">
        <v>1</v>
      </c>
      <c r="H59" s="14">
        <f t="shared" si="2"/>
        <v>1</v>
      </c>
      <c r="J59" s="14">
        <v>1</v>
      </c>
      <c r="K59" s="13" t="s">
        <v>1241</v>
      </c>
      <c r="L59" s="15" t="s">
        <v>108</v>
      </c>
      <c r="M59" s="15">
        <v>6159</v>
      </c>
      <c r="N59" s="15">
        <v>7308</v>
      </c>
      <c r="O59" s="15">
        <v>561590</v>
      </c>
      <c r="P59" s="15">
        <v>173080</v>
      </c>
      <c r="Q59" s="15"/>
    </row>
    <row r="60" spans="1:17" ht="22.5" x14ac:dyDescent="0.25">
      <c r="A60" s="11" t="s">
        <v>3138</v>
      </c>
      <c r="B60" s="13" t="s">
        <v>283</v>
      </c>
      <c r="C60" s="10" t="s">
        <v>3640</v>
      </c>
      <c r="D60" s="13" t="s">
        <v>1932</v>
      </c>
      <c r="E60" s="14" t="s">
        <v>3641</v>
      </c>
      <c r="F60" s="14" t="s">
        <v>11</v>
      </c>
      <c r="G60" s="13"/>
      <c r="H60" s="14">
        <f>G60+I60</f>
        <v>1</v>
      </c>
      <c r="I60" s="14">
        <v>1</v>
      </c>
      <c r="J60" s="14">
        <v>1</v>
      </c>
      <c r="K60" s="13" t="s">
        <v>3642</v>
      </c>
      <c r="L60" s="15" t="s">
        <v>108</v>
      </c>
      <c r="M60" s="15">
        <v>9765</v>
      </c>
      <c r="N60" s="15">
        <v>7205</v>
      </c>
      <c r="O60" s="15">
        <v>597650</v>
      </c>
      <c r="P60" s="15">
        <v>172050</v>
      </c>
      <c r="Q60" s="15"/>
    </row>
    <row r="61" spans="1:17" ht="22.5" x14ac:dyDescent="0.25">
      <c r="A61" s="11" t="s">
        <v>3138</v>
      </c>
      <c r="B61" s="13" t="s">
        <v>283</v>
      </c>
      <c r="C61" s="10" t="s">
        <v>3643</v>
      </c>
      <c r="D61" s="13" t="s">
        <v>1932</v>
      </c>
      <c r="E61" s="14" t="s">
        <v>3641</v>
      </c>
      <c r="F61" s="14" t="s">
        <v>11</v>
      </c>
      <c r="G61" s="13"/>
      <c r="H61" s="14">
        <f>G61+I61</f>
        <v>1</v>
      </c>
      <c r="I61" s="14">
        <v>1</v>
      </c>
      <c r="J61" s="14">
        <v>1</v>
      </c>
      <c r="K61" s="13" t="s">
        <v>3642</v>
      </c>
      <c r="L61" s="15" t="s">
        <v>108</v>
      </c>
      <c r="M61" s="15">
        <v>9757</v>
      </c>
      <c r="N61" s="15">
        <v>7230</v>
      </c>
      <c r="O61" s="15">
        <v>597570</v>
      </c>
      <c r="P61" s="15">
        <v>172300</v>
      </c>
      <c r="Q61" s="15"/>
    </row>
    <row r="62" spans="1:17" x14ac:dyDescent="0.25">
      <c r="A62" s="11" t="s">
        <v>3138</v>
      </c>
      <c r="B62" s="13" t="s">
        <v>283</v>
      </c>
      <c r="C62" s="10" t="s">
        <v>2106</v>
      </c>
      <c r="D62" s="13" t="s">
        <v>90</v>
      </c>
      <c r="E62" s="14" t="s">
        <v>2107</v>
      </c>
      <c r="F62" s="14" t="s">
        <v>11</v>
      </c>
      <c r="G62" s="13"/>
      <c r="H62" s="14">
        <f t="shared" si="2"/>
        <v>0</v>
      </c>
      <c r="L62" s="15" t="s">
        <v>477</v>
      </c>
      <c r="M62" s="15">
        <v>293</v>
      </c>
      <c r="N62" s="15">
        <v>569</v>
      </c>
      <c r="O62" s="15">
        <v>629300</v>
      </c>
      <c r="P62" s="15">
        <v>156900</v>
      </c>
      <c r="Q62" s="15"/>
    </row>
    <row r="63" spans="1:17" ht="22.5" x14ac:dyDescent="0.25">
      <c r="A63" s="11" t="s">
        <v>3138</v>
      </c>
      <c r="B63" s="13" t="s">
        <v>283</v>
      </c>
      <c r="C63" s="10" t="s">
        <v>3226</v>
      </c>
      <c r="D63" s="13" t="s">
        <v>1207</v>
      </c>
      <c r="E63" s="14" t="s">
        <v>1958</v>
      </c>
      <c r="F63" s="14" t="s">
        <v>11</v>
      </c>
      <c r="G63" s="13">
        <v>2</v>
      </c>
      <c r="H63" s="14">
        <f t="shared" si="2"/>
        <v>27</v>
      </c>
      <c r="I63" s="14">
        <v>25</v>
      </c>
      <c r="J63" s="14">
        <v>17</v>
      </c>
      <c r="K63" s="13" t="s">
        <v>3650</v>
      </c>
      <c r="L63" s="15" t="s">
        <v>108</v>
      </c>
      <c r="M63" s="15">
        <v>7520</v>
      </c>
      <c r="N63" s="15">
        <v>6240</v>
      </c>
      <c r="O63" s="15">
        <v>575200</v>
      </c>
      <c r="P63" s="15">
        <v>162400</v>
      </c>
      <c r="Q63" s="15"/>
    </row>
    <row r="64" spans="1:17" x14ac:dyDescent="0.25">
      <c r="A64" s="11" t="s">
        <v>3138</v>
      </c>
      <c r="B64" s="13" t="s">
        <v>283</v>
      </c>
      <c r="C64" s="10" t="s">
        <v>3507</v>
      </c>
      <c r="D64" s="13" t="s">
        <v>598</v>
      </c>
      <c r="E64" s="14" t="s">
        <v>2107</v>
      </c>
      <c r="F64" s="14" t="s">
        <v>11</v>
      </c>
      <c r="G64" s="13">
        <v>1</v>
      </c>
      <c r="H64" s="14">
        <f>G64+I64</f>
        <v>1</v>
      </c>
      <c r="J64" s="14">
        <v>1</v>
      </c>
      <c r="K64" s="13" t="s">
        <v>3506</v>
      </c>
      <c r="L64" s="15" t="s">
        <v>477</v>
      </c>
      <c r="M64" s="15">
        <v>2415</v>
      </c>
      <c r="N64" s="15">
        <v>5773</v>
      </c>
      <c r="O64" s="15">
        <v>624150</v>
      </c>
      <c r="P64" s="15">
        <v>157730</v>
      </c>
      <c r="Q64" s="15"/>
    </row>
    <row r="65" spans="1:17" x14ac:dyDescent="0.25">
      <c r="A65" s="11" t="s">
        <v>3138</v>
      </c>
      <c r="B65" s="13" t="s">
        <v>328</v>
      </c>
      <c r="C65" s="10" t="s">
        <v>418</v>
      </c>
      <c r="D65" s="13" t="s">
        <v>26</v>
      </c>
      <c r="E65" s="14" t="s">
        <v>419</v>
      </c>
      <c r="F65" s="14" t="s">
        <v>11</v>
      </c>
      <c r="G65" s="13"/>
      <c r="H65" s="14">
        <f t="shared" si="2"/>
        <v>1</v>
      </c>
      <c r="I65" s="14">
        <v>1</v>
      </c>
      <c r="J65" s="14">
        <v>1</v>
      </c>
      <c r="K65" s="13" t="s">
        <v>3408</v>
      </c>
      <c r="L65" s="15" t="s">
        <v>175</v>
      </c>
      <c r="M65" s="15">
        <v>4278</v>
      </c>
      <c r="N65" s="15">
        <v>7126</v>
      </c>
      <c r="O65" s="15">
        <v>542780</v>
      </c>
      <c r="P65" s="15">
        <v>371260</v>
      </c>
      <c r="Q65" s="15"/>
    </row>
    <row r="66" spans="1:17" ht="22.5" x14ac:dyDescent="0.25">
      <c r="A66" s="11" t="s">
        <v>3138</v>
      </c>
      <c r="B66" s="13" t="s">
        <v>328</v>
      </c>
      <c r="C66" s="10" t="s">
        <v>3415</v>
      </c>
      <c r="D66" s="13" t="s">
        <v>3416</v>
      </c>
      <c r="E66" s="14" t="s">
        <v>419</v>
      </c>
      <c r="F66" s="14" t="s">
        <v>11</v>
      </c>
      <c r="G66" s="13"/>
      <c r="H66" s="14">
        <f>G66+I66</f>
        <v>3</v>
      </c>
      <c r="I66" s="14">
        <v>3</v>
      </c>
      <c r="J66" s="14">
        <v>3</v>
      </c>
      <c r="K66" s="13" t="s">
        <v>3425</v>
      </c>
      <c r="L66" s="15" t="s">
        <v>175</v>
      </c>
      <c r="M66" s="15">
        <v>4278</v>
      </c>
      <c r="N66" s="15">
        <v>7126</v>
      </c>
      <c r="O66" s="15">
        <v>542780</v>
      </c>
      <c r="P66" s="15">
        <v>371260</v>
      </c>
      <c r="Q66" s="15"/>
    </row>
    <row r="67" spans="1:17" ht="22.5" x14ac:dyDescent="0.25">
      <c r="A67" s="11" t="s">
        <v>3138</v>
      </c>
      <c r="B67" s="13" t="s">
        <v>3201</v>
      </c>
      <c r="C67" s="10" t="s">
        <v>3402</v>
      </c>
      <c r="D67" s="13" t="s">
        <v>3400</v>
      </c>
      <c r="E67" s="14" t="s">
        <v>3403</v>
      </c>
      <c r="F67" s="14" t="s">
        <v>11</v>
      </c>
      <c r="G67" s="13"/>
      <c r="H67" s="14">
        <f t="shared" si="2"/>
        <v>1</v>
      </c>
      <c r="I67" s="14">
        <v>1</v>
      </c>
      <c r="J67" s="14">
        <v>1</v>
      </c>
      <c r="K67" s="13" t="s">
        <v>3398</v>
      </c>
      <c r="L67" s="15" t="s">
        <v>108</v>
      </c>
      <c r="M67" s="15">
        <v>3024</v>
      </c>
      <c r="N67" s="15">
        <v>7818</v>
      </c>
      <c r="O67" s="15">
        <v>530240</v>
      </c>
      <c r="P67" s="15">
        <v>178180</v>
      </c>
      <c r="Q67" s="15"/>
    </row>
    <row r="68" spans="1:17" ht="22.5" x14ac:dyDescent="0.25">
      <c r="A68" s="11" t="s">
        <v>3138</v>
      </c>
      <c r="B68" s="13" t="s">
        <v>3201</v>
      </c>
      <c r="C68" s="10" t="s">
        <v>3198</v>
      </c>
      <c r="D68" s="13" t="s">
        <v>3200</v>
      </c>
      <c r="E68" s="14" t="s">
        <v>3199</v>
      </c>
      <c r="F68" s="14" t="s">
        <v>11</v>
      </c>
      <c r="G68" s="13">
        <v>3</v>
      </c>
      <c r="H68" s="14">
        <f>G68+I68</f>
        <v>5</v>
      </c>
      <c r="I68" s="14">
        <v>2</v>
      </c>
      <c r="J68" s="14">
        <v>2</v>
      </c>
      <c r="K68" s="13" t="s">
        <v>3543</v>
      </c>
      <c r="L68" s="15" t="s">
        <v>108</v>
      </c>
      <c r="M68" s="15">
        <v>3844</v>
      </c>
      <c r="N68" s="15">
        <v>8040</v>
      </c>
      <c r="O68" s="15">
        <v>538440</v>
      </c>
      <c r="P68" s="15">
        <v>180400</v>
      </c>
      <c r="Q68" s="15"/>
    </row>
    <row r="69" spans="1:17" ht="22.5" x14ac:dyDescent="0.25">
      <c r="A69" s="11" t="s">
        <v>3138</v>
      </c>
      <c r="B69" s="13" t="s">
        <v>78</v>
      </c>
      <c r="C69" s="10" t="s">
        <v>77</v>
      </c>
      <c r="D69" s="13" t="s">
        <v>138</v>
      </c>
      <c r="E69" s="14" t="s">
        <v>141</v>
      </c>
      <c r="F69" s="14" t="s">
        <v>11</v>
      </c>
      <c r="G69" s="13"/>
      <c r="H69" s="14">
        <f t="shared" si="2"/>
        <v>3</v>
      </c>
      <c r="I69" s="14">
        <v>3</v>
      </c>
      <c r="J69" s="14">
        <v>1</v>
      </c>
      <c r="K69" s="13" t="s">
        <v>3502</v>
      </c>
      <c r="L69" s="15" t="s">
        <v>140</v>
      </c>
      <c r="M69" s="15">
        <v>343</v>
      </c>
      <c r="N69" s="15">
        <v>911</v>
      </c>
      <c r="O69" s="15">
        <v>634300</v>
      </c>
      <c r="P69" s="15">
        <v>291100</v>
      </c>
      <c r="Q69" s="15"/>
    </row>
    <row r="70" spans="1:17" x14ac:dyDescent="0.25">
      <c r="A70" s="11" t="s">
        <v>3138</v>
      </c>
      <c r="B70" s="13" t="s">
        <v>78</v>
      </c>
      <c r="C70" s="10" t="s">
        <v>565</v>
      </c>
      <c r="D70" s="13" t="s">
        <v>158</v>
      </c>
      <c r="E70" s="14" t="s">
        <v>566</v>
      </c>
      <c r="F70" s="14" t="s">
        <v>11</v>
      </c>
      <c r="G70" s="13"/>
      <c r="H70" s="14">
        <f t="shared" si="2"/>
        <v>1</v>
      </c>
      <c r="I70" s="14">
        <v>1</v>
      </c>
      <c r="J70" s="14">
        <v>1</v>
      </c>
      <c r="K70" s="13" t="s">
        <v>2886</v>
      </c>
      <c r="L70" s="15" t="s">
        <v>177</v>
      </c>
      <c r="M70" s="15">
        <v>81758</v>
      </c>
      <c r="N70" s="15">
        <v>89781</v>
      </c>
      <c r="O70" s="15">
        <v>581758</v>
      </c>
      <c r="P70" s="15">
        <v>289781</v>
      </c>
      <c r="Q70" s="15"/>
    </row>
    <row r="71" spans="1:17" ht="22.5" x14ac:dyDescent="0.25">
      <c r="A71" s="11" t="s">
        <v>3138</v>
      </c>
      <c r="B71" s="13" t="s">
        <v>78</v>
      </c>
      <c r="C71" s="10" t="s">
        <v>1987</v>
      </c>
      <c r="D71" s="13" t="s">
        <v>1988</v>
      </c>
      <c r="E71" s="14" t="s">
        <v>566</v>
      </c>
      <c r="F71" s="14" t="s">
        <v>11</v>
      </c>
      <c r="G71" s="13">
        <v>2</v>
      </c>
      <c r="H71" s="14">
        <f t="shared" si="2"/>
        <v>2</v>
      </c>
      <c r="J71" s="14">
        <v>2</v>
      </c>
      <c r="K71" s="13" t="s">
        <v>3548</v>
      </c>
      <c r="L71" s="15" t="s">
        <v>177</v>
      </c>
      <c r="M71" s="15">
        <v>8850</v>
      </c>
      <c r="N71" s="15">
        <v>8389</v>
      </c>
      <c r="O71" s="15">
        <v>588500</v>
      </c>
      <c r="P71" s="15">
        <v>283890</v>
      </c>
      <c r="Q71" s="15"/>
    </row>
    <row r="72" spans="1:17" ht="22.5" x14ac:dyDescent="0.25">
      <c r="A72" s="11" t="s">
        <v>3138</v>
      </c>
      <c r="B72" s="13" t="s">
        <v>78</v>
      </c>
      <c r="C72" s="10" t="s">
        <v>2085</v>
      </c>
      <c r="D72" s="13" t="s">
        <v>17</v>
      </c>
      <c r="E72" s="13" t="s">
        <v>2086</v>
      </c>
      <c r="F72" s="14" t="s">
        <v>11</v>
      </c>
      <c r="G72" s="13"/>
      <c r="H72" s="14">
        <f t="shared" si="2"/>
        <v>1</v>
      </c>
      <c r="I72" s="14">
        <v>1</v>
      </c>
      <c r="J72" s="14">
        <v>1</v>
      </c>
      <c r="K72" s="13" t="s">
        <v>3633</v>
      </c>
      <c r="L72" s="15" t="s">
        <v>175</v>
      </c>
      <c r="M72" s="15">
        <v>7112</v>
      </c>
      <c r="N72" s="15">
        <v>4526</v>
      </c>
      <c r="O72" s="15">
        <v>571120</v>
      </c>
      <c r="P72" s="15">
        <v>345260</v>
      </c>
      <c r="Q72" s="15"/>
    </row>
    <row r="73" spans="1:17" ht="22.5" x14ac:dyDescent="0.25">
      <c r="A73" s="11" t="s">
        <v>3138</v>
      </c>
      <c r="B73" s="13" t="s">
        <v>78</v>
      </c>
      <c r="C73" s="10" t="s">
        <v>1989</v>
      </c>
      <c r="D73" s="13" t="s">
        <v>1988</v>
      </c>
      <c r="E73" s="14" t="s">
        <v>566</v>
      </c>
      <c r="F73" s="14" t="s">
        <v>11</v>
      </c>
      <c r="G73" s="13">
        <v>2</v>
      </c>
      <c r="H73" s="14">
        <f>G73+I73</f>
        <v>2</v>
      </c>
      <c r="J73" s="14">
        <v>2</v>
      </c>
      <c r="K73" s="13" t="s">
        <v>3522</v>
      </c>
      <c r="L73" s="15" t="s">
        <v>175</v>
      </c>
      <c r="M73" s="15">
        <v>9818</v>
      </c>
      <c r="N73" s="15">
        <v>1965</v>
      </c>
      <c r="O73" s="15">
        <v>598180</v>
      </c>
      <c r="P73" s="15">
        <v>319650</v>
      </c>
      <c r="Q73" s="15"/>
    </row>
    <row r="74" spans="1:17" ht="22.5" x14ac:dyDescent="0.25">
      <c r="A74" s="11" t="s">
        <v>3138</v>
      </c>
      <c r="B74" s="13" t="s">
        <v>206</v>
      </c>
      <c r="C74" s="10" t="s">
        <v>3412</v>
      </c>
      <c r="D74" s="13" t="s">
        <v>138</v>
      </c>
      <c r="E74" s="13" t="s">
        <v>2453</v>
      </c>
      <c r="F74" s="14" t="s">
        <v>11</v>
      </c>
      <c r="G74" s="13"/>
      <c r="H74" s="14">
        <f>G74+I74</f>
        <v>1</v>
      </c>
      <c r="I74" s="14">
        <v>1</v>
      </c>
      <c r="J74" s="14">
        <v>1</v>
      </c>
      <c r="K74" s="13" t="s">
        <v>3411</v>
      </c>
      <c r="L74" s="15" t="s">
        <v>111</v>
      </c>
      <c r="M74" s="15">
        <v>9963</v>
      </c>
      <c r="N74" s="15">
        <v>8031</v>
      </c>
      <c r="O74" s="15">
        <v>499630</v>
      </c>
      <c r="P74" s="15">
        <v>280310</v>
      </c>
      <c r="Q74" s="15"/>
    </row>
    <row r="75" spans="1:17" ht="22.5" x14ac:dyDescent="0.25">
      <c r="A75" s="11" t="s">
        <v>3138</v>
      </c>
      <c r="B75" s="13" t="s">
        <v>206</v>
      </c>
      <c r="C75" s="10" t="s">
        <v>2005</v>
      </c>
      <c r="D75" s="13" t="s">
        <v>215</v>
      </c>
      <c r="E75" s="14" t="s">
        <v>2006</v>
      </c>
      <c r="F75" s="14" t="s">
        <v>11</v>
      </c>
      <c r="G75" s="13"/>
      <c r="H75" s="14">
        <f t="shared" si="2"/>
        <v>1</v>
      </c>
      <c r="I75" s="14">
        <v>1</v>
      </c>
      <c r="J75" s="14">
        <v>1</v>
      </c>
      <c r="K75" s="13" t="s">
        <v>3423</v>
      </c>
      <c r="L75" s="15" t="s">
        <v>111</v>
      </c>
      <c r="M75" s="15">
        <v>8738</v>
      </c>
      <c r="N75" s="15">
        <v>6188</v>
      </c>
      <c r="O75" s="15">
        <v>487380</v>
      </c>
      <c r="P75" s="15">
        <v>261880</v>
      </c>
      <c r="Q75" s="15"/>
    </row>
    <row r="76" spans="1:17" x14ac:dyDescent="0.25">
      <c r="A76" s="11" t="s">
        <v>3138</v>
      </c>
      <c r="B76" s="13" t="s">
        <v>206</v>
      </c>
      <c r="C76" s="10" t="s">
        <v>1936</v>
      </c>
      <c r="D76" s="13" t="s">
        <v>2254</v>
      </c>
      <c r="E76" s="14" t="s">
        <v>1936</v>
      </c>
      <c r="F76" s="14" t="s">
        <v>11</v>
      </c>
      <c r="G76" s="13">
        <v>1</v>
      </c>
      <c r="H76" s="14">
        <f>G76+I76</f>
        <v>6</v>
      </c>
      <c r="I76" s="14">
        <v>5</v>
      </c>
      <c r="J76" s="14">
        <v>5</v>
      </c>
      <c r="K76" s="13" t="s">
        <v>3632</v>
      </c>
      <c r="L76" s="15" t="s">
        <v>111</v>
      </c>
      <c r="M76" s="15">
        <v>983</v>
      </c>
      <c r="N76" s="15">
        <v>725</v>
      </c>
      <c r="O76" s="15">
        <v>498300</v>
      </c>
      <c r="P76" s="15">
        <v>272500</v>
      </c>
      <c r="Q76" s="15"/>
    </row>
    <row r="77" spans="1:17" x14ac:dyDescent="0.25">
      <c r="A77" s="11" t="s">
        <v>3138</v>
      </c>
      <c r="B77" s="13" t="s">
        <v>206</v>
      </c>
      <c r="C77" s="10" t="s">
        <v>3630</v>
      </c>
      <c r="D77" s="13" t="s">
        <v>2254</v>
      </c>
      <c r="E77" s="14" t="s">
        <v>1936</v>
      </c>
      <c r="F77" s="14" t="s">
        <v>11</v>
      </c>
      <c r="G77" s="13"/>
      <c r="H77" s="14">
        <f>G77+I77</f>
        <v>1</v>
      </c>
      <c r="I77" s="14">
        <v>1</v>
      </c>
      <c r="J77" s="14">
        <v>1</v>
      </c>
      <c r="K77" s="13" t="s">
        <v>3633</v>
      </c>
      <c r="L77" s="15" t="s">
        <v>111</v>
      </c>
      <c r="M77" s="15">
        <v>983</v>
      </c>
      <c r="N77" s="15">
        <v>725</v>
      </c>
      <c r="O77" s="15">
        <v>498300</v>
      </c>
      <c r="P77" s="15">
        <v>272500</v>
      </c>
      <c r="Q77" s="15"/>
    </row>
    <row r="78" spans="1:17" x14ac:dyDescent="0.25">
      <c r="A78" s="11" t="s">
        <v>3138</v>
      </c>
      <c r="B78" s="13" t="s">
        <v>206</v>
      </c>
      <c r="C78" s="10" t="s">
        <v>3631</v>
      </c>
      <c r="D78" s="13" t="s">
        <v>2254</v>
      </c>
      <c r="E78" s="14" t="s">
        <v>1936</v>
      </c>
      <c r="F78" s="14" t="s">
        <v>11</v>
      </c>
      <c r="G78" s="13"/>
      <c r="H78" s="14">
        <f>G78+I78</f>
        <v>1</v>
      </c>
      <c r="I78" s="14">
        <v>1</v>
      </c>
      <c r="J78" s="14">
        <v>1</v>
      </c>
      <c r="K78" s="13" t="s">
        <v>3633</v>
      </c>
      <c r="L78" s="15" t="s">
        <v>111</v>
      </c>
      <c r="M78" s="15">
        <v>983</v>
      </c>
      <c r="N78" s="15">
        <v>725</v>
      </c>
      <c r="O78" s="15">
        <v>498300</v>
      </c>
      <c r="P78" s="15">
        <v>272500</v>
      </c>
      <c r="Q78" s="15"/>
    </row>
    <row r="79" spans="1:17" ht="22.5" x14ac:dyDescent="0.25">
      <c r="A79" s="11" t="s">
        <v>3138</v>
      </c>
      <c r="B79" s="13" t="s">
        <v>206</v>
      </c>
      <c r="C79" s="10" t="s">
        <v>1937</v>
      </c>
      <c r="D79" s="13" t="s">
        <v>3405</v>
      </c>
      <c r="E79" s="14" t="s">
        <v>1936</v>
      </c>
      <c r="F79" s="14" t="s">
        <v>11</v>
      </c>
      <c r="G79" s="13"/>
      <c r="H79" s="14">
        <f>G79+I79</f>
        <v>9</v>
      </c>
      <c r="I79" s="14">
        <v>9</v>
      </c>
      <c r="J79" s="14">
        <v>5</v>
      </c>
      <c r="K79" s="13" t="s">
        <v>3409</v>
      </c>
      <c r="L79" s="15" t="s">
        <v>111</v>
      </c>
      <c r="M79" s="15">
        <v>9757</v>
      </c>
      <c r="N79" s="15">
        <v>7248</v>
      </c>
      <c r="O79" s="15">
        <v>497570</v>
      </c>
      <c r="P79" s="15">
        <v>272480</v>
      </c>
      <c r="Q79" s="15"/>
    </row>
    <row r="80" spans="1:17" x14ac:dyDescent="0.25">
      <c r="A80" s="11" t="s">
        <v>3138</v>
      </c>
      <c r="B80" s="13" t="s">
        <v>46</v>
      </c>
      <c r="C80" s="10" t="s">
        <v>45</v>
      </c>
      <c r="D80" s="13" t="s">
        <v>1278</v>
      </c>
      <c r="E80" s="14" t="s">
        <v>45</v>
      </c>
      <c r="F80" s="14" t="s">
        <v>11</v>
      </c>
      <c r="G80" s="13">
        <v>2</v>
      </c>
      <c r="H80" s="14">
        <f t="shared" si="2"/>
        <v>2</v>
      </c>
      <c r="J80" s="14">
        <v>2</v>
      </c>
      <c r="K80" s="13" t="s">
        <v>3550</v>
      </c>
      <c r="L80" s="15" t="s">
        <v>398</v>
      </c>
      <c r="M80" s="15">
        <v>992</v>
      </c>
      <c r="N80" s="15">
        <v>278</v>
      </c>
      <c r="O80" s="15">
        <v>399200</v>
      </c>
      <c r="P80" s="15">
        <v>627800</v>
      </c>
      <c r="Q80" s="15"/>
    </row>
    <row r="81" spans="1:17" ht="22.5" x14ac:dyDescent="0.25">
      <c r="A81" s="11" t="s">
        <v>3138</v>
      </c>
      <c r="B81" s="13" t="s">
        <v>46</v>
      </c>
      <c r="C81" s="10" t="s">
        <v>1420</v>
      </c>
      <c r="D81" s="13" t="s">
        <v>3540</v>
      </c>
      <c r="E81" s="14" t="s">
        <v>1421</v>
      </c>
      <c r="F81" s="14" t="s">
        <v>11</v>
      </c>
      <c r="G81" s="13">
        <v>1</v>
      </c>
      <c r="H81" s="14">
        <f t="shared" si="2"/>
        <v>1</v>
      </c>
      <c r="J81" s="14">
        <v>1</v>
      </c>
      <c r="K81" s="13" t="s">
        <v>3517</v>
      </c>
      <c r="L81" s="15" t="s">
        <v>398</v>
      </c>
      <c r="M81" s="15">
        <v>945</v>
      </c>
      <c r="N81" s="15">
        <v>375</v>
      </c>
      <c r="O81" s="15">
        <v>394500</v>
      </c>
      <c r="P81" s="15">
        <v>637500</v>
      </c>
      <c r="Q81" s="15"/>
    </row>
    <row r="82" spans="1:17" ht="22.5" x14ac:dyDescent="0.25">
      <c r="A82" s="11" t="s">
        <v>3138</v>
      </c>
      <c r="B82" s="13" t="s">
        <v>46</v>
      </c>
      <c r="C82" s="10" t="s">
        <v>3237</v>
      </c>
      <c r="D82" s="13" t="s">
        <v>3238</v>
      </c>
      <c r="E82" s="14" t="s">
        <v>3239</v>
      </c>
      <c r="F82" s="14" t="s">
        <v>11</v>
      </c>
      <c r="G82" s="13"/>
      <c r="H82" s="14">
        <f>G82+I82</f>
        <v>1</v>
      </c>
      <c r="I82" s="14">
        <v>1</v>
      </c>
      <c r="J82" s="14">
        <v>1</v>
      </c>
      <c r="K82" s="13" t="s">
        <v>3240</v>
      </c>
      <c r="L82" s="15" t="s">
        <v>627</v>
      </c>
      <c r="M82" s="15">
        <v>258</v>
      </c>
      <c r="N82" s="15">
        <v>178</v>
      </c>
      <c r="O82" s="15">
        <v>425800</v>
      </c>
      <c r="P82" s="15">
        <v>617800</v>
      </c>
      <c r="Q82" s="15"/>
    </row>
    <row r="83" spans="1:17" ht="22.5" x14ac:dyDescent="0.25">
      <c r="A83" s="11" t="s">
        <v>3138</v>
      </c>
      <c r="B83" s="13" t="s">
        <v>46</v>
      </c>
      <c r="C83" s="10" t="s">
        <v>3512</v>
      </c>
      <c r="D83" s="13" t="s">
        <v>3513</v>
      </c>
      <c r="E83" s="14" t="s">
        <v>3514</v>
      </c>
      <c r="F83" s="14" t="s">
        <v>11</v>
      </c>
      <c r="G83" s="13">
        <v>1</v>
      </c>
      <c r="H83" s="14">
        <f>G83+I83</f>
        <v>1</v>
      </c>
      <c r="J83" s="14">
        <v>1</v>
      </c>
      <c r="K83" s="13" t="s">
        <v>3511</v>
      </c>
      <c r="L83" s="15" t="s">
        <v>398</v>
      </c>
      <c r="M83" s="15">
        <v>9242</v>
      </c>
      <c r="N83" s="15">
        <v>3195</v>
      </c>
      <c r="O83" s="15">
        <v>392420</v>
      </c>
      <c r="P83" s="15">
        <v>631950</v>
      </c>
      <c r="Q83" s="15"/>
    </row>
    <row r="84" spans="1:17" x14ac:dyDescent="0.25">
      <c r="A84" s="11" t="s">
        <v>3138</v>
      </c>
      <c r="B84" s="13" t="s">
        <v>46</v>
      </c>
      <c r="C84" s="10" t="s">
        <v>2424</v>
      </c>
      <c r="D84" s="13" t="s">
        <v>1940</v>
      </c>
      <c r="E84" s="14" t="s">
        <v>45</v>
      </c>
      <c r="F84" s="14" t="s">
        <v>11</v>
      </c>
      <c r="G84" s="13"/>
      <c r="H84" s="14">
        <f t="shared" si="2"/>
        <v>1</v>
      </c>
      <c r="I84" s="14">
        <v>1</v>
      </c>
      <c r="J84" s="14">
        <v>1</v>
      </c>
      <c r="K84" s="13" t="s">
        <v>1764</v>
      </c>
      <c r="L84" s="15" t="s">
        <v>398</v>
      </c>
      <c r="M84" s="15">
        <v>9338</v>
      </c>
      <c r="N84" s="15">
        <v>3490</v>
      </c>
      <c r="O84" s="15">
        <v>393380</v>
      </c>
      <c r="P84" s="15">
        <v>634900</v>
      </c>
      <c r="Q84" s="15"/>
    </row>
    <row r="85" spans="1:17" ht="22.5" x14ac:dyDescent="0.25">
      <c r="A85" s="11" t="s">
        <v>3138</v>
      </c>
      <c r="B85" s="13" t="s">
        <v>46</v>
      </c>
      <c r="C85" s="10" t="s">
        <v>83</v>
      </c>
      <c r="D85" s="13" t="s">
        <v>453</v>
      </c>
      <c r="E85" s="14" t="s">
        <v>45</v>
      </c>
      <c r="F85" s="14" t="s">
        <v>11</v>
      </c>
      <c r="G85" s="13">
        <v>1</v>
      </c>
      <c r="H85" s="14">
        <f t="shared" si="2"/>
        <v>1</v>
      </c>
      <c r="J85" s="14">
        <v>1</v>
      </c>
      <c r="K85" s="13" t="s">
        <v>3506</v>
      </c>
      <c r="L85" s="15" t="s">
        <v>398</v>
      </c>
      <c r="M85" s="15">
        <v>959</v>
      </c>
      <c r="N85" s="15">
        <v>324</v>
      </c>
      <c r="O85" s="15">
        <v>395900</v>
      </c>
      <c r="P85" s="15">
        <v>632400</v>
      </c>
      <c r="Q85" s="15"/>
    </row>
    <row r="86" spans="1:17" ht="33.75" x14ac:dyDescent="0.25">
      <c r="A86" s="11" t="s">
        <v>3138</v>
      </c>
      <c r="B86" s="13" t="s">
        <v>46</v>
      </c>
      <c r="C86" s="10" t="s">
        <v>2440</v>
      </c>
      <c r="D86" s="13" t="s">
        <v>3538</v>
      </c>
      <c r="E86" s="14" t="s">
        <v>45</v>
      </c>
      <c r="F86" s="14" t="s">
        <v>11</v>
      </c>
      <c r="G86" s="13">
        <v>1</v>
      </c>
      <c r="H86" s="14">
        <f t="shared" si="2"/>
        <v>1</v>
      </c>
      <c r="J86" s="14">
        <v>1</v>
      </c>
      <c r="K86" s="13" t="s">
        <v>3517</v>
      </c>
      <c r="L86" s="15" t="s">
        <v>398</v>
      </c>
      <c r="M86" s="15">
        <v>9280</v>
      </c>
      <c r="N86" s="15">
        <v>2931</v>
      </c>
      <c r="O86" s="15">
        <v>392800</v>
      </c>
      <c r="P86" s="15">
        <v>629310</v>
      </c>
      <c r="Q86" s="15"/>
    </row>
    <row r="87" spans="1:17" ht="22.5" x14ac:dyDescent="0.25">
      <c r="A87" s="11" t="s">
        <v>3138</v>
      </c>
      <c r="B87" s="13" t="s">
        <v>62</v>
      </c>
      <c r="C87" s="10" t="s">
        <v>61</v>
      </c>
      <c r="D87" s="13" t="s">
        <v>26</v>
      </c>
      <c r="E87" s="13" t="s">
        <v>101</v>
      </c>
      <c r="F87" s="14" t="s">
        <v>11</v>
      </c>
      <c r="G87" s="13">
        <v>20</v>
      </c>
      <c r="H87" s="14">
        <f t="shared" si="2"/>
        <v>45</v>
      </c>
      <c r="I87" s="14">
        <v>25</v>
      </c>
      <c r="J87" s="14">
        <v>28</v>
      </c>
      <c r="K87" s="13" t="s">
        <v>3682</v>
      </c>
      <c r="L87" s="15" t="s">
        <v>111</v>
      </c>
      <c r="M87" s="15">
        <v>3001</v>
      </c>
      <c r="N87" s="15">
        <v>1755</v>
      </c>
      <c r="O87" s="15">
        <v>430010</v>
      </c>
      <c r="P87" s="15">
        <v>217550</v>
      </c>
      <c r="Q87" s="15"/>
    </row>
    <row r="88" spans="1:17" ht="22.5" x14ac:dyDescent="0.25">
      <c r="A88" s="11" t="s">
        <v>3138</v>
      </c>
      <c r="B88" s="13" t="s">
        <v>62</v>
      </c>
      <c r="C88" s="10" t="s">
        <v>91</v>
      </c>
      <c r="D88" s="13" t="s">
        <v>92</v>
      </c>
      <c r="E88" s="13" t="s">
        <v>102</v>
      </c>
      <c r="F88" s="14" t="s">
        <v>11</v>
      </c>
      <c r="G88" s="13">
        <v>1</v>
      </c>
      <c r="H88" s="14">
        <f t="shared" si="2"/>
        <v>1</v>
      </c>
      <c r="J88" s="14">
        <v>1</v>
      </c>
      <c r="K88" s="13" t="s">
        <v>1241</v>
      </c>
      <c r="L88" s="15" t="s">
        <v>110</v>
      </c>
      <c r="M88" s="15">
        <v>5109</v>
      </c>
      <c r="N88" s="15">
        <v>9828</v>
      </c>
      <c r="O88" s="15">
        <v>451090</v>
      </c>
      <c r="P88" s="15">
        <v>198280</v>
      </c>
      <c r="Q88" s="15"/>
    </row>
    <row r="89" spans="1:17" ht="25.5" x14ac:dyDescent="0.25">
      <c r="A89" s="11" t="s">
        <v>3138</v>
      </c>
      <c r="B89" s="13" t="s">
        <v>62</v>
      </c>
      <c r="C89" s="17" t="s">
        <v>2830</v>
      </c>
      <c r="D89" s="13" t="s">
        <v>865</v>
      </c>
      <c r="E89" s="13" t="s">
        <v>386</v>
      </c>
      <c r="F89" s="14" t="s">
        <v>11</v>
      </c>
      <c r="G89" s="13">
        <v>1</v>
      </c>
      <c r="H89" s="14">
        <f t="shared" ref="H89:H159" si="3">G89+I89</f>
        <v>1</v>
      </c>
      <c r="J89" s="14">
        <v>1</v>
      </c>
      <c r="K89" s="13" t="s">
        <v>3622</v>
      </c>
      <c r="L89" s="15" t="s">
        <v>110</v>
      </c>
      <c r="M89" s="15">
        <v>5738</v>
      </c>
      <c r="N89" s="15">
        <v>9546</v>
      </c>
      <c r="O89" s="15">
        <v>457380</v>
      </c>
      <c r="P89" s="15">
        <v>195460</v>
      </c>
      <c r="Q89" s="15"/>
    </row>
    <row r="90" spans="1:17" ht="22.5" x14ac:dyDescent="0.25">
      <c r="A90" s="11" t="s">
        <v>3138</v>
      </c>
      <c r="B90" s="13" t="s">
        <v>62</v>
      </c>
      <c r="C90" s="10" t="s">
        <v>3410</v>
      </c>
      <c r="D90" s="13" t="s">
        <v>138</v>
      </c>
      <c r="E90" s="13" t="s">
        <v>101</v>
      </c>
      <c r="F90" s="14" t="s">
        <v>11</v>
      </c>
      <c r="G90" s="13"/>
      <c r="H90" s="14">
        <f>G90+I90</f>
        <v>1</v>
      </c>
      <c r="I90" s="14">
        <v>1</v>
      </c>
      <c r="J90" s="14">
        <v>1</v>
      </c>
      <c r="K90" s="13" t="s">
        <v>3411</v>
      </c>
      <c r="L90" s="15" t="s">
        <v>111</v>
      </c>
      <c r="M90" s="15">
        <v>432</v>
      </c>
      <c r="N90" s="15">
        <v>108</v>
      </c>
      <c r="O90" s="15">
        <v>443200</v>
      </c>
      <c r="P90" s="15">
        <v>210800</v>
      </c>
      <c r="Q90" s="15"/>
    </row>
    <row r="91" spans="1:17" ht="22.5" x14ac:dyDescent="0.25">
      <c r="A91" s="11" t="s">
        <v>3138</v>
      </c>
      <c r="B91" s="13" t="s">
        <v>62</v>
      </c>
      <c r="C91" s="10" t="s">
        <v>3413</v>
      </c>
      <c r="D91" s="13" t="s">
        <v>3414</v>
      </c>
      <c r="E91" s="13" t="s">
        <v>102</v>
      </c>
      <c r="F91" s="14" t="s">
        <v>11</v>
      </c>
      <c r="G91" s="13"/>
      <c r="H91" s="14">
        <f>G91+I91</f>
        <v>4</v>
      </c>
      <c r="I91" s="14">
        <v>4</v>
      </c>
      <c r="J91" s="14">
        <v>4</v>
      </c>
      <c r="K91" s="13" t="s">
        <v>3427</v>
      </c>
      <c r="L91" s="15" t="s">
        <v>110</v>
      </c>
      <c r="M91" s="15">
        <v>28090</v>
      </c>
      <c r="N91" s="15">
        <v>85396</v>
      </c>
      <c r="O91" s="15">
        <v>428090</v>
      </c>
      <c r="P91" s="15">
        <v>185396</v>
      </c>
      <c r="Q91" s="15"/>
    </row>
    <row r="92" spans="1:17" ht="22.5" x14ac:dyDescent="0.25">
      <c r="A92" s="11" t="s">
        <v>3138</v>
      </c>
      <c r="B92" s="13" t="s">
        <v>62</v>
      </c>
      <c r="C92" s="10" t="s">
        <v>233</v>
      </c>
      <c r="D92" s="13" t="s">
        <v>26</v>
      </c>
      <c r="E92" s="13" t="s">
        <v>102</v>
      </c>
      <c r="F92" s="14" t="s">
        <v>11</v>
      </c>
      <c r="G92" s="13"/>
      <c r="H92" s="14">
        <f t="shared" si="3"/>
        <v>3</v>
      </c>
      <c r="I92" s="14">
        <v>3</v>
      </c>
      <c r="J92" s="14">
        <v>2</v>
      </c>
      <c r="K92" s="13" t="s">
        <v>3465</v>
      </c>
      <c r="L92" s="15" t="s">
        <v>110</v>
      </c>
      <c r="M92" s="15">
        <v>28090</v>
      </c>
      <c r="N92" s="15">
        <v>85396</v>
      </c>
      <c r="O92" s="15">
        <v>428090</v>
      </c>
      <c r="P92" s="15">
        <v>185396</v>
      </c>
      <c r="Q92" s="15"/>
    </row>
    <row r="93" spans="1:17" ht="24" customHeight="1" x14ac:dyDescent="0.25">
      <c r="A93" s="11" t="s">
        <v>3138</v>
      </c>
      <c r="B93" s="13" t="s">
        <v>82</v>
      </c>
      <c r="C93" s="10" t="s">
        <v>1952</v>
      </c>
      <c r="D93" s="13" t="s">
        <v>1207</v>
      </c>
      <c r="E93" s="13" t="s">
        <v>1952</v>
      </c>
      <c r="F93" s="14" t="s">
        <v>11</v>
      </c>
      <c r="G93" s="13"/>
      <c r="H93" s="14">
        <f>G93+I93</f>
        <v>18</v>
      </c>
      <c r="I93" s="14">
        <v>18</v>
      </c>
      <c r="J93" s="14">
        <v>12</v>
      </c>
      <c r="K93" s="13" t="s">
        <v>3649</v>
      </c>
      <c r="L93" s="15" t="s">
        <v>111</v>
      </c>
      <c r="M93" s="15">
        <v>4818</v>
      </c>
      <c r="N93" s="15">
        <v>1211</v>
      </c>
      <c r="O93" s="15">
        <v>448180</v>
      </c>
      <c r="P93" s="15">
        <v>212110</v>
      </c>
      <c r="Q93" s="15"/>
    </row>
    <row r="94" spans="1:17" x14ac:dyDescent="0.25">
      <c r="A94" s="11" t="s">
        <v>3138</v>
      </c>
      <c r="B94" s="13" t="s">
        <v>22</v>
      </c>
      <c r="C94" s="10" t="s">
        <v>3327</v>
      </c>
      <c r="D94" s="13" t="s">
        <v>1278</v>
      </c>
      <c r="E94" s="14" t="s">
        <v>512</v>
      </c>
      <c r="F94" s="14" t="s">
        <v>11</v>
      </c>
      <c r="G94" s="13">
        <v>3</v>
      </c>
      <c r="H94" s="14">
        <f>G94+I94</f>
        <v>3</v>
      </c>
      <c r="J94" s="14">
        <v>3</v>
      </c>
      <c r="K94" s="13" t="s">
        <v>3365</v>
      </c>
      <c r="L94" s="1" t="s">
        <v>119</v>
      </c>
      <c r="M94" s="1">
        <v>501</v>
      </c>
      <c r="N94" s="1">
        <v>390</v>
      </c>
      <c r="O94" s="1">
        <v>350100</v>
      </c>
      <c r="P94" s="1">
        <v>139000</v>
      </c>
      <c r="Q94" s="15"/>
    </row>
    <row r="95" spans="1:17" ht="33.75" x14ac:dyDescent="0.25">
      <c r="A95" s="11" t="s">
        <v>3138</v>
      </c>
      <c r="B95" s="13" t="s">
        <v>22</v>
      </c>
      <c r="C95" s="10" t="s">
        <v>3275</v>
      </c>
      <c r="D95" s="13" t="s">
        <v>148</v>
      </c>
      <c r="E95" s="14" t="s">
        <v>149</v>
      </c>
      <c r="F95" s="14" t="s">
        <v>11</v>
      </c>
      <c r="G95" s="13"/>
      <c r="H95" s="14">
        <f>G95+I95</f>
        <v>3</v>
      </c>
      <c r="I95" s="14">
        <v>3</v>
      </c>
      <c r="J95" s="14">
        <v>2</v>
      </c>
      <c r="K95" s="13" t="s">
        <v>3279</v>
      </c>
      <c r="L95" s="15" t="s">
        <v>119</v>
      </c>
      <c r="M95" s="15">
        <v>423</v>
      </c>
      <c r="N95" s="15">
        <v>403</v>
      </c>
      <c r="O95" s="15">
        <v>342300</v>
      </c>
      <c r="P95" s="15">
        <v>140300</v>
      </c>
      <c r="Q95" s="15"/>
    </row>
    <row r="96" spans="1:17" x14ac:dyDescent="0.25">
      <c r="A96" s="11" t="s">
        <v>3138</v>
      </c>
      <c r="B96" s="13" t="s">
        <v>22</v>
      </c>
      <c r="C96" s="10" t="s">
        <v>149</v>
      </c>
      <c r="D96" s="13" t="s">
        <v>1278</v>
      </c>
      <c r="E96" s="14" t="s">
        <v>149</v>
      </c>
      <c r="F96" s="14" t="s">
        <v>11</v>
      </c>
      <c r="G96" s="13"/>
      <c r="H96" s="14">
        <f>G96+I96</f>
        <v>1</v>
      </c>
      <c r="I96" s="14">
        <v>1</v>
      </c>
      <c r="J96" s="14">
        <v>1</v>
      </c>
      <c r="K96" s="13" t="s">
        <v>3205</v>
      </c>
      <c r="L96" s="1" t="s">
        <v>119</v>
      </c>
      <c r="M96" s="1">
        <v>35170</v>
      </c>
      <c r="N96" s="1">
        <v>29909</v>
      </c>
      <c r="O96" s="1">
        <v>335170</v>
      </c>
      <c r="P96" s="1">
        <v>129909</v>
      </c>
      <c r="Q96" s="15"/>
    </row>
    <row r="97" spans="1:17" ht="33.75" x14ac:dyDescent="0.25">
      <c r="A97" s="11" t="s">
        <v>3138</v>
      </c>
      <c r="B97" s="13" t="s">
        <v>22</v>
      </c>
      <c r="C97" s="10" t="s">
        <v>147</v>
      </c>
      <c r="D97" s="13" t="s">
        <v>148</v>
      </c>
      <c r="E97" s="14" t="s">
        <v>149</v>
      </c>
      <c r="F97" s="14" t="s">
        <v>11</v>
      </c>
      <c r="G97" s="13">
        <v>17</v>
      </c>
      <c r="H97" s="14">
        <f t="shared" si="3"/>
        <v>36</v>
      </c>
      <c r="I97" s="14">
        <v>19</v>
      </c>
      <c r="J97" s="14">
        <v>14</v>
      </c>
      <c r="K97" s="13" t="s">
        <v>3691</v>
      </c>
      <c r="L97" s="15" t="s">
        <v>119</v>
      </c>
      <c r="M97" s="15">
        <v>423</v>
      </c>
      <c r="N97" s="15">
        <v>403</v>
      </c>
      <c r="O97" s="15">
        <v>342300</v>
      </c>
      <c r="P97" s="15">
        <v>140300</v>
      </c>
      <c r="Q97" s="15"/>
    </row>
    <row r="98" spans="1:17" x14ac:dyDescent="0.25">
      <c r="A98" s="11" t="s">
        <v>3138</v>
      </c>
      <c r="B98" s="13" t="s">
        <v>22</v>
      </c>
      <c r="C98" s="10" t="s">
        <v>147</v>
      </c>
      <c r="D98" s="13" t="s">
        <v>648</v>
      </c>
      <c r="E98" s="14" t="s">
        <v>3282</v>
      </c>
      <c r="F98" s="14" t="s">
        <v>11</v>
      </c>
      <c r="G98" s="13"/>
      <c r="H98" s="14">
        <f t="shared" si="3"/>
        <v>1</v>
      </c>
      <c r="I98" s="14">
        <v>1</v>
      </c>
      <c r="J98" s="14">
        <v>1</v>
      </c>
      <c r="K98" s="13" t="s">
        <v>3281</v>
      </c>
      <c r="L98" s="15" t="s">
        <v>119</v>
      </c>
      <c r="M98" s="15">
        <v>423</v>
      </c>
      <c r="N98" s="15">
        <v>403</v>
      </c>
      <c r="O98" s="15">
        <v>342300</v>
      </c>
      <c r="P98" s="15">
        <v>140300</v>
      </c>
      <c r="Q98" s="15"/>
    </row>
    <row r="99" spans="1:17" x14ac:dyDescent="0.25">
      <c r="A99" s="11" t="s">
        <v>3138</v>
      </c>
      <c r="B99" s="13" t="s">
        <v>22</v>
      </c>
      <c r="C99" s="10" t="s">
        <v>147</v>
      </c>
      <c r="D99" s="13" t="s">
        <v>648</v>
      </c>
      <c r="E99" s="14" t="s">
        <v>3280</v>
      </c>
      <c r="F99" s="14" t="s">
        <v>11</v>
      </c>
      <c r="G99" s="13">
        <v>1</v>
      </c>
      <c r="H99" s="14">
        <f>G99+I99</f>
        <v>3</v>
      </c>
      <c r="I99" s="14">
        <v>2</v>
      </c>
      <c r="J99" s="14">
        <v>2</v>
      </c>
      <c r="K99" s="13" t="s">
        <v>3285</v>
      </c>
      <c r="L99" s="15" t="s">
        <v>119</v>
      </c>
      <c r="M99" s="15">
        <v>423</v>
      </c>
      <c r="N99" s="15">
        <v>403</v>
      </c>
      <c r="O99" s="15">
        <v>342300</v>
      </c>
      <c r="P99" s="15">
        <v>140300</v>
      </c>
      <c r="Q99" s="15"/>
    </row>
    <row r="100" spans="1:17" x14ac:dyDescent="0.25">
      <c r="A100" s="11" t="s">
        <v>3138</v>
      </c>
      <c r="B100" s="13" t="s">
        <v>22</v>
      </c>
      <c r="C100" s="10" t="s">
        <v>147</v>
      </c>
      <c r="D100" s="13" t="s">
        <v>648</v>
      </c>
      <c r="E100" s="14" t="s">
        <v>3283</v>
      </c>
      <c r="F100" s="14" t="s">
        <v>11</v>
      </c>
      <c r="G100" s="13"/>
      <c r="H100" s="14">
        <f>G100+I100</f>
        <v>1</v>
      </c>
      <c r="I100" s="14">
        <v>1</v>
      </c>
      <c r="J100" s="14">
        <v>1</v>
      </c>
      <c r="K100" s="13" t="s">
        <v>3281</v>
      </c>
      <c r="L100" s="15" t="s">
        <v>119</v>
      </c>
      <c r="M100" s="15">
        <v>423</v>
      </c>
      <c r="N100" s="15">
        <v>403</v>
      </c>
      <c r="O100" s="15">
        <v>342300</v>
      </c>
      <c r="P100" s="15">
        <v>140300</v>
      </c>
      <c r="Q100" s="15"/>
    </row>
    <row r="101" spans="1:17" x14ac:dyDescent="0.25">
      <c r="A101" s="11" t="s">
        <v>3138</v>
      </c>
      <c r="B101" s="13" t="s">
        <v>22</v>
      </c>
      <c r="C101" s="10" t="s">
        <v>147</v>
      </c>
      <c r="D101" s="13" t="s">
        <v>648</v>
      </c>
      <c r="E101" s="14" t="s">
        <v>3284</v>
      </c>
      <c r="F101" s="14" t="s">
        <v>11</v>
      </c>
      <c r="G101" s="13">
        <v>1</v>
      </c>
      <c r="H101" s="14">
        <f t="shared" si="3"/>
        <v>2</v>
      </c>
      <c r="I101" s="14">
        <v>1</v>
      </c>
      <c r="J101" s="14">
        <v>2</v>
      </c>
      <c r="K101" s="13" t="s">
        <v>3285</v>
      </c>
      <c r="L101" s="15" t="s">
        <v>119</v>
      </c>
      <c r="M101" s="15">
        <v>423</v>
      </c>
      <c r="N101" s="15">
        <v>403</v>
      </c>
      <c r="O101" s="15">
        <v>342300</v>
      </c>
      <c r="P101" s="15">
        <v>140300</v>
      </c>
      <c r="Q101" s="15"/>
    </row>
    <row r="102" spans="1:17" x14ac:dyDescent="0.25">
      <c r="A102" s="11" t="s">
        <v>3138</v>
      </c>
      <c r="B102" s="13" t="s">
        <v>22</v>
      </c>
      <c r="C102" s="10" t="s">
        <v>147</v>
      </c>
      <c r="D102" s="13" t="s">
        <v>648</v>
      </c>
      <c r="E102" s="14" t="s">
        <v>3277</v>
      </c>
      <c r="F102" s="14" t="s">
        <v>11</v>
      </c>
      <c r="G102" s="13"/>
      <c r="H102" s="14">
        <f>G102+I102</f>
        <v>2</v>
      </c>
      <c r="I102" s="14">
        <v>2</v>
      </c>
      <c r="J102" s="14">
        <v>1</v>
      </c>
      <c r="K102" s="13" t="s">
        <v>3278</v>
      </c>
      <c r="L102" s="15" t="s">
        <v>119</v>
      </c>
      <c r="M102" s="15">
        <v>423</v>
      </c>
      <c r="N102" s="15">
        <v>403</v>
      </c>
      <c r="O102" s="15">
        <v>342300</v>
      </c>
      <c r="P102" s="15">
        <v>140300</v>
      </c>
      <c r="Q102" s="15"/>
    </row>
    <row r="103" spans="1:17" ht="33.75" x14ac:dyDescent="0.25">
      <c r="A103" s="11" t="s">
        <v>3138</v>
      </c>
      <c r="B103" s="13" t="s">
        <v>609</v>
      </c>
      <c r="C103" s="10" t="s">
        <v>3158</v>
      </c>
      <c r="D103" s="13" t="s">
        <v>3159</v>
      </c>
      <c r="E103" s="14" t="s">
        <v>1377</v>
      </c>
      <c r="F103" s="14" t="s">
        <v>11</v>
      </c>
      <c r="G103" s="13">
        <v>3</v>
      </c>
      <c r="H103" s="14">
        <f t="shared" si="3"/>
        <v>3</v>
      </c>
      <c r="J103" s="14">
        <v>3</v>
      </c>
      <c r="K103" s="13" t="s">
        <v>3429</v>
      </c>
      <c r="L103" s="15" t="s">
        <v>111</v>
      </c>
      <c r="M103" s="15">
        <v>8222</v>
      </c>
      <c r="N103" s="15">
        <v>398</v>
      </c>
      <c r="O103" s="15">
        <v>482220</v>
      </c>
      <c r="P103" s="15">
        <v>203980</v>
      </c>
      <c r="Q103" s="15"/>
    </row>
    <row r="104" spans="1:17" ht="33.75" x14ac:dyDescent="0.25">
      <c r="A104" s="11" t="s">
        <v>3138</v>
      </c>
      <c r="B104" s="13" t="s">
        <v>609</v>
      </c>
      <c r="C104" s="10" t="s">
        <v>1377</v>
      </c>
      <c r="D104" s="13" t="s">
        <v>3159</v>
      </c>
      <c r="E104" s="14" t="s">
        <v>1377</v>
      </c>
      <c r="F104" s="14" t="s">
        <v>11</v>
      </c>
      <c r="G104" s="13">
        <v>4</v>
      </c>
      <c r="H104" s="14">
        <f>G104+I104</f>
        <v>4</v>
      </c>
      <c r="J104" s="14">
        <v>3</v>
      </c>
      <c r="K104" s="13" t="s">
        <v>3523</v>
      </c>
      <c r="L104" s="15" t="s">
        <v>111</v>
      </c>
      <c r="M104" s="15">
        <v>8222</v>
      </c>
      <c r="N104" s="15">
        <v>398</v>
      </c>
      <c r="O104" s="15">
        <v>482220</v>
      </c>
      <c r="P104" s="15">
        <v>203980</v>
      </c>
      <c r="Q104" s="15"/>
    </row>
    <row r="105" spans="1:17" ht="22.5" x14ac:dyDescent="0.25">
      <c r="A105" s="11" t="s">
        <v>3138</v>
      </c>
      <c r="B105" s="13" t="s">
        <v>699</v>
      </c>
      <c r="C105" s="10" t="s">
        <v>3545</v>
      </c>
      <c r="D105" s="13" t="s">
        <v>1932</v>
      </c>
      <c r="E105" s="14" t="s">
        <v>3547</v>
      </c>
      <c r="F105" s="14" t="s">
        <v>11</v>
      </c>
      <c r="G105" s="13">
        <v>1</v>
      </c>
      <c r="H105" s="14">
        <f>G105+I105</f>
        <v>2</v>
      </c>
      <c r="I105" s="14">
        <v>1</v>
      </c>
      <c r="J105" s="14">
        <v>2</v>
      </c>
      <c r="K105" s="13" t="s">
        <v>3546</v>
      </c>
      <c r="L105" s="15" t="s">
        <v>108</v>
      </c>
      <c r="M105" s="15">
        <v>24</v>
      </c>
      <c r="N105" s="15">
        <v>726</v>
      </c>
      <c r="O105" s="15">
        <v>502400</v>
      </c>
      <c r="P105" s="15">
        <v>172600</v>
      </c>
      <c r="Q105" s="15"/>
    </row>
    <row r="106" spans="1:17" ht="33.75" x14ac:dyDescent="0.25">
      <c r="A106" s="11" t="s">
        <v>3138</v>
      </c>
      <c r="B106" s="13" t="s">
        <v>699</v>
      </c>
      <c r="C106" s="10" t="s">
        <v>1950</v>
      </c>
      <c r="D106" s="13" t="s">
        <v>3401</v>
      </c>
      <c r="E106" s="14" t="s">
        <v>1951</v>
      </c>
      <c r="F106" s="14" t="s">
        <v>11</v>
      </c>
      <c r="G106" s="13"/>
      <c r="H106" s="14">
        <f t="shared" si="3"/>
        <v>1</v>
      </c>
      <c r="I106" s="14">
        <v>1</v>
      </c>
      <c r="J106" s="14">
        <v>1</v>
      </c>
      <c r="K106" s="13" t="s">
        <v>3398</v>
      </c>
      <c r="L106" s="15" t="s">
        <v>108</v>
      </c>
      <c r="M106" s="15">
        <v>545</v>
      </c>
      <c r="N106" s="15">
        <v>7431</v>
      </c>
      <c r="O106" s="15">
        <v>505450</v>
      </c>
      <c r="P106" s="15">
        <v>174310</v>
      </c>
      <c r="Q106" s="15"/>
    </row>
    <row r="107" spans="1:17" x14ac:dyDescent="0.25">
      <c r="A107" s="11" t="s">
        <v>3138</v>
      </c>
      <c r="B107" s="13" t="s">
        <v>93</v>
      </c>
      <c r="C107" s="10" t="s">
        <v>1372</v>
      </c>
      <c r="D107" s="13" t="s">
        <v>158</v>
      </c>
      <c r="E107" s="14" t="s">
        <v>112</v>
      </c>
      <c r="F107" s="14" t="s">
        <v>11</v>
      </c>
      <c r="G107" s="13"/>
      <c r="H107" s="14">
        <f t="shared" si="3"/>
        <v>7</v>
      </c>
      <c r="I107" s="14">
        <v>7</v>
      </c>
      <c r="J107" s="14">
        <v>5</v>
      </c>
      <c r="K107" s="13" t="s">
        <v>3576</v>
      </c>
      <c r="L107" s="15" t="s">
        <v>108</v>
      </c>
      <c r="M107" s="15">
        <v>94</v>
      </c>
      <c r="N107" s="15">
        <v>89</v>
      </c>
      <c r="O107" s="15">
        <v>509400</v>
      </c>
      <c r="P107" s="15">
        <v>108900</v>
      </c>
      <c r="Q107" s="15"/>
    </row>
    <row r="108" spans="1:17" x14ac:dyDescent="0.25">
      <c r="A108" s="11" t="s">
        <v>3138</v>
      </c>
      <c r="B108" s="13" t="s">
        <v>93</v>
      </c>
      <c r="C108" s="10" t="s">
        <v>3578</v>
      </c>
      <c r="D108" s="13" t="s">
        <v>90</v>
      </c>
      <c r="E108" s="14" t="s">
        <v>112</v>
      </c>
      <c r="F108" s="14" t="s">
        <v>11</v>
      </c>
      <c r="G108" s="13"/>
      <c r="H108" s="14">
        <f>G108+I108</f>
        <v>1</v>
      </c>
      <c r="I108" s="14">
        <v>1</v>
      </c>
      <c r="J108" s="14">
        <v>1</v>
      </c>
      <c r="K108" s="13" t="s">
        <v>3573</v>
      </c>
      <c r="L108" s="15" t="s">
        <v>108</v>
      </c>
      <c r="M108" s="15">
        <v>94</v>
      </c>
      <c r="N108" s="15">
        <v>89</v>
      </c>
      <c r="O108" s="15">
        <v>509400</v>
      </c>
      <c r="P108" s="15">
        <v>108900</v>
      </c>
      <c r="Q108" s="15"/>
    </row>
    <row r="109" spans="1:17" x14ac:dyDescent="0.25">
      <c r="A109" s="11" t="s">
        <v>3138</v>
      </c>
      <c r="B109" s="13" t="s">
        <v>93</v>
      </c>
      <c r="C109" s="10" t="s">
        <v>3577</v>
      </c>
      <c r="D109" s="13" t="s">
        <v>90</v>
      </c>
      <c r="E109" s="14" t="s">
        <v>112</v>
      </c>
      <c r="F109" s="14" t="s">
        <v>11</v>
      </c>
      <c r="G109" s="13"/>
      <c r="H109" s="14">
        <f>G109+I109</f>
        <v>1</v>
      </c>
      <c r="I109" s="14">
        <v>1</v>
      </c>
      <c r="J109" s="14">
        <v>1</v>
      </c>
      <c r="K109" s="13" t="s">
        <v>3573</v>
      </c>
      <c r="L109" s="15" t="s">
        <v>108</v>
      </c>
      <c r="M109" s="15">
        <v>94</v>
      </c>
      <c r="N109" s="15">
        <v>89</v>
      </c>
      <c r="O109" s="15">
        <v>509400</v>
      </c>
      <c r="P109" s="15">
        <v>108900</v>
      </c>
      <c r="Q109" s="15"/>
    </row>
    <row r="110" spans="1:17" ht="22.5" x14ac:dyDescent="0.25">
      <c r="A110" s="11" t="s">
        <v>3138</v>
      </c>
      <c r="B110" s="13" t="s">
        <v>93</v>
      </c>
      <c r="C110" s="10" t="s">
        <v>94</v>
      </c>
      <c r="D110" s="13" t="s">
        <v>92</v>
      </c>
      <c r="E110" s="14" t="s">
        <v>112</v>
      </c>
      <c r="F110" s="14" t="s">
        <v>11</v>
      </c>
      <c r="G110" s="13"/>
      <c r="H110" s="14">
        <f t="shared" si="3"/>
        <v>1</v>
      </c>
      <c r="I110" s="14">
        <v>1</v>
      </c>
      <c r="J110" s="14">
        <v>1</v>
      </c>
      <c r="K110" s="13" t="s">
        <v>2292</v>
      </c>
      <c r="L110" s="15" t="s">
        <v>108</v>
      </c>
      <c r="M110" s="15">
        <v>21</v>
      </c>
      <c r="N110" s="15">
        <v>1204</v>
      </c>
      <c r="O110" s="15">
        <v>500210</v>
      </c>
      <c r="P110" s="15">
        <v>112040</v>
      </c>
      <c r="Q110" s="15"/>
    </row>
    <row r="111" spans="1:17" x14ac:dyDescent="0.25">
      <c r="A111" s="11" t="s">
        <v>3138</v>
      </c>
      <c r="B111" s="13" t="s">
        <v>93</v>
      </c>
      <c r="C111" s="10" t="s">
        <v>3623</v>
      </c>
      <c r="D111" s="13" t="s">
        <v>434</v>
      </c>
      <c r="E111" s="14" t="s">
        <v>103</v>
      </c>
      <c r="F111" s="14" t="s">
        <v>11</v>
      </c>
      <c r="G111" s="13">
        <v>1</v>
      </c>
      <c r="H111" s="14">
        <f>G111+I111</f>
        <v>1</v>
      </c>
      <c r="J111" s="14">
        <v>1</v>
      </c>
      <c r="K111" s="13" t="s">
        <v>3622</v>
      </c>
      <c r="L111" s="15" t="s">
        <v>108</v>
      </c>
      <c r="M111" s="15">
        <v>444</v>
      </c>
      <c r="N111" s="15">
        <v>89</v>
      </c>
      <c r="O111" s="15">
        <v>544400</v>
      </c>
      <c r="P111" s="15">
        <v>108900</v>
      </c>
      <c r="Q111" s="15"/>
    </row>
    <row r="112" spans="1:17" x14ac:dyDescent="0.25">
      <c r="A112" s="11" t="s">
        <v>3138</v>
      </c>
      <c r="B112" s="13" t="s">
        <v>93</v>
      </c>
      <c r="C112" s="10" t="s">
        <v>159</v>
      </c>
      <c r="D112" s="13" t="s">
        <v>158</v>
      </c>
      <c r="E112" s="14" t="s">
        <v>112</v>
      </c>
      <c r="F112" s="14" t="s">
        <v>11</v>
      </c>
      <c r="G112" s="13">
        <v>1</v>
      </c>
      <c r="H112" s="14">
        <f t="shared" si="3"/>
        <v>6</v>
      </c>
      <c r="I112" s="14">
        <v>5</v>
      </c>
      <c r="J112" s="14">
        <v>6</v>
      </c>
      <c r="K112" s="13" t="s">
        <v>3666</v>
      </c>
      <c r="L112" s="15" t="s">
        <v>108</v>
      </c>
      <c r="M112" s="15">
        <v>1142</v>
      </c>
      <c r="N112" s="15">
        <v>828</v>
      </c>
      <c r="O112" s="15">
        <v>511420</v>
      </c>
      <c r="P112" s="15">
        <v>108280</v>
      </c>
      <c r="Q112" s="15"/>
    </row>
    <row r="113" spans="1:17" x14ac:dyDescent="0.25">
      <c r="A113" s="11" t="s">
        <v>3138</v>
      </c>
      <c r="B113" s="13" t="s">
        <v>93</v>
      </c>
      <c r="C113" s="10" t="s">
        <v>3584</v>
      </c>
      <c r="D113" s="13" t="s">
        <v>158</v>
      </c>
      <c r="E113" s="14" t="s">
        <v>112</v>
      </c>
      <c r="F113" s="14" t="s">
        <v>11</v>
      </c>
      <c r="G113" s="13"/>
      <c r="H113" s="14">
        <f>G113+I113</f>
        <v>1</v>
      </c>
      <c r="I113" s="14">
        <v>1</v>
      </c>
      <c r="J113" s="14">
        <v>1</v>
      </c>
      <c r="K113" s="13" t="s">
        <v>3581</v>
      </c>
      <c r="L113" s="15" t="s">
        <v>108</v>
      </c>
      <c r="M113" s="15">
        <v>1142</v>
      </c>
      <c r="N113" s="15">
        <v>828</v>
      </c>
      <c r="O113" s="15">
        <v>511420</v>
      </c>
      <c r="P113" s="15">
        <v>108280</v>
      </c>
      <c r="Q113" s="15"/>
    </row>
    <row r="114" spans="1:17" x14ac:dyDescent="0.25">
      <c r="A114" s="11" t="s">
        <v>3138</v>
      </c>
      <c r="B114" s="13" t="s">
        <v>93</v>
      </c>
      <c r="C114" s="10" t="s">
        <v>157</v>
      </c>
      <c r="D114" s="13" t="s">
        <v>158</v>
      </c>
      <c r="E114" s="14" t="s">
        <v>112</v>
      </c>
      <c r="F114" s="14" t="s">
        <v>11</v>
      </c>
      <c r="G114" s="13">
        <v>7</v>
      </c>
      <c r="H114" s="14">
        <f t="shared" si="3"/>
        <v>13</v>
      </c>
      <c r="I114" s="14">
        <v>6</v>
      </c>
      <c r="J114" s="14">
        <v>10</v>
      </c>
      <c r="K114" s="13" t="s">
        <v>3667</v>
      </c>
      <c r="L114" s="15" t="s">
        <v>108</v>
      </c>
      <c r="M114" s="15">
        <v>1360</v>
      </c>
      <c r="N114" s="15">
        <v>788</v>
      </c>
      <c r="O114" s="15">
        <v>513600</v>
      </c>
      <c r="P114" s="15">
        <v>107880</v>
      </c>
      <c r="Q114" s="15"/>
    </row>
    <row r="115" spans="1:17" x14ac:dyDescent="0.25">
      <c r="A115" s="11" t="s">
        <v>3138</v>
      </c>
      <c r="B115" s="13" t="s">
        <v>93</v>
      </c>
      <c r="C115" s="10" t="s">
        <v>3582</v>
      </c>
      <c r="D115" s="13" t="s">
        <v>158</v>
      </c>
      <c r="E115" s="14" t="s">
        <v>112</v>
      </c>
      <c r="F115" s="14" t="s">
        <v>11</v>
      </c>
      <c r="G115" s="13"/>
      <c r="H115" s="14">
        <f>G115+I115</f>
        <v>1</v>
      </c>
      <c r="I115" s="14">
        <v>1</v>
      </c>
      <c r="J115" s="14">
        <v>1</v>
      </c>
      <c r="K115" s="13" t="s">
        <v>3581</v>
      </c>
      <c r="L115" s="15" t="s">
        <v>108</v>
      </c>
      <c r="M115" s="15">
        <v>1360</v>
      </c>
      <c r="N115" s="15">
        <v>788</v>
      </c>
      <c r="O115" s="15">
        <v>513600</v>
      </c>
      <c r="P115" s="15">
        <v>107880</v>
      </c>
      <c r="Q115" s="15"/>
    </row>
    <row r="116" spans="1:17" x14ac:dyDescent="0.25">
      <c r="A116" s="11" t="s">
        <v>3138</v>
      </c>
      <c r="B116" s="13" t="s">
        <v>93</v>
      </c>
      <c r="C116" s="10" t="s">
        <v>3583</v>
      </c>
      <c r="D116" s="13" t="s">
        <v>158</v>
      </c>
      <c r="E116" s="14" t="s">
        <v>112</v>
      </c>
      <c r="F116" s="14" t="s">
        <v>11</v>
      </c>
      <c r="G116" s="13"/>
      <c r="H116" s="14">
        <f>G116+I116</f>
        <v>1</v>
      </c>
      <c r="I116" s="14">
        <v>1</v>
      </c>
      <c r="J116" s="14">
        <v>1</v>
      </c>
      <c r="K116" s="13" t="s">
        <v>3581</v>
      </c>
      <c r="L116" s="15" t="s">
        <v>108</v>
      </c>
      <c r="M116" s="15">
        <v>1360</v>
      </c>
      <c r="N116" s="15">
        <v>788</v>
      </c>
      <c r="O116" s="15">
        <v>513600</v>
      </c>
      <c r="P116" s="15">
        <v>107880</v>
      </c>
      <c r="Q116" s="15"/>
    </row>
    <row r="117" spans="1:17" x14ac:dyDescent="0.25">
      <c r="A117" s="11" t="s">
        <v>3138</v>
      </c>
      <c r="B117" s="13" t="s">
        <v>93</v>
      </c>
      <c r="C117" s="10" t="s">
        <v>3572</v>
      </c>
      <c r="D117" s="13" t="s">
        <v>158</v>
      </c>
      <c r="E117" s="14" t="s">
        <v>112</v>
      </c>
      <c r="F117" s="14" t="s">
        <v>11</v>
      </c>
      <c r="G117" s="13"/>
      <c r="H117" s="14">
        <f>G117+I117</f>
        <v>1</v>
      </c>
      <c r="I117" s="14">
        <v>1</v>
      </c>
      <c r="J117" s="14">
        <v>1</v>
      </c>
      <c r="K117" s="13" t="s">
        <v>3573</v>
      </c>
      <c r="L117" s="15" t="s">
        <v>108</v>
      </c>
      <c r="M117" s="15">
        <v>1360</v>
      </c>
      <c r="N117" s="15">
        <v>788</v>
      </c>
      <c r="O117" s="15">
        <v>513600</v>
      </c>
      <c r="P117" s="15">
        <v>107880</v>
      </c>
      <c r="Q117" s="15"/>
    </row>
    <row r="118" spans="1:17" x14ac:dyDescent="0.25">
      <c r="A118" s="11" t="s">
        <v>3138</v>
      </c>
      <c r="B118" s="13" t="s">
        <v>93</v>
      </c>
      <c r="C118" s="10" t="s">
        <v>3575</v>
      </c>
      <c r="D118" s="13" t="s">
        <v>158</v>
      </c>
      <c r="E118" s="14" t="s">
        <v>112</v>
      </c>
      <c r="F118" s="14" t="s">
        <v>11</v>
      </c>
      <c r="G118" s="13"/>
      <c r="H118" s="14">
        <f>G118+I118</f>
        <v>1</v>
      </c>
      <c r="I118" s="14">
        <v>1</v>
      </c>
      <c r="J118" s="14">
        <v>1</v>
      </c>
      <c r="K118" s="13" t="s">
        <v>3573</v>
      </c>
      <c r="L118" s="15" t="s">
        <v>108</v>
      </c>
      <c r="M118" s="15">
        <v>1360</v>
      </c>
      <c r="N118" s="15">
        <v>788</v>
      </c>
      <c r="O118" s="15">
        <v>513600</v>
      </c>
      <c r="P118" s="15">
        <v>107880</v>
      </c>
      <c r="Q118" s="15"/>
    </row>
    <row r="119" spans="1:17" x14ac:dyDescent="0.25">
      <c r="A119" s="11" t="s">
        <v>3138</v>
      </c>
      <c r="B119" s="13" t="s">
        <v>93</v>
      </c>
      <c r="C119" s="10" t="s">
        <v>3574</v>
      </c>
      <c r="D119" s="13" t="s">
        <v>158</v>
      </c>
      <c r="E119" s="14" t="s">
        <v>112</v>
      </c>
      <c r="F119" s="14" t="s">
        <v>11</v>
      </c>
      <c r="G119" s="13"/>
      <c r="H119" s="14">
        <f>G119+I119</f>
        <v>1</v>
      </c>
      <c r="I119" s="14">
        <v>1</v>
      </c>
      <c r="J119" s="14">
        <v>1</v>
      </c>
      <c r="K119" s="13" t="s">
        <v>3573</v>
      </c>
      <c r="L119" s="15" t="s">
        <v>108</v>
      </c>
      <c r="M119" s="15">
        <v>1360</v>
      </c>
      <c r="N119" s="15">
        <v>788</v>
      </c>
      <c r="O119" s="15">
        <v>513600</v>
      </c>
      <c r="P119" s="15">
        <v>107880</v>
      </c>
      <c r="Q119" s="15"/>
    </row>
    <row r="120" spans="1:17" x14ac:dyDescent="0.25">
      <c r="A120" s="11" t="s">
        <v>3138</v>
      </c>
      <c r="B120" s="13" t="s">
        <v>93</v>
      </c>
      <c r="C120" s="10" t="s">
        <v>1785</v>
      </c>
      <c r="D120" s="13" t="s">
        <v>158</v>
      </c>
      <c r="E120" s="14" t="s">
        <v>112</v>
      </c>
      <c r="F120" s="14" t="s">
        <v>11</v>
      </c>
      <c r="G120" s="13"/>
      <c r="H120" s="14">
        <f t="shared" si="3"/>
        <v>8</v>
      </c>
      <c r="I120" s="14">
        <v>8</v>
      </c>
      <c r="J120" s="14">
        <v>6</v>
      </c>
      <c r="K120" s="13" t="s">
        <v>3579</v>
      </c>
      <c r="L120" s="15" t="s">
        <v>108</v>
      </c>
      <c r="M120" s="15">
        <v>82</v>
      </c>
      <c r="N120" s="15">
        <v>100</v>
      </c>
      <c r="O120" s="15">
        <v>508200</v>
      </c>
      <c r="P120" s="15">
        <v>110000</v>
      </c>
      <c r="Q120" s="15"/>
    </row>
    <row r="121" spans="1:17" x14ac:dyDescent="0.25">
      <c r="A121" s="11" t="s">
        <v>3138</v>
      </c>
      <c r="B121" s="13" t="s">
        <v>93</v>
      </c>
      <c r="C121" s="10" t="s">
        <v>3580</v>
      </c>
      <c r="D121" s="13" t="s">
        <v>158</v>
      </c>
      <c r="E121" s="14" t="s">
        <v>112</v>
      </c>
      <c r="F121" s="14" t="s">
        <v>11</v>
      </c>
      <c r="G121" s="13"/>
      <c r="H121" s="14">
        <f>G121+I121</f>
        <v>1</v>
      </c>
      <c r="I121" s="14">
        <v>1</v>
      </c>
      <c r="J121" s="14">
        <v>1</v>
      </c>
      <c r="K121" s="13" t="s">
        <v>3581</v>
      </c>
      <c r="L121" s="15" t="s">
        <v>108</v>
      </c>
      <c r="M121" s="15">
        <v>82</v>
      </c>
      <c r="N121" s="15">
        <v>100</v>
      </c>
      <c r="O121" s="15">
        <v>508200</v>
      </c>
      <c r="P121" s="15">
        <v>110000</v>
      </c>
      <c r="Q121" s="15"/>
    </row>
    <row r="122" spans="1:17" x14ac:dyDescent="0.25">
      <c r="A122" s="11" t="s">
        <v>3138</v>
      </c>
      <c r="B122" s="13" t="s">
        <v>93</v>
      </c>
      <c r="C122" s="10" t="s">
        <v>2371</v>
      </c>
      <c r="D122" s="13" t="s">
        <v>158</v>
      </c>
      <c r="E122" s="14" t="s">
        <v>112</v>
      </c>
      <c r="F122" s="14" t="s">
        <v>11</v>
      </c>
      <c r="G122" s="13"/>
      <c r="H122" s="14">
        <f t="shared" si="3"/>
        <v>3</v>
      </c>
      <c r="I122" s="14">
        <v>3</v>
      </c>
      <c r="J122" s="14">
        <v>3</v>
      </c>
      <c r="K122" s="13" t="s">
        <v>3568</v>
      </c>
      <c r="L122" s="15" t="s">
        <v>110</v>
      </c>
      <c r="M122" s="15">
        <v>932</v>
      </c>
      <c r="N122" s="15">
        <v>93</v>
      </c>
      <c r="O122" s="15">
        <v>493200</v>
      </c>
      <c r="P122" s="15">
        <v>109300</v>
      </c>
      <c r="Q122" s="15"/>
    </row>
    <row r="123" spans="1:17" x14ac:dyDescent="0.25">
      <c r="A123" s="11" t="s">
        <v>3138</v>
      </c>
      <c r="B123" s="13" t="s">
        <v>93</v>
      </c>
      <c r="C123" s="10" t="s">
        <v>3564</v>
      </c>
      <c r="D123" s="13" t="s">
        <v>158</v>
      </c>
      <c r="E123" s="14" t="s">
        <v>112</v>
      </c>
      <c r="F123" s="14" t="s">
        <v>11</v>
      </c>
      <c r="G123" s="13"/>
      <c r="H123" s="14">
        <f>G123+I123</f>
        <v>1</v>
      </c>
      <c r="I123" s="14">
        <v>1</v>
      </c>
      <c r="J123" s="14">
        <v>1</v>
      </c>
      <c r="K123" s="13" t="s">
        <v>3565</v>
      </c>
      <c r="L123" s="15" t="s">
        <v>110</v>
      </c>
      <c r="M123" s="15">
        <v>7731</v>
      </c>
      <c r="N123" s="15">
        <v>1306</v>
      </c>
      <c r="O123" s="15">
        <v>477310</v>
      </c>
      <c r="P123" s="15">
        <v>113060</v>
      </c>
      <c r="Q123" s="15"/>
    </row>
    <row r="124" spans="1:17" x14ac:dyDescent="0.25">
      <c r="A124" s="11" t="s">
        <v>3138</v>
      </c>
      <c r="B124" s="13" t="s">
        <v>93</v>
      </c>
      <c r="C124" s="10" t="s">
        <v>3566</v>
      </c>
      <c r="D124" s="13" t="s">
        <v>158</v>
      </c>
      <c r="E124" s="14" t="s">
        <v>112</v>
      </c>
      <c r="F124" s="14" t="s">
        <v>11</v>
      </c>
      <c r="G124" s="13"/>
      <c r="H124" s="14">
        <f t="shared" si="3"/>
        <v>1</v>
      </c>
      <c r="I124" s="14">
        <v>1</v>
      </c>
      <c r="J124" s="14">
        <v>1</v>
      </c>
      <c r="K124" s="13" t="s">
        <v>3565</v>
      </c>
      <c r="L124" s="15" t="s">
        <v>108</v>
      </c>
      <c r="M124" s="15">
        <v>225</v>
      </c>
      <c r="N124" s="15">
        <v>67</v>
      </c>
      <c r="O124" s="15">
        <v>522500</v>
      </c>
      <c r="P124" s="15">
        <v>106700</v>
      </c>
      <c r="Q124" s="15"/>
    </row>
    <row r="125" spans="1:17" x14ac:dyDescent="0.25">
      <c r="A125" s="11" t="s">
        <v>3138</v>
      </c>
      <c r="B125" s="13" t="s">
        <v>93</v>
      </c>
      <c r="C125" s="10" t="s">
        <v>3567</v>
      </c>
      <c r="D125" s="13" t="s">
        <v>158</v>
      </c>
      <c r="E125" s="14" t="s">
        <v>112</v>
      </c>
      <c r="F125" s="14" t="s">
        <v>11</v>
      </c>
      <c r="G125" s="13"/>
      <c r="H125" s="14">
        <f t="shared" si="3"/>
        <v>1</v>
      </c>
      <c r="I125" s="14">
        <v>1</v>
      </c>
      <c r="J125" s="14">
        <v>1</v>
      </c>
      <c r="K125" s="13" t="s">
        <v>3565</v>
      </c>
      <c r="L125" s="15" t="s">
        <v>108</v>
      </c>
      <c r="M125" s="15">
        <v>11050</v>
      </c>
      <c r="N125" s="15">
        <v>8591</v>
      </c>
      <c r="O125" s="15">
        <v>511050</v>
      </c>
      <c r="P125" s="15">
        <v>108591</v>
      </c>
      <c r="Q125" s="15"/>
    </row>
    <row r="126" spans="1:17" ht="25.5" x14ac:dyDescent="0.25">
      <c r="A126" s="11" t="s">
        <v>3138</v>
      </c>
      <c r="B126" s="13" t="s">
        <v>93</v>
      </c>
      <c r="C126" s="17" t="s">
        <v>3571</v>
      </c>
      <c r="D126" s="13" t="s">
        <v>158</v>
      </c>
      <c r="E126" s="14" t="s">
        <v>112</v>
      </c>
      <c r="F126" s="14" t="s">
        <v>11</v>
      </c>
      <c r="G126" s="13"/>
      <c r="H126" s="14">
        <f>G126+I126</f>
        <v>2</v>
      </c>
      <c r="I126" s="14">
        <v>2</v>
      </c>
      <c r="J126" s="14">
        <v>2</v>
      </c>
      <c r="K126" s="13" t="s">
        <v>3570</v>
      </c>
      <c r="L126" s="15" t="s">
        <v>110</v>
      </c>
      <c r="M126" s="15">
        <v>8307</v>
      </c>
      <c r="N126" s="15">
        <v>968</v>
      </c>
      <c r="O126" s="15">
        <v>483070</v>
      </c>
      <c r="P126" s="15">
        <v>109680</v>
      </c>
      <c r="Q126" s="15"/>
    </row>
    <row r="127" spans="1:17" ht="22.5" x14ac:dyDescent="0.25">
      <c r="A127" s="11" t="s">
        <v>3138</v>
      </c>
      <c r="B127" s="13" t="s">
        <v>93</v>
      </c>
      <c r="C127" s="10" t="s">
        <v>202</v>
      </c>
      <c r="D127" s="13" t="s">
        <v>92</v>
      </c>
      <c r="E127" s="13" t="s">
        <v>205</v>
      </c>
      <c r="F127" s="14" t="s">
        <v>11</v>
      </c>
      <c r="G127" s="13">
        <v>1</v>
      </c>
      <c r="H127" s="14">
        <f t="shared" si="3"/>
        <v>2</v>
      </c>
      <c r="I127" s="14">
        <v>1</v>
      </c>
      <c r="J127" s="14">
        <v>2</v>
      </c>
      <c r="K127" s="13" t="s">
        <v>3157</v>
      </c>
      <c r="L127" s="15" t="s">
        <v>108</v>
      </c>
      <c r="M127" s="15">
        <v>3303</v>
      </c>
      <c r="N127" s="15">
        <v>477</v>
      </c>
      <c r="O127" s="15">
        <v>533030</v>
      </c>
      <c r="P127" s="15">
        <v>104770</v>
      </c>
      <c r="Q127" s="15"/>
    </row>
    <row r="128" spans="1:17" x14ac:dyDescent="0.25">
      <c r="A128" s="11" t="s">
        <v>3138</v>
      </c>
      <c r="B128" s="13" t="s">
        <v>24</v>
      </c>
      <c r="C128" s="10" t="s">
        <v>3660</v>
      </c>
      <c r="D128" s="13" t="s">
        <v>26</v>
      </c>
      <c r="E128" s="14" t="s">
        <v>1196</v>
      </c>
      <c r="F128" s="14" t="s">
        <v>11</v>
      </c>
      <c r="G128" s="13"/>
      <c r="H128" s="14">
        <f>G128+I128</f>
        <v>1</v>
      </c>
      <c r="I128" s="14">
        <v>1</v>
      </c>
      <c r="J128" s="14">
        <v>1</v>
      </c>
      <c r="K128" s="13" t="s">
        <v>3658</v>
      </c>
      <c r="L128" s="15" t="s">
        <v>110</v>
      </c>
      <c r="M128" s="15">
        <v>1374</v>
      </c>
      <c r="N128" s="15">
        <v>4318</v>
      </c>
      <c r="O128" s="15">
        <v>413740</v>
      </c>
      <c r="P128" s="15">
        <v>143180</v>
      </c>
      <c r="Q128" s="15"/>
    </row>
    <row r="129" spans="1:17" ht="22.5" x14ac:dyDescent="0.25">
      <c r="A129" s="11" t="s">
        <v>3138</v>
      </c>
      <c r="B129" s="13" t="s">
        <v>24</v>
      </c>
      <c r="C129" s="10" t="s">
        <v>23</v>
      </c>
      <c r="D129" s="13" t="s">
        <v>124</v>
      </c>
      <c r="E129" s="14" t="s">
        <v>21</v>
      </c>
      <c r="F129" s="14" t="s">
        <v>11</v>
      </c>
      <c r="G129" s="13">
        <v>2</v>
      </c>
      <c r="H129" s="14">
        <f t="shared" si="3"/>
        <v>2</v>
      </c>
      <c r="J129" s="14">
        <v>2</v>
      </c>
      <c r="K129" s="13" t="s">
        <v>3407</v>
      </c>
      <c r="L129" s="15" t="s">
        <v>110</v>
      </c>
      <c r="M129" s="15">
        <v>1026</v>
      </c>
      <c r="N129" s="15">
        <v>6996</v>
      </c>
      <c r="O129" s="15">
        <v>410260</v>
      </c>
      <c r="P129" s="15">
        <v>169960</v>
      </c>
      <c r="Q129" s="15"/>
    </row>
    <row r="130" spans="1:17" x14ac:dyDescent="0.25">
      <c r="A130" s="11" t="s">
        <v>3138</v>
      </c>
      <c r="B130" s="13" t="s">
        <v>24</v>
      </c>
      <c r="C130" s="10" t="s">
        <v>3251</v>
      </c>
      <c r="D130" s="13" t="s">
        <v>3252</v>
      </c>
      <c r="E130" s="14" t="s">
        <v>21</v>
      </c>
      <c r="F130" s="14" t="s">
        <v>11</v>
      </c>
      <c r="G130" s="13"/>
      <c r="H130" s="14">
        <f>G130+I130</f>
        <v>1</v>
      </c>
      <c r="I130" s="14">
        <v>1</v>
      </c>
      <c r="J130" s="14">
        <v>1</v>
      </c>
      <c r="K130" s="13" t="s">
        <v>3249</v>
      </c>
      <c r="L130" s="15" t="s">
        <v>110</v>
      </c>
      <c r="M130" s="15">
        <v>1024</v>
      </c>
      <c r="N130" s="15">
        <v>6788</v>
      </c>
      <c r="O130" s="15">
        <v>410240</v>
      </c>
      <c r="P130" s="15">
        <v>167880</v>
      </c>
      <c r="Q130" s="15"/>
    </row>
    <row r="131" spans="1:17" x14ac:dyDescent="0.25">
      <c r="A131" s="11" t="s">
        <v>3138</v>
      </c>
      <c r="B131" s="13" t="s">
        <v>24</v>
      </c>
      <c r="C131" s="10" t="s">
        <v>146</v>
      </c>
      <c r="D131" s="13" t="s">
        <v>26</v>
      </c>
      <c r="E131" s="14" t="s">
        <v>21</v>
      </c>
      <c r="F131" s="14" t="s">
        <v>11</v>
      </c>
      <c r="G131" s="13">
        <v>1</v>
      </c>
      <c r="H131" s="14">
        <f t="shared" si="3"/>
        <v>2</v>
      </c>
      <c r="I131" s="14">
        <v>1</v>
      </c>
      <c r="J131" s="14">
        <v>2</v>
      </c>
      <c r="K131" s="13" t="s">
        <v>3661</v>
      </c>
      <c r="L131" s="15" t="s">
        <v>110</v>
      </c>
      <c r="M131" s="15">
        <v>66</v>
      </c>
      <c r="N131" s="15">
        <v>677</v>
      </c>
      <c r="O131" s="15">
        <v>406600</v>
      </c>
      <c r="P131" s="15">
        <v>167700</v>
      </c>
      <c r="Q131" s="15"/>
    </row>
    <row r="132" spans="1:17" ht="33.75" x14ac:dyDescent="0.25">
      <c r="A132" s="11" t="s">
        <v>3138</v>
      </c>
      <c r="B132" s="13" t="s">
        <v>24</v>
      </c>
      <c r="C132" s="17" t="s">
        <v>3519</v>
      </c>
      <c r="D132" s="13" t="s">
        <v>3518</v>
      </c>
      <c r="E132" s="14" t="s">
        <v>21</v>
      </c>
      <c r="F132" s="14" t="s">
        <v>11</v>
      </c>
      <c r="G132" s="13">
        <v>1</v>
      </c>
      <c r="H132" s="14">
        <f>G132+I132</f>
        <v>1</v>
      </c>
      <c r="J132" s="14">
        <v>1</v>
      </c>
      <c r="K132" s="13" t="s">
        <v>3517</v>
      </c>
      <c r="L132" s="15" t="s">
        <v>110</v>
      </c>
      <c r="M132" s="15">
        <v>592</v>
      </c>
      <c r="N132" s="15">
        <v>6597</v>
      </c>
      <c r="O132" s="15">
        <v>405920</v>
      </c>
      <c r="P132" s="15">
        <v>165970</v>
      </c>
      <c r="Q132" s="15"/>
    </row>
    <row r="133" spans="1:17" ht="25.5" x14ac:dyDescent="0.25">
      <c r="A133" s="11" t="s">
        <v>3138</v>
      </c>
      <c r="B133" s="13" t="s">
        <v>24</v>
      </c>
      <c r="C133" s="17" t="s">
        <v>3657</v>
      </c>
      <c r="D133" s="13" t="s">
        <v>1198</v>
      </c>
      <c r="E133" s="14" t="s">
        <v>21</v>
      </c>
      <c r="F133" s="14" t="s">
        <v>11</v>
      </c>
      <c r="G133" s="13"/>
      <c r="H133" s="14">
        <f t="shared" si="3"/>
        <v>2</v>
      </c>
      <c r="I133" s="14">
        <v>2</v>
      </c>
      <c r="J133" s="14">
        <v>1</v>
      </c>
      <c r="K133" s="13" t="s">
        <v>3658</v>
      </c>
      <c r="L133" s="15" t="s">
        <v>119</v>
      </c>
      <c r="M133" s="15">
        <v>94203</v>
      </c>
      <c r="N133" s="15">
        <v>46771</v>
      </c>
      <c r="O133" s="15">
        <v>394203</v>
      </c>
      <c r="P133" s="15">
        <v>146771</v>
      </c>
      <c r="Q133" s="15"/>
    </row>
    <row r="134" spans="1:17" ht="22.5" x14ac:dyDescent="0.25">
      <c r="A134" s="11" t="s">
        <v>3138</v>
      </c>
      <c r="B134" s="13" t="s">
        <v>24</v>
      </c>
      <c r="C134" s="10" t="s">
        <v>3515</v>
      </c>
      <c r="D134" s="13" t="s">
        <v>3516</v>
      </c>
      <c r="E134" s="14" t="s">
        <v>21</v>
      </c>
      <c r="F134" s="14" t="s">
        <v>11</v>
      </c>
      <c r="G134" s="13">
        <v>1</v>
      </c>
      <c r="H134" s="14">
        <f t="shared" si="3"/>
        <v>1</v>
      </c>
      <c r="J134" s="14">
        <v>1</v>
      </c>
      <c r="K134" s="13" t="s">
        <v>3511</v>
      </c>
      <c r="L134" s="15" t="s">
        <v>110</v>
      </c>
      <c r="M134" s="15">
        <v>311</v>
      </c>
      <c r="N134" s="15">
        <v>7005</v>
      </c>
      <c r="O134" s="15">
        <v>403110</v>
      </c>
      <c r="P134" s="15">
        <v>170050</v>
      </c>
      <c r="Q134" s="15"/>
    </row>
    <row r="135" spans="1:17" x14ac:dyDescent="0.25">
      <c r="A135" s="11" t="s">
        <v>3138</v>
      </c>
      <c r="B135" s="13" t="s">
        <v>24</v>
      </c>
      <c r="C135" s="10" t="s">
        <v>1171</v>
      </c>
      <c r="D135" s="13" t="s">
        <v>18</v>
      </c>
      <c r="E135" s="14" t="s">
        <v>21</v>
      </c>
      <c r="F135" s="14" t="s">
        <v>11</v>
      </c>
      <c r="G135" s="13">
        <v>1</v>
      </c>
      <c r="H135" s="14">
        <f t="shared" si="3"/>
        <v>4</v>
      </c>
      <c r="I135" s="14">
        <v>3</v>
      </c>
      <c r="J135" s="14">
        <v>3</v>
      </c>
      <c r="K135" s="13" t="s">
        <v>3647</v>
      </c>
      <c r="L135" s="15" t="s">
        <v>110</v>
      </c>
      <c r="M135" s="15">
        <v>134</v>
      </c>
      <c r="N135" s="15">
        <v>416</v>
      </c>
      <c r="O135" s="15">
        <v>413400</v>
      </c>
      <c r="P135" s="15">
        <v>141600</v>
      </c>
      <c r="Q135" s="15"/>
    </row>
    <row r="136" spans="1:17" x14ac:dyDescent="0.25">
      <c r="A136" s="11" t="s">
        <v>3138</v>
      </c>
      <c r="B136" s="13" t="s">
        <v>24</v>
      </c>
      <c r="C136" s="10" t="s">
        <v>3273</v>
      </c>
      <c r="D136" s="13" t="s">
        <v>598</v>
      </c>
      <c r="E136" s="14" t="s">
        <v>21</v>
      </c>
      <c r="F136" s="14" t="s">
        <v>11</v>
      </c>
      <c r="G136" s="13">
        <v>13</v>
      </c>
      <c r="H136" s="14">
        <f>G136+I136</f>
        <v>26</v>
      </c>
      <c r="I136" s="14">
        <v>13</v>
      </c>
      <c r="J136" s="14">
        <v>13</v>
      </c>
      <c r="K136" s="13" t="s">
        <v>3696</v>
      </c>
      <c r="L136" s="15" t="s">
        <v>110</v>
      </c>
      <c r="M136" s="15">
        <v>134</v>
      </c>
      <c r="N136" s="15">
        <v>416</v>
      </c>
      <c r="O136" s="15">
        <v>413400</v>
      </c>
      <c r="P136" s="15">
        <v>141600</v>
      </c>
      <c r="Q136" s="15"/>
    </row>
    <row r="137" spans="1:17" ht="22.5" x14ac:dyDescent="0.25">
      <c r="A137" s="11" t="s">
        <v>3138</v>
      </c>
      <c r="B137" s="13" t="s">
        <v>24</v>
      </c>
      <c r="C137" s="10" t="s">
        <v>3245</v>
      </c>
      <c r="D137" s="13" t="s">
        <v>1033</v>
      </c>
      <c r="E137" s="14" t="s">
        <v>3246</v>
      </c>
      <c r="F137" s="14" t="s">
        <v>11</v>
      </c>
      <c r="G137" s="13"/>
      <c r="H137" s="14">
        <f>G137+I137</f>
        <v>1</v>
      </c>
      <c r="I137" s="14">
        <v>1</v>
      </c>
      <c r="J137" s="14">
        <v>1</v>
      </c>
      <c r="K137" s="13" t="s">
        <v>3242</v>
      </c>
      <c r="L137" s="15" t="s">
        <v>110</v>
      </c>
      <c r="M137" s="15">
        <v>180</v>
      </c>
      <c r="N137" s="15">
        <v>215</v>
      </c>
      <c r="O137" s="15">
        <v>418000</v>
      </c>
      <c r="P137" s="15">
        <v>121500</v>
      </c>
      <c r="Q137" s="15"/>
    </row>
    <row r="138" spans="1:17" x14ac:dyDescent="0.25">
      <c r="A138" s="11" t="s">
        <v>3138</v>
      </c>
      <c r="B138" s="13" t="s">
        <v>24</v>
      </c>
      <c r="C138" s="10" t="s">
        <v>15</v>
      </c>
      <c r="D138" s="13" t="s">
        <v>18</v>
      </c>
      <c r="E138" s="14" t="s">
        <v>21</v>
      </c>
      <c r="F138" s="14" t="s">
        <v>11</v>
      </c>
      <c r="G138" s="13">
        <v>5</v>
      </c>
      <c r="H138" s="14">
        <f t="shared" si="3"/>
        <v>6</v>
      </c>
      <c r="I138" s="14">
        <v>1</v>
      </c>
      <c r="J138" s="14">
        <v>5</v>
      </c>
      <c r="K138" s="13" t="s">
        <v>3669</v>
      </c>
      <c r="L138" s="15" t="s">
        <v>110</v>
      </c>
      <c r="M138" s="15">
        <v>1501</v>
      </c>
      <c r="N138" s="15">
        <v>4375</v>
      </c>
      <c r="O138" s="15">
        <v>415010</v>
      </c>
      <c r="P138" s="15">
        <v>143750</v>
      </c>
      <c r="Q138" s="15"/>
    </row>
    <row r="139" spans="1:17" x14ac:dyDescent="0.25">
      <c r="A139" s="11" t="s">
        <v>3138</v>
      </c>
      <c r="B139" s="13" t="s">
        <v>24</v>
      </c>
      <c r="C139" s="10" t="s">
        <v>3248</v>
      </c>
      <c r="D139" s="13" t="s">
        <v>3247</v>
      </c>
      <c r="E139" s="14" t="s">
        <v>21</v>
      </c>
      <c r="F139" s="14" t="s">
        <v>11</v>
      </c>
      <c r="G139" s="13"/>
      <c r="H139" s="14">
        <f t="shared" si="3"/>
        <v>1</v>
      </c>
      <c r="I139" s="14">
        <v>1</v>
      </c>
      <c r="J139" s="14">
        <v>1</v>
      </c>
      <c r="K139" s="13" t="s">
        <v>3249</v>
      </c>
      <c r="L139" s="15" t="s">
        <v>110</v>
      </c>
      <c r="M139" s="15">
        <v>139</v>
      </c>
      <c r="N139" s="15">
        <v>516</v>
      </c>
      <c r="O139" s="15">
        <v>413900</v>
      </c>
      <c r="P139" s="15">
        <v>151600</v>
      </c>
      <c r="Q139" s="15"/>
    </row>
    <row r="140" spans="1:17" x14ac:dyDescent="0.25">
      <c r="A140" s="11" t="s">
        <v>3138</v>
      </c>
      <c r="B140" s="13" t="s">
        <v>24</v>
      </c>
      <c r="C140" s="10" t="s">
        <v>691</v>
      </c>
      <c r="D140" s="13" t="s">
        <v>26</v>
      </c>
      <c r="E140" s="14" t="s">
        <v>21</v>
      </c>
      <c r="F140" s="14" t="s">
        <v>11</v>
      </c>
      <c r="G140" s="13"/>
      <c r="H140" s="14">
        <f>G140+I140</f>
        <v>1</v>
      </c>
      <c r="I140" s="14">
        <v>1</v>
      </c>
      <c r="J140" s="14">
        <v>1</v>
      </c>
      <c r="K140" s="13" t="s">
        <v>3205</v>
      </c>
      <c r="L140" s="15" t="s">
        <v>110</v>
      </c>
      <c r="M140" s="15">
        <v>637</v>
      </c>
      <c r="N140" s="15">
        <v>6610</v>
      </c>
      <c r="O140" s="15">
        <v>406370</v>
      </c>
      <c r="P140" s="15">
        <v>166100</v>
      </c>
      <c r="Q140" s="15"/>
    </row>
    <row r="141" spans="1:17" ht="22.5" x14ac:dyDescent="0.25">
      <c r="A141" s="11" t="s">
        <v>3138</v>
      </c>
      <c r="B141" s="13" t="s">
        <v>24</v>
      </c>
      <c r="C141" s="10" t="s">
        <v>691</v>
      </c>
      <c r="D141" s="13" t="s">
        <v>854</v>
      </c>
      <c r="E141" s="14" t="s">
        <v>21</v>
      </c>
      <c r="F141" s="14" t="s">
        <v>11</v>
      </c>
      <c r="G141" s="13"/>
      <c r="H141" s="14">
        <f t="shared" si="3"/>
        <v>2</v>
      </c>
      <c r="I141" s="14">
        <v>2</v>
      </c>
      <c r="J141" s="14">
        <v>1</v>
      </c>
      <c r="K141" s="13" t="s">
        <v>3569</v>
      </c>
      <c r="L141" s="15" t="s">
        <v>110</v>
      </c>
      <c r="M141" s="15">
        <v>2342</v>
      </c>
      <c r="N141" s="15">
        <v>3579</v>
      </c>
      <c r="O141" s="15">
        <v>423420</v>
      </c>
      <c r="P141" s="15">
        <v>135790</v>
      </c>
      <c r="Q141" s="15"/>
    </row>
    <row r="142" spans="1:17" x14ac:dyDescent="0.25">
      <c r="A142" s="11" t="s">
        <v>3138</v>
      </c>
      <c r="B142" s="13" t="s">
        <v>24</v>
      </c>
      <c r="C142" s="10" t="s">
        <v>997</v>
      </c>
      <c r="D142" s="13" t="s">
        <v>26</v>
      </c>
      <c r="E142" s="14" t="s">
        <v>21</v>
      </c>
      <c r="F142" s="14" t="s">
        <v>11</v>
      </c>
      <c r="G142" s="13"/>
      <c r="H142" s="14">
        <f t="shared" si="3"/>
        <v>10</v>
      </c>
      <c r="I142" s="14">
        <v>10</v>
      </c>
      <c r="J142" s="14">
        <v>9</v>
      </c>
      <c r="K142" s="13" t="s">
        <v>3466</v>
      </c>
      <c r="L142" s="15" t="s">
        <v>110</v>
      </c>
      <c r="M142" s="15">
        <v>1918</v>
      </c>
      <c r="N142" s="15">
        <v>3247</v>
      </c>
      <c r="O142" s="15">
        <v>419180</v>
      </c>
      <c r="P142" s="15">
        <v>132470</v>
      </c>
      <c r="Q142" s="15"/>
    </row>
    <row r="143" spans="1:17" x14ac:dyDescent="0.25">
      <c r="A143" s="11" t="s">
        <v>3138</v>
      </c>
      <c r="B143" s="13" t="s">
        <v>24</v>
      </c>
      <c r="C143" s="17" t="s">
        <v>3659</v>
      </c>
      <c r="D143" s="13" t="s">
        <v>1198</v>
      </c>
      <c r="E143" s="14" t="s">
        <v>21</v>
      </c>
      <c r="F143" s="14" t="s">
        <v>11</v>
      </c>
      <c r="G143" s="13"/>
      <c r="H143" s="14">
        <f>G143+I143</f>
        <v>1</v>
      </c>
      <c r="I143" s="14">
        <v>1</v>
      </c>
      <c r="J143" s="14">
        <v>1</v>
      </c>
      <c r="K143" s="13" t="s">
        <v>3658</v>
      </c>
      <c r="L143" s="15" t="s">
        <v>119</v>
      </c>
      <c r="M143" s="15">
        <v>9656</v>
      </c>
      <c r="N143" s="15">
        <v>4549</v>
      </c>
      <c r="O143" s="15">
        <v>396560</v>
      </c>
      <c r="P143" s="15">
        <v>145490</v>
      </c>
      <c r="Q143" s="15"/>
    </row>
    <row r="144" spans="1:17" x14ac:dyDescent="0.25">
      <c r="A144" s="11" t="s">
        <v>3138</v>
      </c>
      <c r="B144" s="13" t="s">
        <v>24</v>
      </c>
      <c r="C144" s="10" t="s">
        <v>3218</v>
      </c>
      <c r="D144" s="13" t="s">
        <v>26</v>
      </c>
      <c r="E144" s="14" t="s">
        <v>21</v>
      </c>
      <c r="F144" s="14" t="s">
        <v>11</v>
      </c>
      <c r="G144" s="13"/>
      <c r="H144" s="14">
        <f>G144+I144</f>
        <v>1</v>
      </c>
      <c r="I144" s="14">
        <v>1</v>
      </c>
      <c r="J144" s="14">
        <v>1</v>
      </c>
      <c r="K144" s="13" t="s">
        <v>3205</v>
      </c>
      <c r="L144" s="15" t="s">
        <v>110</v>
      </c>
      <c r="M144" s="15">
        <v>943</v>
      </c>
      <c r="N144" s="15">
        <v>7221</v>
      </c>
      <c r="O144" s="15">
        <v>409430</v>
      </c>
      <c r="P144" s="15">
        <v>172210</v>
      </c>
      <c r="Q144" s="15"/>
    </row>
    <row r="145" spans="1:17" x14ac:dyDescent="0.25">
      <c r="A145" s="11" t="s">
        <v>3138</v>
      </c>
      <c r="B145" s="13" t="s">
        <v>24</v>
      </c>
      <c r="C145" s="10" t="s">
        <v>3217</v>
      </c>
      <c r="D145" s="13" t="s">
        <v>26</v>
      </c>
      <c r="E145" s="14" t="s">
        <v>21</v>
      </c>
      <c r="F145" s="14" t="s">
        <v>11</v>
      </c>
      <c r="G145" s="13"/>
      <c r="H145" s="14">
        <f>G145+I145</f>
        <v>1</v>
      </c>
      <c r="I145" s="14">
        <v>1</v>
      </c>
      <c r="J145" s="14">
        <v>1</v>
      </c>
      <c r="K145" s="13" t="s">
        <v>3205</v>
      </c>
      <c r="L145" s="15" t="s">
        <v>110</v>
      </c>
      <c r="M145" s="15">
        <v>546</v>
      </c>
      <c r="N145" s="15">
        <v>6578</v>
      </c>
      <c r="O145" s="15">
        <v>405460</v>
      </c>
      <c r="P145" s="15">
        <v>165780</v>
      </c>
      <c r="Q145" s="15"/>
    </row>
    <row r="146" spans="1:17" ht="22.5" x14ac:dyDescent="0.25">
      <c r="A146" s="11" t="s">
        <v>3138</v>
      </c>
      <c r="B146" s="13" t="s">
        <v>24</v>
      </c>
      <c r="C146" s="10" t="s">
        <v>27</v>
      </c>
      <c r="D146" s="13" t="s">
        <v>125</v>
      </c>
      <c r="E146" s="14" t="s">
        <v>21</v>
      </c>
      <c r="F146" s="14" t="s">
        <v>11</v>
      </c>
      <c r="G146" s="13">
        <v>1</v>
      </c>
      <c r="H146" s="14">
        <f t="shared" si="3"/>
        <v>1</v>
      </c>
      <c r="J146" s="14">
        <v>1</v>
      </c>
      <c r="K146" s="13" t="s">
        <v>1521</v>
      </c>
      <c r="L146" s="15" t="s">
        <v>110</v>
      </c>
      <c r="M146" s="15">
        <v>1001</v>
      </c>
      <c r="N146" s="15">
        <v>6853</v>
      </c>
      <c r="O146" s="15">
        <v>410010</v>
      </c>
      <c r="P146" s="15">
        <v>168530</v>
      </c>
      <c r="Q146" s="15"/>
    </row>
    <row r="147" spans="1:17" x14ac:dyDescent="0.25">
      <c r="A147" s="11" t="s">
        <v>3138</v>
      </c>
      <c r="B147" s="13" t="s">
        <v>24</v>
      </c>
      <c r="C147" s="10" t="s">
        <v>60</v>
      </c>
      <c r="D147" s="13" t="s">
        <v>26</v>
      </c>
      <c r="E147" s="14" t="s">
        <v>21</v>
      </c>
      <c r="F147" s="14" t="s">
        <v>11</v>
      </c>
      <c r="G147" s="13"/>
      <c r="H147" s="14">
        <f t="shared" si="3"/>
        <v>6</v>
      </c>
      <c r="I147" s="14">
        <v>6</v>
      </c>
      <c r="J147" s="14">
        <v>4</v>
      </c>
      <c r="K147" s="13" t="s">
        <v>3652</v>
      </c>
      <c r="L147" s="15" t="s">
        <v>110</v>
      </c>
      <c r="M147" s="15">
        <v>900</v>
      </c>
      <c r="N147" s="15">
        <v>6927</v>
      </c>
      <c r="O147" s="15">
        <v>409000</v>
      </c>
      <c r="P147" s="15">
        <v>169270</v>
      </c>
      <c r="Q147" s="15"/>
    </row>
    <row r="148" spans="1:17" ht="22.5" x14ac:dyDescent="0.25">
      <c r="A148" s="11" t="s">
        <v>3138</v>
      </c>
      <c r="B148" s="13" t="s">
        <v>24</v>
      </c>
      <c r="C148" s="10" t="s">
        <v>13</v>
      </c>
      <c r="D148" s="13" t="s">
        <v>511</v>
      </c>
      <c r="E148" s="14" t="s">
        <v>21</v>
      </c>
      <c r="F148" s="14" t="s">
        <v>11</v>
      </c>
      <c r="G148" s="13">
        <v>3</v>
      </c>
      <c r="H148" s="14">
        <f t="shared" si="3"/>
        <v>5</v>
      </c>
      <c r="I148" s="14">
        <v>2</v>
      </c>
      <c r="J148" s="14">
        <v>5</v>
      </c>
      <c r="K148" s="13" t="s">
        <v>3750</v>
      </c>
      <c r="L148" s="15" t="s">
        <v>110</v>
      </c>
      <c r="M148" s="15">
        <v>1224</v>
      </c>
      <c r="N148" s="15">
        <v>4128</v>
      </c>
      <c r="O148" s="15">
        <v>412240</v>
      </c>
      <c r="P148" s="15">
        <v>141280</v>
      </c>
      <c r="Q148" s="15"/>
    </row>
    <row r="149" spans="1:17" ht="22.5" x14ac:dyDescent="0.25">
      <c r="A149" s="11" t="s">
        <v>3138</v>
      </c>
      <c r="B149" s="13" t="s">
        <v>24</v>
      </c>
      <c r="C149" s="10" t="s">
        <v>13</v>
      </c>
      <c r="D149" s="13" t="s">
        <v>3186</v>
      </c>
      <c r="E149" s="14" t="s">
        <v>21</v>
      </c>
      <c r="F149" s="14" t="s">
        <v>11</v>
      </c>
      <c r="G149" s="13">
        <v>2</v>
      </c>
      <c r="H149" s="14">
        <f>G149+I149</f>
        <v>3</v>
      </c>
      <c r="I149" s="14">
        <v>1</v>
      </c>
      <c r="J149" s="14">
        <v>2</v>
      </c>
      <c r="K149" s="13" t="s">
        <v>3396</v>
      </c>
      <c r="L149" s="15" t="s">
        <v>110</v>
      </c>
      <c r="M149" s="15">
        <v>1224</v>
      </c>
      <c r="N149" s="15">
        <v>4128</v>
      </c>
      <c r="O149" s="15">
        <v>412240</v>
      </c>
      <c r="P149" s="15">
        <v>141280</v>
      </c>
      <c r="Q149" s="15"/>
    </row>
    <row r="150" spans="1:17" x14ac:dyDescent="0.25">
      <c r="A150" s="11" t="s">
        <v>3138</v>
      </c>
      <c r="B150" s="13" t="s">
        <v>24</v>
      </c>
      <c r="C150" s="10" t="s">
        <v>25</v>
      </c>
      <c r="D150" s="13" t="s">
        <v>26</v>
      </c>
      <c r="E150" s="14" t="s">
        <v>21</v>
      </c>
      <c r="F150" s="14" t="s">
        <v>11</v>
      </c>
      <c r="G150" s="13"/>
      <c r="H150" s="14">
        <f t="shared" si="3"/>
        <v>4</v>
      </c>
      <c r="I150" s="14">
        <v>4</v>
      </c>
      <c r="J150" s="14">
        <v>3</v>
      </c>
      <c r="K150" s="13" t="s">
        <v>3406</v>
      </c>
      <c r="L150" s="15" t="s">
        <v>110</v>
      </c>
      <c r="M150" s="15">
        <v>1046</v>
      </c>
      <c r="N150" s="15">
        <v>6774</v>
      </c>
      <c r="O150" s="15">
        <v>410460</v>
      </c>
      <c r="P150" s="15">
        <v>167740</v>
      </c>
      <c r="Q150" s="15"/>
    </row>
    <row r="151" spans="1:17" x14ac:dyDescent="0.25">
      <c r="A151" s="11" t="s">
        <v>3138</v>
      </c>
      <c r="B151" s="13" t="s">
        <v>24</v>
      </c>
      <c r="C151" s="10" t="s">
        <v>1154</v>
      </c>
      <c r="D151" s="13" t="s">
        <v>121</v>
      </c>
      <c r="E151" s="14" t="s">
        <v>21</v>
      </c>
      <c r="F151" s="14" t="s">
        <v>11</v>
      </c>
      <c r="G151" s="13"/>
      <c r="H151" s="14">
        <f t="shared" si="3"/>
        <v>1</v>
      </c>
      <c r="I151" s="14">
        <v>1</v>
      </c>
      <c r="J151" s="14">
        <v>1</v>
      </c>
      <c r="K151" s="13" t="s">
        <v>3249</v>
      </c>
      <c r="L151" s="15" t="s">
        <v>110</v>
      </c>
      <c r="M151" s="15">
        <v>1196</v>
      </c>
      <c r="N151" s="15">
        <v>6835</v>
      </c>
      <c r="O151" s="15">
        <v>411960</v>
      </c>
      <c r="P151" s="15">
        <v>168350</v>
      </c>
      <c r="Q151" s="15"/>
    </row>
    <row r="152" spans="1:17" x14ac:dyDescent="0.25">
      <c r="A152" s="11" t="s">
        <v>3138</v>
      </c>
      <c r="B152" s="13" t="s">
        <v>24</v>
      </c>
      <c r="C152" s="10" t="s">
        <v>28</v>
      </c>
      <c r="D152" s="13" t="s">
        <v>1940</v>
      </c>
      <c r="E152" s="14" t="s">
        <v>21</v>
      </c>
      <c r="F152" s="14" t="s">
        <v>11</v>
      </c>
      <c r="G152" s="13">
        <v>37</v>
      </c>
      <c r="H152" s="14">
        <f t="shared" si="3"/>
        <v>37</v>
      </c>
      <c r="J152" s="14">
        <v>10</v>
      </c>
      <c r="K152" s="13" t="s">
        <v>3503</v>
      </c>
      <c r="L152" s="15" t="s">
        <v>110</v>
      </c>
      <c r="M152" s="15">
        <v>86</v>
      </c>
      <c r="N152" s="15">
        <v>714</v>
      </c>
      <c r="O152" s="15">
        <v>408600</v>
      </c>
      <c r="P152" s="15">
        <v>171400</v>
      </c>
      <c r="Q152" s="15"/>
    </row>
    <row r="153" spans="1:17" ht="22.5" x14ac:dyDescent="0.25">
      <c r="A153" s="11" t="s">
        <v>3138</v>
      </c>
      <c r="B153" s="13" t="s">
        <v>24</v>
      </c>
      <c r="C153" s="10" t="s">
        <v>28</v>
      </c>
      <c r="D153" s="13" t="s">
        <v>19</v>
      </c>
      <c r="E153" s="14" t="s">
        <v>21</v>
      </c>
      <c r="F153" s="14" t="s">
        <v>11</v>
      </c>
      <c r="G153" s="13">
        <v>3</v>
      </c>
      <c r="H153" s="14">
        <f t="shared" si="3"/>
        <v>14</v>
      </c>
      <c r="I153" s="14">
        <v>11</v>
      </c>
      <c r="J153" s="14">
        <v>11</v>
      </c>
      <c r="K153" s="13" t="s">
        <v>3685</v>
      </c>
      <c r="L153" s="15" t="s">
        <v>110</v>
      </c>
      <c r="M153" s="15">
        <v>86</v>
      </c>
      <c r="N153" s="15">
        <v>714</v>
      </c>
      <c r="O153" s="15">
        <v>408600</v>
      </c>
      <c r="P153" s="15">
        <v>171400</v>
      </c>
      <c r="Q153" s="15"/>
    </row>
    <row r="154" spans="1:17" ht="21" customHeight="1" x14ac:dyDescent="0.25">
      <c r="A154" s="11" t="s">
        <v>3138</v>
      </c>
      <c r="B154" s="13" t="s">
        <v>3208</v>
      </c>
      <c r="C154" s="10" t="s">
        <v>3664</v>
      </c>
      <c r="D154" s="13" t="s">
        <v>434</v>
      </c>
      <c r="E154" s="14" t="s">
        <v>3210</v>
      </c>
      <c r="F154" s="14" t="s">
        <v>11</v>
      </c>
      <c r="G154" s="13">
        <v>1</v>
      </c>
      <c r="H154" s="14">
        <f t="shared" si="3"/>
        <v>2</v>
      </c>
      <c r="I154" s="14">
        <v>1</v>
      </c>
      <c r="J154" s="14">
        <v>2</v>
      </c>
      <c r="K154" s="13" t="s">
        <v>3665</v>
      </c>
      <c r="L154" s="15" t="s">
        <v>110</v>
      </c>
      <c r="M154" s="15">
        <v>9502</v>
      </c>
      <c r="N154" s="15">
        <v>7810</v>
      </c>
      <c r="O154" s="15">
        <v>495020</v>
      </c>
      <c r="P154" s="15">
        <v>178100</v>
      </c>
      <c r="Q154" s="15"/>
    </row>
    <row r="155" spans="1:17" ht="22.5" x14ac:dyDescent="0.25">
      <c r="A155" s="11" t="s">
        <v>3138</v>
      </c>
      <c r="B155" s="13" t="s">
        <v>3208</v>
      </c>
      <c r="C155" s="10" t="s">
        <v>3209</v>
      </c>
      <c r="D155" s="13" t="s">
        <v>1932</v>
      </c>
      <c r="E155" s="14" t="s">
        <v>3210</v>
      </c>
      <c r="F155" s="14" t="s">
        <v>11</v>
      </c>
      <c r="G155" s="13">
        <v>1</v>
      </c>
      <c r="H155" s="14">
        <f>G155+I155</f>
        <v>2</v>
      </c>
      <c r="I155" s="14">
        <v>1</v>
      </c>
      <c r="J155" s="14">
        <v>2</v>
      </c>
      <c r="K155" s="13" t="s">
        <v>3253</v>
      </c>
      <c r="L155" s="15" t="s">
        <v>110</v>
      </c>
      <c r="M155" s="15">
        <v>9502</v>
      </c>
      <c r="N155" s="15">
        <v>7810</v>
      </c>
      <c r="O155" s="15">
        <v>495020</v>
      </c>
      <c r="P155" s="15">
        <v>178100</v>
      </c>
      <c r="Q155" s="15"/>
    </row>
    <row r="156" spans="1:17" ht="22.5" customHeight="1" x14ac:dyDescent="0.25">
      <c r="A156" s="11" t="s">
        <v>3138</v>
      </c>
      <c r="B156" s="13" t="s">
        <v>3208</v>
      </c>
      <c r="C156" s="17" t="s">
        <v>3663</v>
      </c>
      <c r="D156" s="13" t="s">
        <v>434</v>
      </c>
      <c r="E156" s="14" t="s">
        <v>48</v>
      </c>
      <c r="F156" s="14" t="s">
        <v>11</v>
      </c>
      <c r="G156" s="13">
        <v>1</v>
      </c>
      <c r="H156" s="14">
        <f>G156+I156</f>
        <v>2</v>
      </c>
      <c r="I156" s="14">
        <v>1</v>
      </c>
      <c r="J156" s="14">
        <v>2</v>
      </c>
      <c r="K156" s="13" t="s">
        <v>3662</v>
      </c>
      <c r="L156" s="15" t="s">
        <v>108</v>
      </c>
      <c r="M156" s="15">
        <v>19</v>
      </c>
      <c r="N156" s="15">
        <v>719</v>
      </c>
      <c r="O156" s="15">
        <v>501900</v>
      </c>
      <c r="P156" s="15">
        <v>171900</v>
      </c>
      <c r="Q156" s="15"/>
    </row>
    <row r="157" spans="1:17" ht="33.75" x14ac:dyDescent="0.25">
      <c r="A157" s="11" t="s">
        <v>3138</v>
      </c>
      <c r="B157" s="13" t="s">
        <v>139</v>
      </c>
      <c r="C157" s="10" t="s">
        <v>3424</v>
      </c>
      <c r="D157" s="13" t="s">
        <v>2925</v>
      </c>
      <c r="E157" s="14" t="s">
        <v>272</v>
      </c>
      <c r="F157" s="14" t="s">
        <v>11</v>
      </c>
      <c r="G157" s="13"/>
      <c r="H157" s="14">
        <f>G157+I157</f>
        <v>1</v>
      </c>
      <c r="I157" s="14">
        <v>1</v>
      </c>
      <c r="J157" s="14">
        <v>1</v>
      </c>
      <c r="K157" s="13" t="s">
        <v>3423</v>
      </c>
      <c r="L157" s="15" t="s">
        <v>271</v>
      </c>
      <c r="M157" s="15">
        <v>8282</v>
      </c>
      <c r="N157" s="15">
        <v>5620</v>
      </c>
      <c r="O157" s="15">
        <v>482820</v>
      </c>
      <c r="P157" s="15">
        <v>456200</v>
      </c>
      <c r="Q157" s="15"/>
    </row>
    <row r="158" spans="1:17" x14ac:dyDescent="0.25">
      <c r="A158" s="11" t="s">
        <v>3138</v>
      </c>
      <c r="B158" s="13" t="s">
        <v>139</v>
      </c>
      <c r="C158" s="10" t="s">
        <v>135</v>
      </c>
      <c r="D158" s="13" t="s">
        <v>26</v>
      </c>
      <c r="E158" s="14" t="s">
        <v>134</v>
      </c>
      <c r="F158" s="14" t="s">
        <v>11</v>
      </c>
      <c r="G158" s="13"/>
      <c r="H158" s="14">
        <f t="shared" si="3"/>
        <v>2</v>
      </c>
      <c r="I158" s="14">
        <v>2</v>
      </c>
      <c r="J158" s="14">
        <v>2</v>
      </c>
      <c r="K158" s="13" t="s">
        <v>3430</v>
      </c>
      <c r="L158" s="15" t="s">
        <v>137</v>
      </c>
      <c r="M158" s="15">
        <v>560</v>
      </c>
      <c r="N158" s="15">
        <v>6732</v>
      </c>
      <c r="O158" s="15">
        <v>505600</v>
      </c>
      <c r="P158" s="15">
        <v>467320</v>
      </c>
      <c r="Q158" s="15"/>
    </row>
    <row r="159" spans="1:17" x14ac:dyDescent="0.25">
      <c r="A159" s="11" t="s">
        <v>3138</v>
      </c>
      <c r="B159" s="13" t="s">
        <v>139</v>
      </c>
      <c r="C159" s="10" t="s">
        <v>1371</v>
      </c>
      <c r="D159" s="13" t="s">
        <v>26</v>
      </c>
      <c r="E159" s="14" t="s">
        <v>455</v>
      </c>
      <c r="F159" s="14" t="s">
        <v>11</v>
      </c>
      <c r="G159" s="13"/>
      <c r="H159" s="14">
        <f t="shared" si="3"/>
        <v>4</v>
      </c>
      <c r="I159" s="14">
        <v>4</v>
      </c>
      <c r="J159" s="14">
        <v>3</v>
      </c>
      <c r="K159" s="13" t="s">
        <v>3431</v>
      </c>
      <c r="L159" s="15" t="s">
        <v>137</v>
      </c>
      <c r="M159" s="15">
        <v>29</v>
      </c>
      <c r="N159" s="15">
        <v>761</v>
      </c>
      <c r="O159" s="15">
        <v>502900</v>
      </c>
      <c r="P159" s="15">
        <v>476100</v>
      </c>
      <c r="Q159" s="15"/>
    </row>
    <row r="160" spans="1:17" x14ac:dyDescent="0.25">
      <c r="A160" s="11" t="s">
        <v>3138</v>
      </c>
      <c r="B160" s="13" t="s">
        <v>139</v>
      </c>
      <c r="C160" s="10" t="s">
        <v>3227</v>
      </c>
      <c r="D160" s="13" t="s">
        <v>3228</v>
      </c>
      <c r="E160" s="14" t="s">
        <v>455</v>
      </c>
      <c r="F160" s="14" t="s">
        <v>11</v>
      </c>
      <c r="G160" s="13"/>
      <c r="H160" s="14">
        <f t="shared" ref="H160:H198" si="4">G160+I160</f>
        <v>1</v>
      </c>
      <c r="I160" s="14">
        <v>1</v>
      </c>
      <c r="J160" s="14">
        <v>1</v>
      </c>
      <c r="K160" s="13" t="s">
        <v>1764</v>
      </c>
      <c r="L160" s="15" t="s">
        <v>137</v>
      </c>
      <c r="M160" s="15">
        <v>484</v>
      </c>
      <c r="N160" s="15">
        <v>7261</v>
      </c>
      <c r="O160" s="15">
        <v>504840</v>
      </c>
      <c r="P160" s="15">
        <v>472610</v>
      </c>
      <c r="Q160" s="15"/>
    </row>
    <row r="161" spans="1:17" x14ac:dyDescent="0.25">
      <c r="A161" s="11" t="s">
        <v>3138</v>
      </c>
      <c r="B161" s="13" t="s">
        <v>269</v>
      </c>
      <c r="C161" s="10" t="s">
        <v>270</v>
      </c>
      <c r="D161" s="13" t="s">
        <v>26</v>
      </c>
      <c r="E161" s="14" t="s">
        <v>272</v>
      </c>
      <c r="F161" s="14" t="s">
        <v>11</v>
      </c>
      <c r="G161" s="13"/>
      <c r="H161" s="14">
        <f t="shared" si="4"/>
        <v>1</v>
      </c>
      <c r="I161" s="14">
        <v>1</v>
      </c>
      <c r="J161" s="14">
        <v>1</v>
      </c>
      <c r="K161" s="13" t="s">
        <v>3423</v>
      </c>
      <c r="L161" s="15" t="s">
        <v>271</v>
      </c>
      <c r="M161" s="15">
        <v>9382</v>
      </c>
      <c r="N161" s="15">
        <v>7523</v>
      </c>
      <c r="O161" s="15">
        <v>493820</v>
      </c>
      <c r="P161" s="15">
        <v>475230</v>
      </c>
      <c r="Q161" s="15"/>
    </row>
    <row r="162" spans="1:17" ht="33.75" x14ac:dyDescent="0.25">
      <c r="A162" s="11" t="s">
        <v>3138</v>
      </c>
      <c r="B162" s="13" t="s">
        <v>269</v>
      </c>
      <c r="C162" s="10" t="s">
        <v>3500</v>
      </c>
      <c r="D162" s="13" t="s">
        <v>3504</v>
      </c>
      <c r="E162" s="14" t="s">
        <v>437</v>
      </c>
      <c r="F162" s="14" t="s">
        <v>11</v>
      </c>
      <c r="G162" s="13">
        <v>11</v>
      </c>
      <c r="H162" s="14">
        <f t="shared" si="4"/>
        <v>11</v>
      </c>
      <c r="J162" s="14">
        <v>5</v>
      </c>
      <c r="K162" s="13" t="s">
        <v>3561</v>
      </c>
      <c r="L162" s="15" t="s">
        <v>271</v>
      </c>
      <c r="M162" s="15">
        <v>8082</v>
      </c>
      <c r="N162" s="15">
        <v>6088</v>
      </c>
      <c r="O162" s="15">
        <v>480820</v>
      </c>
      <c r="P162" s="15">
        <v>460880</v>
      </c>
      <c r="Q162" s="15"/>
    </row>
    <row r="163" spans="1:17" ht="22.5" x14ac:dyDescent="0.25">
      <c r="A163" s="11" t="s">
        <v>3138</v>
      </c>
      <c r="B163" s="13" t="s">
        <v>269</v>
      </c>
      <c r="C163" s="10" t="s">
        <v>2686</v>
      </c>
      <c r="D163" s="13" t="s">
        <v>3496</v>
      </c>
      <c r="E163" s="14" t="s">
        <v>437</v>
      </c>
      <c r="F163" s="14" t="s">
        <v>11</v>
      </c>
      <c r="G163" s="13">
        <v>1</v>
      </c>
      <c r="H163" s="14">
        <f t="shared" si="4"/>
        <v>3</v>
      </c>
      <c r="I163" s="14">
        <v>2</v>
      </c>
      <c r="J163" s="14">
        <v>2</v>
      </c>
      <c r="K163" s="13" t="s">
        <v>3497</v>
      </c>
      <c r="L163" s="15" t="s">
        <v>271</v>
      </c>
      <c r="M163" s="15">
        <v>8082</v>
      </c>
      <c r="N163" s="15">
        <v>6088</v>
      </c>
      <c r="O163" s="15">
        <v>480820</v>
      </c>
      <c r="P163" s="15">
        <v>460880</v>
      </c>
      <c r="Q163" s="15"/>
    </row>
    <row r="164" spans="1:17" x14ac:dyDescent="0.25">
      <c r="A164" s="11" t="s">
        <v>3138</v>
      </c>
      <c r="B164" s="13" t="s">
        <v>269</v>
      </c>
      <c r="C164" s="10" t="s">
        <v>3621</v>
      </c>
      <c r="D164" s="13" t="s">
        <v>434</v>
      </c>
      <c r="E164" s="13" t="s">
        <v>2454</v>
      </c>
      <c r="F164" s="14" t="s">
        <v>11</v>
      </c>
      <c r="G164" s="13">
        <v>1</v>
      </c>
      <c r="H164" s="14">
        <f t="shared" si="4"/>
        <v>1</v>
      </c>
      <c r="J164" s="14">
        <v>1</v>
      </c>
      <c r="K164" s="13" t="s">
        <v>3622</v>
      </c>
      <c r="L164" s="15" t="s">
        <v>218</v>
      </c>
      <c r="M164" s="15">
        <v>775</v>
      </c>
      <c r="N164" s="15">
        <v>54</v>
      </c>
      <c r="O164" s="15">
        <v>477500</v>
      </c>
      <c r="P164" s="15">
        <v>505400</v>
      </c>
      <c r="Q164" s="15"/>
    </row>
    <row r="165" spans="1:17" ht="22.5" x14ac:dyDescent="0.25">
      <c r="A165" s="11" t="s">
        <v>3138</v>
      </c>
      <c r="B165" s="13" t="s">
        <v>269</v>
      </c>
      <c r="C165" s="10" t="s">
        <v>3399</v>
      </c>
      <c r="D165" s="13" t="s">
        <v>3400</v>
      </c>
      <c r="E165" s="14" t="s">
        <v>405</v>
      </c>
      <c r="F165" s="14" t="s">
        <v>11</v>
      </c>
      <c r="G165" s="13"/>
      <c r="H165" s="14">
        <f t="shared" si="4"/>
        <v>1</v>
      </c>
      <c r="I165" s="14">
        <v>1</v>
      </c>
      <c r="J165" s="14">
        <v>1</v>
      </c>
      <c r="K165" s="13" t="s">
        <v>3398</v>
      </c>
      <c r="L165" s="15" t="s">
        <v>271</v>
      </c>
      <c r="M165" s="15">
        <v>2739</v>
      </c>
      <c r="N165" s="15">
        <v>8085</v>
      </c>
      <c r="O165" s="15">
        <v>427390</v>
      </c>
      <c r="P165" s="15">
        <v>480850</v>
      </c>
      <c r="Q165" s="15"/>
    </row>
    <row r="166" spans="1:17" ht="22.5" x14ac:dyDescent="0.25">
      <c r="A166" s="11" t="s">
        <v>3138</v>
      </c>
      <c r="B166" s="13" t="s">
        <v>269</v>
      </c>
      <c r="C166" s="10" t="s">
        <v>1922</v>
      </c>
      <c r="D166" s="13" t="s">
        <v>1923</v>
      </c>
      <c r="E166" s="14" t="s">
        <v>1924</v>
      </c>
      <c r="F166" s="14" t="s">
        <v>11</v>
      </c>
      <c r="G166" s="13"/>
      <c r="H166" s="14">
        <f t="shared" si="4"/>
        <v>2</v>
      </c>
      <c r="I166" s="14">
        <v>2</v>
      </c>
      <c r="J166" s="14">
        <v>2</v>
      </c>
      <c r="K166" s="13" t="s">
        <v>3312</v>
      </c>
      <c r="L166" s="15" t="s">
        <v>137</v>
      </c>
      <c r="M166" s="15">
        <v>2864</v>
      </c>
      <c r="N166" s="15">
        <v>80974</v>
      </c>
      <c r="O166" s="15">
        <v>502864</v>
      </c>
      <c r="P166" s="15">
        <v>480974</v>
      </c>
      <c r="Q166" s="15"/>
    </row>
    <row r="167" spans="1:17" ht="33.75" x14ac:dyDescent="0.25">
      <c r="A167" s="11" t="s">
        <v>3138</v>
      </c>
      <c r="B167" s="13" t="s">
        <v>269</v>
      </c>
      <c r="C167" s="10" t="s">
        <v>3499</v>
      </c>
      <c r="D167" s="13" t="s">
        <v>3504</v>
      </c>
      <c r="E167" s="14" t="s">
        <v>272</v>
      </c>
      <c r="F167" s="14" t="s">
        <v>11</v>
      </c>
      <c r="G167" s="13">
        <v>2</v>
      </c>
      <c r="H167" s="14">
        <f t="shared" si="4"/>
        <v>2</v>
      </c>
      <c r="J167" s="14">
        <v>2</v>
      </c>
      <c r="K167" s="13" t="s">
        <v>3501</v>
      </c>
      <c r="L167" s="15" t="s">
        <v>271</v>
      </c>
      <c r="M167" s="15">
        <v>9305</v>
      </c>
      <c r="N167" s="15">
        <v>7625</v>
      </c>
      <c r="O167" s="15">
        <v>493050</v>
      </c>
      <c r="P167" s="15">
        <v>476250</v>
      </c>
      <c r="Q167" s="15"/>
    </row>
    <row r="168" spans="1:17" ht="22.5" x14ac:dyDescent="0.25">
      <c r="A168" s="11" t="s">
        <v>3138</v>
      </c>
      <c r="B168" s="13" t="s">
        <v>2079</v>
      </c>
      <c r="C168" s="10" t="s">
        <v>3194</v>
      </c>
      <c r="D168" s="13" t="s">
        <v>3186</v>
      </c>
      <c r="E168" s="14" t="s">
        <v>3195</v>
      </c>
      <c r="F168" s="14" t="s">
        <v>11</v>
      </c>
      <c r="G168" s="13"/>
      <c r="H168" s="14">
        <f t="shared" si="4"/>
        <v>1</v>
      </c>
      <c r="I168" s="14">
        <v>1</v>
      </c>
      <c r="J168" s="14">
        <v>1</v>
      </c>
      <c r="K168" s="13" t="s">
        <v>3196</v>
      </c>
      <c r="L168" s="15" t="s">
        <v>271</v>
      </c>
      <c r="M168" s="15">
        <v>15</v>
      </c>
      <c r="N168" s="15">
        <v>130</v>
      </c>
      <c r="O168" s="15">
        <v>401500</v>
      </c>
      <c r="P168" s="15">
        <v>413000</v>
      </c>
      <c r="Q168" s="15"/>
    </row>
    <row r="169" spans="1:17" ht="22.5" x14ac:dyDescent="0.25">
      <c r="A169" s="11" t="s">
        <v>3138</v>
      </c>
      <c r="B169" s="13" t="s">
        <v>231</v>
      </c>
      <c r="C169" s="10" t="s">
        <v>129</v>
      </c>
      <c r="D169" s="13" t="s">
        <v>1009</v>
      </c>
      <c r="E169" s="14" t="s">
        <v>232</v>
      </c>
      <c r="F169" s="14" t="s">
        <v>35</v>
      </c>
      <c r="G169" s="13">
        <v>2</v>
      </c>
      <c r="H169" s="14">
        <f t="shared" si="4"/>
        <v>38</v>
      </c>
      <c r="I169" s="14">
        <v>36</v>
      </c>
      <c r="J169" s="14">
        <v>19</v>
      </c>
      <c r="K169" s="13" t="s">
        <v>3687</v>
      </c>
      <c r="L169" s="15" t="s">
        <v>130</v>
      </c>
      <c r="M169" s="15">
        <v>7335</v>
      </c>
      <c r="N169" s="15">
        <v>9590</v>
      </c>
      <c r="O169" s="15">
        <v>373350</v>
      </c>
      <c r="P169" s="15">
        <v>795900</v>
      </c>
      <c r="Q169" s="15"/>
    </row>
    <row r="170" spans="1:17" ht="25.5" x14ac:dyDescent="0.25">
      <c r="A170" s="11" t="s">
        <v>3138</v>
      </c>
      <c r="B170" s="13" t="s">
        <v>231</v>
      </c>
      <c r="C170" s="17" t="s">
        <v>3163</v>
      </c>
      <c r="D170" s="13" t="s">
        <v>1009</v>
      </c>
      <c r="E170" s="14" t="s">
        <v>86</v>
      </c>
      <c r="F170" s="14" t="s">
        <v>35</v>
      </c>
      <c r="G170" s="13">
        <v>8</v>
      </c>
      <c r="H170" s="14">
        <f t="shared" si="4"/>
        <v>45</v>
      </c>
      <c r="I170" s="14">
        <v>37</v>
      </c>
      <c r="J170" s="14">
        <v>24</v>
      </c>
      <c r="K170" s="13" t="s">
        <v>3697</v>
      </c>
      <c r="L170" s="15" t="s">
        <v>130</v>
      </c>
      <c r="M170" s="15">
        <v>7393</v>
      </c>
      <c r="N170" s="15">
        <v>9670</v>
      </c>
      <c r="O170" s="15">
        <v>373930</v>
      </c>
      <c r="P170" s="15">
        <v>796700</v>
      </c>
      <c r="Q170" s="15"/>
    </row>
    <row r="171" spans="1:17" ht="22.5" x14ac:dyDescent="0.25">
      <c r="A171" s="11" t="s">
        <v>3138</v>
      </c>
      <c r="B171" s="13" t="s">
        <v>231</v>
      </c>
      <c r="C171" s="10" t="s">
        <v>230</v>
      </c>
      <c r="D171" s="13" t="s">
        <v>3417</v>
      </c>
      <c r="E171" s="14" t="s">
        <v>232</v>
      </c>
      <c r="F171" s="14" t="s">
        <v>35</v>
      </c>
      <c r="G171" s="13"/>
      <c r="H171" s="14">
        <f t="shared" si="4"/>
        <v>5</v>
      </c>
      <c r="I171" s="14">
        <v>5</v>
      </c>
      <c r="J171" s="14">
        <v>4</v>
      </c>
      <c r="K171" s="13" t="s">
        <v>3443</v>
      </c>
      <c r="L171" s="15" t="s">
        <v>130</v>
      </c>
      <c r="M171" s="15">
        <v>6276</v>
      </c>
      <c r="N171" s="15">
        <v>6737</v>
      </c>
      <c r="O171" s="15">
        <v>362760</v>
      </c>
      <c r="P171" s="15">
        <v>767370</v>
      </c>
      <c r="Q171" s="15"/>
    </row>
    <row r="172" spans="1:17" ht="22.5" x14ac:dyDescent="0.25">
      <c r="A172" s="11" t="s">
        <v>3138</v>
      </c>
      <c r="B172" s="13" t="s">
        <v>231</v>
      </c>
      <c r="C172" s="17" t="s">
        <v>3509</v>
      </c>
      <c r="D172" s="13" t="s">
        <v>3510</v>
      </c>
      <c r="E172" s="14" t="s">
        <v>86</v>
      </c>
      <c r="F172" s="14" t="s">
        <v>35</v>
      </c>
      <c r="G172" s="13">
        <v>1</v>
      </c>
      <c r="H172" s="14">
        <f t="shared" si="4"/>
        <v>2</v>
      </c>
      <c r="I172" s="14">
        <v>1</v>
      </c>
      <c r="J172" s="14">
        <v>1</v>
      </c>
      <c r="K172" s="13" t="s">
        <v>3511</v>
      </c>
      <c r="L172" s="15" t="s">
        <v>115</v>
      </c>
      <c r="M172" s="15">
        <v>7647</v>
      </c>
      <c r="N172" s="15">
        <v>429</v>
      </c>
      <c r="O172" s="15">
        <v>376470</v>
      </c>
      <c r="P172" s="15">
        <v>804290</v>
      </c>
      <c r="Q172" s="15"/>
    </row>
    <row r="173" spans="1:17" ht="22.5" x14ac:dyDescent="0.25">
      <c r="A173" s="11" t="s">
        <v>3138</v>
      </c>
      <c r="B173" s="13" t="s">
        <v>231</v>
      </c>
      <c r="C173" s="10" t="s">
        <v>3447</v>
      </c>
      <c r="D173" s="13" t="s">
        <v>3440</v>
      </c>
      <c r="E173" s="14" t="s">
        <v>86</v>
      </c>
      <c r="F173" s="14" t="s">
        <v>35</v>
      </c>
      <c r="G173" s="13">
        <v>1</v>
      </c>
      <c r="H173" s="14">
        <f t="shared" si="4"/>
        <v>4</v>
      </c>
      <c r="I173" s="14">
        <v>3</v>
      </c>
      <c r="J173" s="14">
        <v>4</v>
      </c>
      <c r="K173" s="13" t="s">
        <v>3551</v>
      </c>
      <c r="L173" s="15" t="s">
        <v>115</v>
      </c>
      <c r="M173" s="15">
        <v>79668</v>
      </c>
      <c r="N173" s="15">
        <v>14576</v>
      </c>
      <c r="O173" s="15">
        <v>379668</v>
      </c>
      <c r="P173" s="15">
        <v>814576</v>
      </c>
      <c r="Q173" s="15"/>
    </row>
    <row r="174" spans="1:17" x14ac:dyDescent="0.25">
      <c r="A174" s="11" t="s">
        <v>3138</v>
      </c>
      <c r="B174" s="13" t="s">
        <v>231</v>
      </c>
      <c r="C174" s="17" t="s">
        <v>3539</v>
      </c>
      <c r="D174" s="13" t="s">
        <v>90</v>
      </c>
      <c r="E174" s="14" t="s">
        <v>86</v>
      </c>
      <c r="F174" s="14" t="s">
        <v>35</v>
      </c>
      <c r="G174" s="13">
        <v>1</v>
      </c>
      <c r="H174" s="14">
        <f t="shared" si="4"/>
        <v>1</v>
      </c>
      <c r="J174" s="14">
        <v>1</v>
      </c>
      <c r="K174" s="13" t="s">
        <v>3517</v>
      </c>
      <c r="L174" s="15" t="s">
        <v>115</v>
      </c>
      <c r="M174" s="15">
        <v>7022</v>
      </c>
      <c r="N174" s="15">
        <v>4352</v>
      </c>
      <c r="O174" s="15">
        <v>370220</v>
      </c>
      <c r="P174" s="15">
        <v>843520</v>
      </c>
      <c r="Q174" s="15"/>
    </row>
    <row r="175" spans="1:17" x14ac:dyDescent="0.25">
      <c r="A175" s="11" t="s">
        <v>3138</v>
      </c>
      <c r="B175" s="13" t="s">
        <v>231</v>
      </c>
      <c r="C175" s="17" t="s">
        <v>3541</v>
      </c>
      <c r="D175" s="13" t="s">
        <v>90</v>
      </c>
      <c r="E175" s="14" t="s">
        <v>86</v>
      </c>
      <c r="F175" s="14" t="s">
        <v>35</v>
      </c>
      <c r="G175" s="13">
        <v>1</v>
      </c>
      <c r="H175" s="14">
        <f t="shared" si="4"/>
        <v>1</v>
      </c>
      <c r="J175" s="14">
        <v>1</v>
      </c>
      <c r="K175" s="13" t="s">
        <v>3517</v>
      </c>
      <c r="L175" s="15" t="s">
        <v>115</v>
      </c>
      <c r="M175" s="15">
        <v>925</v>
      </c>
      <c r="N175" s="15">
        <v>499</v>
      </c>
      <c r="O175" s="15">
        <v>392500</v>
      </c>
      <c r="P175" s="15">
        <v>849900</v>
      </c>
      <c r="Q175" s="15"/>
    </row>
    <row r="176" spans="1:17" ht="25.5" x14ac:dyDescent="0.25">
      <c r="A176" s="11" t="s">
        <v>3138</v>
      </c>
      <c r="B176" s="13" t="s">
        <v>231</v>
      </c>
      <c r="C176" s="17" t="s">
        <v>3063</v>
      </c>
      <c r="D176" s="13" t="s">
        <v>3186</v>
      </c>
      <c r="E176" s="14" t="s">
        <v>86</v>
      </c>
      <c r="F176" s="14" t="s">
        <v>35</v>
      </c>
      <c r="G176" s="13"/>
      <c r="H176" s="14">
        <f t="shared" si="4"/>
        <v>1</v>
      </c>
      <c r="I176" s="14">
        <v>1</v>
      </c>
      <c r="J176" s="14">
        <v>1</v>
      </c>
      <c r="K176" s="13" t="s">
        <v>3189</v>
      </c>
      <c r="L176" s="15" t="s">
        <v>3064</v>
      </c>
      <c r="M176" s="15">
        <v>108</v>
      </c>
      <c r="N176" s="15">
        <v>2628</v>
      </c>
      <c r="O176" s="15">
        <v>401080</v>
      </c>
      <c r="P176" s="15">
        <v>826280</v>
      </c>
      <c r="Q176" s="15"/>
    </row>
    <row r="177" spans="1:17" ht="22.5" x14ac:dyDescent="0.25">
      <c r="A177" s="11" t="s">
        <v>3138</v>
      </c>
      <c r="B177" s="13" t="s">
        <v>231</v>
      </c>
      <c r="C177" s="10" t="s">
        <v>3531</v>
      </c>
      <c r="D177" s="13" t="s">
        <v>3532</v>
      </c>
      <c r="E177" s="14" t="s">
        <v>86</v>
      </c>
      <c r="F177" s="14" t="s">
        <v>35</v>
      </c>
      <c r="G177" s="13">
        <v>1</v>
      </c>
      <c r="H177" s="14">
        <f t="shared" si="4"/>
        <v>1</v>
      </c>
      <c r="J177" s="14">
        <v>1</v>
      </c>
      <c r="K177" s="13" t="s">
        <v>3517</v>
      </c>
      <c r="L177" s="15" t="s">
        <v>130</v>
      </c>
      <c r="M177" s="15">
        <v>751</v>
      </c>
      <c r="N177" s="15">
        <v>928</v>
      </c>
      <c r="O177" s="15">
        <v>375100</v>
      </c>
      <c r="P177" s="15">
        <v>792800</v>
      </c>
      <c r="Q177" s="15"/>
    </row>
    <row r="178" spans="1:17" x14ac:dyDescent="0.25">
      <c r="A178" s="11" t="s">
        <v>3138</v>
      </c>
      <c r="B178" s="13" t="s">
        <v>995</v>
      </c>
      <c r="C178" s="10" t="s">
        <v>3552</v>
      </c>
      <c r="D178" s="13" t="s">
        <v>39</v>
      </c>
      <c r="E178" s="14" t="s">
        <v>3553</v>
      </c>
      <c r="F178" s="14" t="s">
        <v>35</v>
      </c>
      <c r="G178" s="13">
        <v>1</v>
      </c>
      <c r="H178" s="14">
        <f t="shared" si="4"/>
        <v>1</v>
      </c>
      <c r="J178" s="14">
        <v>1</v>
      </c>
      <c r="K178" s="13" t="s">
        <v>3554</v>
      </c>
      <c r="L178" s="15" t="s">
        <v>130</v>
      </c>
      <c r="M178" s="15">
        <v>5913</v>
      </c>
      <c r="N178" s="15">
        <v>3819</v>
      </c>
      <c r="O178" s="15">
        <v>359130</v>
      </c>
      <c r="P178" s="15">
        <v>738190</v>
      </c>
      <c r="Q178" s="15"/>
    </row>
    <row r="179" spans="1:17" x14ac:dyDescent="0.25">
      <c r="A179" s="11" t="s">
        <v>3138</v>
      </c>
      <c r="B179" s="13" t="s">
        <v>995</v>
      </c>
      <c r="C179" s="10" t="s">
        <v>996</v>
      </c>
      <c r="D179" s="13" t="s">
        <v>20</v>
      </c>
      <c r="E179" s="14" t="s">
        <v>167</v>
      </c>
      <c r="F179" s="14" t="s">
        <v>35</v>
      </c>
      <c r="G179" s="13"/>
      <c r="H179" s="14">
        <f t="shared" si="4"/>
        <v>1</v>
      </c>
      <c r="I179" s="14">
        <v>1</v>
      </c>
      <c r="J179" s="14">
        <v>1</v>
      </c>
      <c r="K179" s="13" t="s">
        <v>3448</v>
      </c>
      <c r="L179" s="15" t="s">
        <v>130</v>
      </c>
      <c r="M179" s="15">
        <v>59100</v>
      </c>
      <c r="N179" s="15">
        <v>50020</v>
      </c>
      <c r="O179" s="15">
        <v>359100</v>
      </c>
      <c r="P179" s="15">
        <v>750020</v>
      </c>
      <c r="Q179" s="15"/>
    </row>
    <row r="180" spans="1:17" x14ac:dyDescent="0.25">
      <c r="A180" s="11" t="s">
        <v>3138</v>
      </c>
      <c r="B180" s="13" t="s">
        <v>953</v>
      </c>
      <c r="C180" s="10" t="s">
        <v>3530</v>
      </c>
      <c r="D180" s="13" t="s">
        <v>39</v>
      </c>
      <c r="E180" s="14" t="s">
        <v>1017</v>
      </c>
      <c r="F180" s="14" t="s">
        <v>35</v>
      </c>
      <c r="G180" s="13">
        <v>3</v>
      </c>
      <c r="H180" s="14">
        <f t="shared" si="4"/>
        <v>3</v>
      </c>
      <c r="J180" s="14">
        <v>3</v>
      </c>
      <c r="K180" s="13" t="s">
        <v>3559</v>
      </c>
      <c r="L180" s="15" t="s">
        <v>429</v>
      </c>
      <c r="M180" s="15">
        <v>28</v>
      </c>
      <c r="N180" s="15">
        <v>845</v>
      </c>
      <c r="O180" s="15">
        <v>202800</v>
      </c>
      <c r="P180" s="15">
        <v>684500</v>
      </c>
      <c r="Q180" s="15"/>
    </row>
    <row r="181" spans="1:17" ht="22.5" x14ac:dyDescent="0.25">
      <c r="A181" s="11" t="s">
        <v>3138</v>
      </c>
      <c r="B181" s="13" t="s">
        <v>953</v>
      </c>
      <c r="C181" s="10" t="s">
        <v>1019</v>
      </c>
      <c r="D181" s="13" t="s">
        <v>41</v>
      </c>
      <c r="E181" s="14" t="s">
        <v>1017</v>
      </c>
      <c r="F181" s="14" t="s">
        <v>35</v>
      </c>
      <c r="G181" s="13">
        <v>6</v>
      </c>
      <c r="H181" s="14">
        <f t="shared" si="4"/>
        <v>14</v>
      </c>
      <c r="I181" s="14">
        <v>8</v>
      </c>
      <c r="J181" s="14">
        <v>7</v>
      </c>
      <c r="K181" s="13" t="s">
        <v>3476</v>
      </c>
      <c r="L181" s="15" t="s">
        <v>1275</v>
      </c>
      <c r="M181" s="15">
        <v>9296</v>
      </c>
      <c r="N181" s="15">
        <v>3639</v>
      </c>
      <c r="O181" s="15">
        <v>192960</v>
      </c>
      <c r="P181" s="15">
        <v>736390</v>
      </c>
      <c r="Q181" s="15"/>
    </row>
    <row r="182" spans="1:17" ht="33.75" x14ac:dyDescent="0.25">
      <c r="A182" s="11" t="s">
        <v>3138</v>
      </c>
      <c r="B182" s="13" t="s">
        <v>953</v>
      </c>
      <c r="C182" s="10" t="s">
        <v>1021</v>
      </c>
      <c r="D182" s="13" t="s">
        <v>3167</v>
      </c>
      <c r="E182" s="14" t="s">
        <v>1017</v>
      </c>
      <c r="F182" s="14" t="s">
        <v>35</v>
      </c>
      <c r="G182" s="13">
        <v>4</v>
      </c>
      <c r="H182" s="14">
        <f t="shared" si="4"/>
        <v>4</v>
      </c>
      <c r="J182" s="14">
        <v>2</v>
      </c>
      <c r="K182" s="13" t="s">
        <v>3168</v>
      </c>
      <c r="L182" s="15" t="s">
        <v>956</v>
      </c>
      <c r="M182" s="15">
        <v>6926</v>
      </c>
      <c r="N182" s="15">
        <v>4334</v>
      </c>
      <c r="O182" s="15">
        <v>169260</v>
      </c>
      <c r="P182" s="15">
        <v>643340</v>
      </c>
      <c r="Q182" s="15"/>
    </row>
    <row r="183" spans="1:17" ht="22.5" x14ac:dyDescent="0.25">
      <c r="A183" s="11" t="s">
        <v>3138</v>
      </c>
      <c r="B183" s="13" t="s">
        <v>953</v>
      </c>
      <c r="C183" s="10" t="s">
        <v>3169</v>
      </c>
      <c r="D183" s="13" t="s">
        <v>41</v>
      </c>
      <c r="E183" s="13" t="s">
        <v>3170</v>
      </c>
      <c r="F183" s="14" t="s">
        <v>35</v>
      </c>
      <c r="G183" s="13"/>
      <c r="H183" s="14">
        <f t="shared" si="4"/>
        <v>1</v>
      </c>
      <c r="I183" s="14">
        <v>1</v>
      </c>
      <c r="J183" s="14">
        <v>1</v>
      </c>
      <c r="K183" s="13" t="s">
        <v>3148</v>
      </c>
      <c r="L183" s="15" t="s">
        <v>956</v>
      </c>
      <c r="M183" s="15">
        <v>7201</v>
      </c>
      <c r="N183" s="15">
        <v>928</v>
      </c>
      <c r="O183" s="15">
        <v>172010</v>
      </c>
      <c r="P183" s="15">
        <v>609280</v>
      </c>
      <c r="Q183" s="15"/>
    </row>
    <row r="184" spans="1:17" ht="22.5" x14ac:dyDescent="0.25">
      <c r="A184" s="11" t="s">
        <v>3138</v>
      </c>
      <c r="B184" s="13" t="s">
        <v>953</v>
      </c>
      <c r="C184" s="10" t="s">
        <v>3673</v>
      </c>
      <c r="D184" s="13" t="s">
        <v>1033</v>
      </c>
      <c r="E184" s="13" t="s">
        <v>732</v>
      </c>
      <c r="F184" s="14" t="s">
        <v>35</v>
      </c>
      <c r="G184" s="13"/>
      <c r="H184" s="14">
        <f t="shared" si="4"/>
        <v>1</v>
      </c>
      <c r="I184" s="14">
        <v>1</v>
      </c>
      <c r="J184" s="14">
        <v>1</v>
      </c>
      <c r="K184" s="13" t="s">
        <v>3671</v>
      </c>
      <c r="L184" s="15" t="s">
        <v>956</v>
      </c>
      <c r="M184" s="15">
        <v>3582</v>
      </c>
      <c r="N184" s="15">
        <v>8797</v>
      </c>
      <c r="O184" s="15">
        <v>135820</v>
      </c>
      <c r="P184" s="15">
        <v>687970</v>
      </c>
      <c r="Q184" s="15"/>
    </row>
    <row r="185" spans="1:17" ht="22.5" x14ac:dyDescent="0.25">
      <c r="A185" s="11" t="s">
        <v>3138</v>
      </c>
      <c r="B185" s="13" t="s">
        <v>953</v>
      </c>
      <c r="C185" s="10" t="s">
        <v>3164</v>
      </c>
      <c r="D185" s="13" t="s">
        <v>1033</v>
      </c>
      <c r="E185" s="13" t="s">
        <v>3165</v>
      </c>
      <c r="F185" s="14" t="s">
        <v>35</v>
      </c>
      <c r="G185" s="13"/>
      <c r="H185" s="14">
        <f t="shared" si="4"/>
        <v>3</v>
      </c>
      <c r="I185" s="14">
        <v>3</v>
      </c>
      <c r="J185" s="14">
        <v>3</v>
      </c>
      <c r="K185" s="13" t="s">
        <v>3694</v>
      </c>
      <c r="L185" s="15" t="s">
        <v>1275</v>
      </c>
      <c r="M185" s="15">
        <v>8474</v>
      </c>
      <c r="N185" s="15">
        <v>2935</v>
      </c>
      <c r="O185" s="15">
        <v>184740</v>
      </c>
      <c r="P185" s="15">
        <v>729350</v>
      </c>
      <c r="Q185" s="15"/>
    </row>
    <row r="186" spans="1:17" ht="22.5" x14ac:dyDescent="0.25">
      <c r="A186" s="11" t="s">
        <v>3138</v>
      </c>
      <c r="B186" s="13" t="s">
        <v>953</v>
      </c>
      <c r="C186" s="10" t="s">
        <v>3670</v>
      </c>
      <c r="D186" s="13" t="s">
        <v>1033</v>
      </c>
      <c r="E186" s="13" t="s">
        <v>732</v>
      </c>
      <c r="F186" s="14" t="s">
        <v>35</v>
      </c>
      <c r="G186" s="13"/>
      <c r="H186" s="14">
        <f t="shared" si="4"/>
        <v>2</v>
      </c>
      <c r="I186" s="14">
        <v>2</v>
      </c>
      <c r="J186" s="14">
        <v>1</v>
      </c>
      <c r="K186" s="13" t="s">
        <v>3671</v>
      </c>
      <c r="L186" s="15" t="s">
        <v>956</v>
      </c>
      <c r="M186" s="15">
        <v>3605</v>
      </c>
      <c r="N186" s="15">
        <v>8857</v>
      </c>
      <c r="O186" s="15">
        <v>136050</v>
      </c>
      <c r="P186" s="15">
        <v>688570</v>
      </c>
      <c r="Q186" s="15"/>
    </row>
    <row r="187" spans="1:17" x14ac:dyDescent="0.25">
      <c r="A187" s="11" t="s">
        <v>3138</v>
      </c>
      <c r="B187" s="13" t="s">
        <v>953</v>
      </c>
      <c r="C187" s="10" t="s">
        <v>3679</v>
      </c>
      <c r="D187" s="13" t="s">
        <v>3247</v>
      </c>
      <c r="E187" s="13" t="s">
        <v>1017</v>
      </c>
      <c r="F187" s="14" t="s">
        <v>35</v>
      </c>
      <c r="G187" s="13"/>
      <c r="H187" s="14">
        <f t="shared" si="4"/>
        <v>1</v>
      </c>
      <c r="I187" s="14">
        <v>1</v>
      </c>
      <c r="J187" s="14">
        <v>1</v>
      </c>
      <c r="K187" s="13" t="s">
        <v>3680</v>
      </c>
      <c r="L187" s="15" t="s">
        <v>956</v>
      </c>
      <c r="M187" s="15">
        <v>9874</v>
      </c>
      <c r="N187" s="15">
        <v>9736</v>
      </c>
      <c r="O187" s="15">
        <v>198740</v>
      </c>
      <c r="P187" s="15">
        <v>697360</v>
      </c>
      <c r="Q187" s="15"/>
    </row>
    <row r="188" spans="1:17" ht="22.5" x14ac:dyDescent="0.25">
      <c r="A188" s="11" t="s">
        <v>3138</v>
      </c>
      <c r="B188" s="13" t="s">
        <v>953</v>
      </c>
      <c r="C188" s="10" t="s">
        <v>1491</v>
      </c>
      <c r="D188" s="13" t="s">
        <v>41</v>
      </c>
      <c r="E188" s="14" t="s">
        <v>728</v>
      </c>
      <c r="F188" s="14" t="s">
        <v>35</v>
      </c>
      <c r="G188" s="13"/>
      <c r="H188" s="14">
        <f t="shared" si="4"/>
        <v>1</v>
      </c>
      <c r="I188" s="14">
        <v>1</v>
      </c>
      <c r="J188" s="14">
        <v>1</v>
      </c>
      <c r="K188" s="13" t="s">
        <v>3162</v>
      </c>
      <c r="L188" s="15" t="s">
        <v>429</v>
      </c>
      <c r="M188" s="15">
        <v>745</v>
      </c>
      <c r="N188" s="15">
        <v>68263</v>
      </c>
      <c r="O188" s="15">
        <v>200745</v>
      </c>
      <c r="P188" s="15">
        <v>668263</v>
      </c>
      <c r="Q188" s="15"/>
    </row>
    <row r="189" spans="1:17" ht="22.5" x14ac:dyDescent="0.25">
      <c r="A189" s="11" t="s">
        <v>3138</v>
      </c>
      <c r="B189" s="13" t="s">
        <v>953</v>
      </c>
      <c r="C189" s="10" t="s">
        <v>2608</v>
      </c>
      <c r="D189" s="13" t="s">
        <v>41</v>
      </c>
      <c r="E189" s="14" t="s">
        <v>1004</v>
      </c>
      <c r="F189" s="14" t="s">
        <v>35</v>
      </c>
      <c r="G189" s="13"/>
      <c r="H189" s="14">
        <f t="shared" si="4"/>
        <v>1</v>
      </c>
      <c r="I189" s="14">
        <v>1</v>
      </c>
      <c r="J189" s="14">
        <v>1</v>
      </c>
      <c r="K189" s="13" t="s">
        <v>3455</v>
      </c>
      <c r="L189" s="15" t="s">
        <v>956</v>
      </c>
      <c r="M189" s="15">
        <v>828</v>
      </c>
      <c r="N189" s="15">
        <v>979</v>
      </c>
      <c r="O189" s="15">
        <v>182800</v>
      </c>
      <c r="P189" s="15">
        <v>697900</v>
      </c>
      <c r="Q189" s="15"/>
    </row>
    <row r="190" spans="1:17" ht="45" x14ac:dyDescent="0.25">
      <c r="A190" s="11" t="s">
        <v>3138</v>
      </c>
      <c r="B190" s="13" t="s">
        <v>953</v>
      </c>
      <c r="C190" s="17" t="s">
        <v>3241</v>
      </c>
      <c r="D190" s="13" t="s">
        <v>3537</v>
      </c>
      <c r="E190" s="14" t="s">
        <v>3535</v>
      </c>
      <c r="F190" s="14" t="s">
        <v>35</v>
      </c>
      <c r="G190" s="13">
        <v>1</v>
      </c>
      <c r="H190" s="14">
        <f t="shared" si="4"/>
        <v>2</v>
      </c>
      <c r="I190" s="14">
        <v>1</v>
      </c>
      <c r="J190" s="14">
        <v>2</v>
      </c>
      <c r="K190" s="13" t="s">
        <v>3536</v>
      </c>
      <c r="L190" s="15" t="s">
        <v>956</v>
      </c>
      <c r="M190" s="15">
        <v>341</v>
      </c>
      <c r="N190" s="15">
        <v>628</v>
      </c>
      <c r="O190" s="15">
        <v>134100</v>
      </c>
      <c r="P190" s="15">
        <v>662800</v>
      </c>
      <c r="Q190" s="15"/>
    </row>
    <row r="191" spans="1:17" ht="25.5" x14ac:dyDescent="0.25">
      <c r="A191" s="11" t="s">
        <v>3138</v>
      </c>
      <c r="B191" s="13" t="s">
        <v>953</v>
      </c>
      <c r="C191" s="17" t="s">
        <v>3166</v>
      </c>
      <c r="D191" s="13" t="s">
        <v>1033</v>
      </c>
      <c r="E191" s="13" t="s">
        <v>3165</v>
      </c>
      <c r="F191" s="14" t="s">
        <v>35</v>
      </c>
      <c r="G191" s="13"/>
      <c r="H191" s="14">
        <f t="shared" si="4"/>
        <v>2</v>
      </c>
      <c r="I191" s="14">
        <v>2</v>
      </c>
      <c r="J191" s="14">
        <v>2</v>
      </c>
      <c r="K191" s="13" t="s">
        <v>3695</v>
      </c>
      <c r="L191" s="15" t="s">
        <v>1275</v>
      </c>
      <c r="M191" s="15">
        <v>8546</v>
      </c>
      <c r="N191" s="15">
        <v>2888</v>
      </c>
      <c r="O191" s="15">
        <v>185460</v>
      </c>
      <c r="P191" s="15">
        <v>728880</v>
      </c>
      <c r="Q191" s="15"/>
    </row>
    <row r="192" spans="1:17" x14ac:dyDescent="0.25">
      <c r="A192" s="11" t="s">
        <v>3138</v>
      </c>
      <c r="B192" s="13" t="s">
        <v>953</v>
      </c>
      <c r="C192" s="10" t="s">
        <v>1412</v>
      </c>
      <c r="D192" s="13" t="s">
        <v>39</v>
      </c>
      <c r="E192" s="14" t="s">
        <v>728</v>
      </c>
      <c r="F192" s="14" t="s">
        <v>35</v>
      </c>
      <c r="G192" s="13"/>
      <c r="H192" s="14">
        <f t="shared" si="4"/>
        <v>1</v>
      </c>
      <c r="I192" s="14">
        <v>1</v>
      </c>
      <c r="J192" s="14">
        <v>1</v>
      </c>
      <c r="K192" s="13" t="s">
        <v>3150</v>
      </c>
      <c r="L192" s="15" t="s">
        <v>429</v>
      </c>
      <c r="M192" s="15">
        <v>85</v>
      </c>
      <c r="N192" s="15">
        <v>635</v>
      </c>
      <c r="O192" s="15">
        <v>208500</v>
      </c>
      <c r="P192" s="15">
        <v>663500</v>
      </c>
      <c r="Q192" s="15"/>
    </row>
    <row r="193" spans="1:17" ht="33.75" x14ac:dyDescent="0.25">
      <c r="A193" s="11" t="s">
        <v>3138</v>
      </c>
      <c r="B193" s="13" t="s">
        <v>953</v>
      </c>
      <c r="C193" s="10" t="s">
        <v>3456</v>
      </c>
      <c r="D193" s="13" t="s">
        <v>3457</v>
      </c>
      <c r="E193" s="14" t="s">
        <v>1004</v>
      </c>
      <c r="F193" s="14" t="s">
        <v>35</v>
      </c>
      <c r="G193" s="13"/>
      <c r="H193" s="14">
        <f t="shared" si="4"/>
        <v>1</v>
      </c>
      <c r="I193" s="14">
        <v>1</v>
      </c>
      <c r="J193" s="14">
        <v>1</v>
      </c>
      <c r="K193" s="13" t="s">
        <v>3455</v>
      </c>
      <c r="L193" s="15" t="s">
        <v>956</v>
      </c>
      <c r="M193" s="15">
        <v>9319</v>
      </c>
      <c r="N193" s="15">
        <v>9933</v>
      </c>
      <c r="O193" s="15">
        <v>193190</v>
      </c>
      <c r="P193" s="15">
        <v>699330</v>
      </c>
      <c r="Q193" s="15"/>
    </row>
    <row r="194" spans="1:17" ht="22.5" x14ac:dyDescent="0.25">
      <c r="A194" s="11" t="s">
        <v>3138</v>
      </c>
      <c r="B194" s="13" t="s">
        <v>394</v>
      </c>
      <c r="C194" s="10" t="s">
        <v>3359</v>
      </c>
      <c r="D194" s="13" t="s">
        <v>3352</v>
      </c>
      <c r="E194" s="14" t="s">
        <v>1014</v>
      </c>
      <c r="F194" s="14" t="s">
        <v>35</v>
      </c>
      <c r="G194" s="13">
        <v>1</v>
      </c>
      <c r="H194" s="14">
        <f t="shared" si="4"/>
        <v>1</v>
      </c>
      <c r="J194" s="14">
        <v>1</v>
      </c>
      <c r="K194" s="13" t="s">
        <v>3360</v>
      </c>
      <c r="L194" s="15" t="s">
        <v>398</v>
      </c>
      <c r="M194" s="15">
        <v>740</v>
      </c>
      <c r="N194" s="15">
        <v>179</v>
      </c>
      <c r="O194" s="15">
        <v>374000</v>
      </c>
      <c r="P194" s="15">
        <v>617900</v>
      </c>
      <c r="Q194" s="15"/>
    </row>
    <row r="195" spans="1:17" x14ac:dyDescent="0.25">
      <c r="A195" s="11" t="s">
        <v>3138</v>
      </c>
      <c r="B195" s="13" t="s">
        <v>238</v>
      </c>
      <c r="C195" s="10" t="s">
        <v>239</v>
      </c>
      <c r="D195" s="13" t="s">
        <v>26</v>
      </c>
      <c r="E195" s="14" t="s">
        <v>236</v>
      </c>
      <c r="F195" s="14" t="s">
        <v>35</v>
      </c>
      <c r="G195" s="13"/>
      <c r="H195" s="14">
        <f t="shared" si="4"/>
        <v>1</v>
      </c>
      <c r="I195" s="14">
        <v>1</v>
      </c>
      <c r="J195" s="14">
        <v>1</v>
      </c>
      <c r="K195" s="13" t="s">
        <v>3491</v>
      </c>
      <c r="L195" s="15" t="s">
        <v>133</v>
      </c>
      <c r="M195" s="15">
        <v>2601</v>
      </c>
      <c r="N195" s="15">
        <v>4420</v>
      </c>
      <c r="O195" s="15">
        <v>326010</v>
      </c>
      <c r="P195" s="15">
        <v>944200</v>
      </c>
      <c r="Q195" s="15"/>
    </row>
    <row r="196" spans="1:17" ht="22.5" x14ac:dyDescent="0.25">
      <c r="A196" s="11" t="s">
        <v>3138</v>
      </c>
      <c r="B196" s="13" t="s">
        <v>238</v>
      </c>
      <c r="C196" s="10" t="s">
        <v>1080</v>
      </c>
      <c r="D196" s="13" t="s">
        <v>41</v>
      </c>
      <c r="E196" s="13" t="s">
        <v>1078</v>
      </c>
      <c r="F196" s="14" t="s">
        <v>35</v>
      </c>
      <c r="G196" s="13"/>
      <c r="H196" s="14">
        <f t="shared" si="4"/>
        <v>2</v>
      </c>
      <c r="I196" s="14">
        <v>2</v>
      </c>
      <c r="J196" s="14">
        <v>2</v>
      </c>
      <c r="K196" s="13" t="s">
        <v>3490</v>
      </c>
      <c r="L196" s="15" t="s">
        <v>133</v>
      </c>
      <c r="M196" s="15">
        <v>704</v>
      </c>
      <c r="N196" s="15">
        <v>6192</v>
      </c>
      <c r="O196" s="15">
        <v>307040</v>
      </c>
      <c r="P196" s="15">
        <v>961920</v>
      </c>
      <c r="Q196" s="15"/>
    </row>
    <row r="197" spans="1:17" ht="22.5" x14ac:dyDescent="0.25">
      <c r="A197" s="11" t="s">
        <v>3138</v>
      </c>
      <c r="B197" s="13" t="s">
        <v>238</v>
      </c>
      <c r="C197" s="10" t="s">
        <v>1077</v>
      </c>
      <c r="D197" s="13" t="s">
        <v>41</v>
      </c>
      <c r="E197" s="13" t="s">
        <v>1078</v>
      </c>
      <c r="F197" s="14" t="s">
        <v>35</v>
      </c>
      <c r="G197" s="13"/>
      <c r="H197" s="14">
        <f t="shared" si="4"/>
        <v>1</v>
      </c>
      <c r="I197" s="14">
        <v>1</v>
      </c>
      <c r="J197" s="14">
        <v>1</v>
      </c>
      <c r="K197" s="13" t="s">
        <v>3488</v>
      </c>
      <c r="L197" s="15" t="s">
        <v>133</v>
      </c>
      <c r="M197" s="15">
        <v>682</v>
      </c>
      <c r="N197" s="15">
        <v>6188</v>
      </c>
      <c r="O197" s="15">
        <v>306820</v>
      </c>
      <c r="P197" s="15">
        <v>961880</v>
      </c>
      <c r="Q197" s="15"/>
    </row>
    <row r="198" spans="1:17" ht="22.5" x14ac:dyDescent="0.25">
      <c r="A198" s="11" t="s">
        <v>3138</v>
      </c>
      <c r="B198" s="13" t="s">
        <v>226</v>
      </c>
      <c r="C198" s="10" t="s">
        <v>961</v>
      </c>
      <c r="D198" s="13" t="s">
        <v>26</v>
      </c>
      <c r="E198" s="13" t="s">
        <v>228</v>
      </c>
      <c r="F198" s="14" t="s">
        <v>35</v>
      </c>
      <c r="G198" s="13">
        <v>4</v>
      </c>
      <c r="H198" s="14">
        <f t="shared" si="4"/>
        <v>14</v>
      </c>
      <c r="I198" s="14">
        <v>10</v>
      </c>
      <c r="J198" s="14">
        <v>7</v>
      </c>
      <c r="K198" s="13" t="s">
        <v>3493</v>
      </c>
      <c r="L198" s="15" t="s">
        <v>229</v>
      </c>
      <c r="M198" s="15">
        <v>51820</v>
      </c>
      <c r="N198" s="15">
        <v>54045</v>
      </c>
      <c r="O198" s="15">
        <v>251820</v>
      </c>
      <c r="P198" s="15">
        <v>554045</v>
      </c>
      <c r="Q198" s="15"/>
    </row>
    <row r="199" spans="1:17" ht="22.5" x14ac:dyDescent="0.25">
      <c r="A199" s="11" t="s">
        <v>3138</v>
      </c>
      <c r="B199" s="13" t="s">
        <v>226</v>
      </c>
      <c r="C199" s="10" t="s">
        <v>2064</v>
      </c>
      <c r="D199" s="13" t="s">
        <v>2065</v>
      </c>
      <c r="E199" s="13" t="s">
        <v>228</v>
      </c>
      <c r="F199" s="14" t="s">
        <v>35</v>
      </c>
      <c r="G199" s="13"/>
      <c r="H199" s="14">
        <f t="shared" ref="H199:H235" si="5">G199+I199</f>
        <v>5</v>
      </c>
      <c r="I199" s="14">
        <v>5</v>
      </c>
      <c r="J199" s="14">
        <v>1</v>
      </c>
      <c r="K199" s="13" t="s">
        <v>3455</v>
      </c>
      <c r="L199" s="15" t="s">
        <v>229</v>
      </c>
      <c r="M199" s="15">
        <v>149245</v>
      </c>
      <c r="N199" s="15">
        <v>57403</v>
      </c>
      <c r="O199" s="15">
        <v>214924</v>
      </c>
      <c r="P199" s="15">
        <v>557403</v>
      </c>
      <c r="Q199" s="15"/>
    </row>
    <row r="200" spans="1:17" x14ac:dyDescent="0.25">
      <c r="A200" s="11" t="s">
        <v>3138</v>
      </c>
      <c r="B200" s="13" t="s">
        <v>226</v>
      </c>
      <c r="C200" s="10" t="s">
        <v>3458</v>
      </c>
      <c r="D200" s="13" t="s">
        <v>3459</v>
      </c>
      <c r="E200" s="13" t="s">
        <v>3460</v>
      </c>
      <c r="F200" s="14" t="s">
        <v>35</v>
      </c>
      <c r="G200" s="13"/>
      <c r="H200" s="14">
        <f>G200+I200</f>
        <v>4</v>
      </c>
      <c r="I200" s="14">
        <v>4</v>
      </c>
      <c r="J200" s="14">
        <v>3</v>
      </c>
      <c r="K200" s="13" t="s">
        <v>3462</v>
      </c>
      <c r="L200" s="15" t="s">
        <v>229</v>
      </c>
      <c r="M200" s="15">
        <v>95960</v>
      </c>
      <c r="N200" s="15">
        <v>80380</v>
      </c>
      <c r="O200" s="15">
        <v>295960</v>
      </c>
      <c r="P200" s="15">
        <v>580380</v>
      </c>
      <c r="Q200" s="15"/>
    </row>
    <row r="201" spans="1:17" x14ac:dyDescent="0.25">
      <c r="A201" s="11" t="s">
        <v>3138</v>
      </c>
      <c r="B201" s="13" t="s">
        <v>226</v>
      </c>
      <c r="C201" s="10" t="s">
        <v>3461</v>
      </c>
      <c r="D201" s="13" t="s">
        <v>3459</v>
      </c>
      <c r="E201" s="13" t="s">
        <v>3460</v>
      </c>
      <c r="F201" s="14" t="s">
        <v>35</v>
      </c>
      <c r="G201" s="13"/>
      <c r="H201" s="14">
        <f>G201+I201</f>
        <v>3</v>
      </c>
      <c r="I201" s="14">
        <v>3</v>
      </c>
      <c r="J201" s="14">
        <v>2</v>
      </c>
      <c r="K201" s="13" t="s">
        <v>3463</v>
      </c>
      <c r="L201" s="15" t="s">
        <v>229</v>
      </c>
      <c r="M201" s="15">
        <v>95960</v>
      </c>
      <c r="N201" s="15">
        <v>80380</v>
      </c>
      <c r="O201" s="15">
        <v>295960</v>
      </c>
      <c r="P201" s="15">
        <v>580380</v>
      </c>
      <c r="Q201" s="15"/>
    </row>
    <row r="202" spans="1:17" ht="33.75" x14ac:dyDescent="0.25">
      <c r="A202" s="11" t="s">
        <v>3138</v>
      </c>
      <c r="B202" s="13" t="s">
        <v>226</v>
      </c>
      <c r="C202" s="10" t="s">
        <v>963</v>
      </c>
      <c r="D202" s="13" t="s">
        <v>3421</v>
      </c>
      <c r="E202" s="13" t="s">
        <v>228</v>
      </c>
      <c r="F202" s="14" t="s">
        <v>35</v>
      </c>
      <c r="G202" s="13"/>
      <c r="H202" s="14">
        <f t="shared" si="5"/>
        <v>5</v>
      </c>
      <c r="I202" s="14">
        <v>5</v>
      </c>
      <c r="J202" s="14">
        <v>4</v>
      </c>
      <c r="K202" s="13" t="s">
        <v>3445</v>
      </c>
      <c r="L202" s="15" t="s">
        <v>229</v>
      </c>
      <c r="M202" s="15">
        <v>9688</v>
      </c>
      <c r="N202" s="15">
        <v>6507</v>
      </c>
      <c r="O202" s="15">
        <v>296880</v>
      </c>
      <c r="P202" s="15">
        <v>565070</v>
      </c>
      <c r="Q202" s="15"/>
    </row>
    <row r="203" spans="1:17" x14ac:dyDescent="0.25">
      <c r="A203" s="11" t="s">
        <v>3138</v>
      </c>
      <c r="B203" s="13" t="s">
        <v>226</v>
      </c>
      <c r="C203" s="10" t="s">
        <v>3390</v>
      </c>
      <c r="D203" s="13" t="s">
        <v>39</v>
      </c>
      <c r="E203" s="13" t="s">
        <v>3391</v>
      </c>
      <c r="F203" s="14" t="s">
        <v>35</v>
      </c>
      <c r="G203" s="13">
        <v>1</v>
      </c>
      <c r="H203" s="14">
        <f>G203+I203</f>
        <v>7</v>
      </c>
      <c r="I203" s="14">
        <v>6</v>
      </c>
      <c r="J203" s="14">
        <v>6</v>
      </c>
      <c r="K203" s="13" t="s">
        <v>3556</v>
      </c>
      <c r="L203" s="15" t="s">
        <v>166</v>
      </c>
      <c r="M203" s="15">
        <v>1336</v>
      </c>
      <c r="N203" s="15">
        <v>8271</v>
      </c>
      <c r="O203" s="15">
        <v>313360</v>
      </c>
      <c r="P203" s="15">
        <v>582710</v>
      </c>
      <c r="Q203" s="15"/>
    </row>
    <row r="204" spans="1:17" ht="22.5" x14ac:dyDescent="0.25">
      <c r="A204" s="11" t="s">
        <v>3138</v>
      </c>
      <c r="B204" s="13" t="s">
        <v>226</v>
      </c>
      <c r="C204" s="10" t="s">
        <v>227</v>
      </c>
      <c r="D204" s="13" t="s">
        <v>41</v>
      </c>
      <c r="E204" s="13" t="s">
        <v>228</v>
      </c>
      <c r="F204" s="14" t="s">
        <v>35</v>
      </c>
      <c r="G204" s="13">
        <v>3</v>
      </c>
      <c r="H204" s="14">
        <f t="shared" si="5"/>
        <v>7</v>
      </c>
      <c r="I204" s="14">
        <v>4</v>
      </c>
      <c r="J204" s="14">
        <v>3</v>
      </c>
      <c r="K204" s="13" t="s">
        <v>3494</v>
      </c>
      <c r="L204" s="15" t="s">
        <v>229</v>
      </c>
      <c r="M204" s="15">
        <v>1867</v>
      </c>
      <c r="N204" s="15">
        <v>6100</v>
      </c>
      <c r="O204" s="15">
        <v>218670</v>
      </c>
      <c r="P204" s="15">
        <v>561000</v>
      </c>
      <c r="Q204" s="15"/>
    </row>
    <row r="205" spans="1:17" ht="22.5" x14ac:dyDescent="0.25">
      <c r="A205" s="11" t="s">
        <v>3138</v>
      </c>
      <c r="B205" s="13" t="s">
        <v>226</v>
      </c>
      <c r="C205" s="10" t="s">
        <v>248</v>
      </c>
      <c r="D205" s="13" t="s">
        <v>41</v>
      </c>
      <c r="E205" s="13" t="s">
        <v>228</v>
      </c>
      <c r="F205" s="14" t="s">
        <v>35</v>
      </c>
      <c r="G205" s="13"/>
      <c r="H205" s="14">
        <f t="shared" si="5"/>
        <v>1</v>
      </c>
      <c r="I205" s="14">
        <v>1</v>
      </c>
      <c r="J205" s="14">
        <v>1</v>
      </c>
      <c r="K205" s="13" t="s">
        <v>3488</v>
      </c>
      <c r="L205" s="15" t="s">
        <v>229</v>
      </c>
      <c r="M205" s="15">
        <v>1877</v>
      </c>
      <c r="N205" s="15">
        <v>6093</v>
      </c>
      <c r="O205" s="15">
        <v>218770</v>
      </c>
      <c r="P205" s="15">
        <v>560930</v>
      </c>
      <c r="Q205" s="15"/>
    </row>
    <row r="206" spans="1:17" x14ac:dyDescent="0.25">
      <c r="A206" s="11" t="s">
        <v>3138</v>
      </c>
      <c r="B206" s="13" t="s">
        <v>226</v>
      </c>
      <c r="C206" s="10" t="s">
        <v>3293</v>
      </c>
      <c r="D206" s="13" t="s">
        <v>18</v>
      </c>
      <c r="E206" s="13" t="s">
        <v>3067</v>
      </c>
      <c r="F206" s="14" t="s">
        <v>35</v>
      </c>
      <c r="G206" s="13"/>
      <c r="H206" s="14">
        <f>G206+I206</f>
        <v>6</v>
      </c>
      <c r="I206" s="14">
        <v>6</v>
      </c>
      <c r="J206" s="14">
        <v>3</v>
      </c>
      <c r="K206" s="13" t="s">
        <v>3294</v>
      </c>
      <c r="L206" s="15" t="s">
        <v>229</v>
      </c>
      <c r="M206" s="15">
        <v>9538</v>
      </c>
      <c r="N206" s="15">
        <v>7213</v>
      </c>
      <c r="O206" s="15">
        <v>295380</v>
      </c>
      <c r="P206" s="15">
        <v>572130</v>
      </c>
      <c r="Q206" s="15"/>
    </row>
    <row r="207" spans="1:17" ht="33.75" x14ac:dyDescent="0.25">
      <c r="A207" s="11" t="s">
        <v>3138</v>
      </c>
      <c r="B207" s="13" t="s">
        <v>226</v>
      </c>
      <c r="C207" s="10" t="s">
        <v>3422</v>
      </c>
      <c r="D207" s="13" t="s">
        <v>3421</v>
      </c>
      <c r="E207" s="13" t="s">
        <v>228</v>
      </c>
      <c r="F207" s="14" t="s">
        <v>35</v>
      </c>
      <c r="G207" s="13"/>
      <c r="H207" s="14">
        <f>G207+I207</f>
        <v>2</v>
      </c>
      <c r="I207" s="14">
        <v>2</v>
      </c>
      <c r="J207" s="14">
        <v>2</v>
      </c>
      <c r="K207" s="13" t="s">
        <v>3446</v>
      </c>
      <c r="L207" s="15" t="s">
        <v>229</v>
      </c>
      <c r="M207" s="15">
        <v>9239</v>
      </c>
      <c r="N207" s="15">
        <v>6142</v>
      </c>
      <c r="O207" s="15">
        <v>292390</v>
      </c>
      <c r="P207" s="15">
        <v>561420</v>
      </c>
      <c r="Q207" s="15"/>
    </row>
    <row r="208" spans="1:17" ht="22.5" x14ac:dyDescent="0.25">
      <c r="A208" s="11" t="s">
        <v>3138</v>
      </c>
      <c r="B208" s="13" t="s">
        <v>998</v>
      </c>
      <c r="C208" s="17" t="s">
        <v>3370</v>
      </c>
      <c r="D208" s="13" t="s">
        <v>1000</v>
      </c>
      <c r="E208" s="13" t="s">
        <v>1001</v>
      </c>
      <c r="F208" s="14" t="s">
        <v>35</v>
      </c>
      <c r="G208" s="13"/>
      <c r="H208" s="14">
        <f>G208+I208</f>
        <v>1</v>
      </c>
      <c r="I208" s="14">
        <v>1</v>
      </c>
      <c r="J208" s="14">
        <v>1</v>
      </c>
      <c r="K208" s="13" t="s">
        <v>3367</v>
      </c>
      <c r="L208" s="15" t="s">
        <v>398</v>
      </c>
      <c r="M208" s="15">
        <v>6870</v>
      </c>
      <c r="N208" s="15">
        <v>7553</v>
      </c>
      <c r="O208" s="15">
        <v>368700</v>
      </c>
      <c r="P208" s="15">
        <v>675530</v>
      </c>
      <c r="Q208" s="15"/>
    </row>
    <row r="209" spans="1:17" ht="25.5" x14ac:dyDescent="0.25">
      <c r="A209" s="11" t="s">
        <v>3138</v>
      </c>
      <c r="B209" s="13" t="s">
        <v>998</v>
      </c>
      <c r="C209" s="17" t="s">
        <v>3255</v>
      </c>
      <c r="D209" s="13" t="s">
        <v>1000</v>
      </c>
      <c r="E209" s="13" t="s">
        <v>1001</v>
      </c>
      <c r="F209" s="14" t="s">
        <v>35</v>
      </c>
      <c r="G209" s="13">
        <v>1</v>
      </c>
      <c r="H209" s="14">
        <f>G209+I209</f>
        <v>10</v>
      </c>
      <c r="I209" s="14">
        <v>9</v>
      </c>
      <c r="J209" s="14">
        <v>8</v>
      </c>
      <c r="K209" s="13" t="s">
        <v>3690</v>
      </c>
      <c r="L209" s="15" t="s">
        <v>398</v>
      </c>
      <c r="M209" s="15">
        <v>66710</v>
      </c>
      <c r="N209" s="15">
        <v>77389</v>
      </c>
      <c r="O209" s="15">
        <v>366710</v>
      </c>
      <c r="P209" s="15">
        <v>677389</v>
      </c>
      <c r="Q209" s="15"/>
    </row>
    <row r="210" spans="1:17" ht="22.5" x14ac:dyDescent="0.25">
      <c r="A210" s="11" t="s">
        <v>3138</v>
      </c>
      <c r="B210" s="13" t="s">
        <v>998</v>
      </c>
      <c r="C210" s="17" t="s">
        <v>3269</v>
      </c>
      <c r="D210" s="13" t="s">
        <v>1000</v>
      </c>
      <c r="E210" s="13" t="s">
        <v>1001</v>
      </c>
      <c r="F210" s="14" t="s">
        <v>35</v>
      </c>
      <c r="G210" s="13"/>
      <c r="H210" s="14">
        <f t="shared" si="5"/>
        <v>2</v>
      </c>
      <c r="I210" s="14">
        <v>2</v>
      </c>
      <c r="J210" s="14">
        <v>1</v>
      </c>
      <c r="K210" s="13" t="s">
        <v>3271</v>
      </c>
      <c r="L210" s="15" t="s">
        <v>398</v>
      </c>
      <c r="M210" s="15">
        <v>66710</v>
      </c>
      <c r="N210" s="15">
        <v>77389</v>
      </c>
      <c r="O210" s="15">
        <v>366710</v>
      </c>
      <c r="P210" s="15">
        <v>677389</v>
      </c>
      <c r="Q210" s="15"/>
    </row>
    <row r="211" spans="1:17" ht="22.5" x14ac:dyDescent="0.25">
      <c r="A211" s="11" t="s">
        <v>3138</v>
      </c>
      <c r="B211" s="13" t="s">
        <v>998</v>
      </c>
      <c r="C211" s="17" t="s">
        <v>3270</v>
      </c>
      <c r="D211" s="13" t="s">
        <v>1000</v>
      </c>
      <c r="E211" s="13" t="s">
        <v>1001</v>
      </c>
      <c r="F211" s="14" t="s">
        <v>35</v>
      </c>
      <c r="G211" s="13"/>
      <c r="H211" s="14">
        <f>G211+I211</f>
        <v>3</v>
      </c>
      <c r="I211" s="14">
        <v>3</v>
      </c>
      <c r="J211" s="14">
        <v>2</v>
      </c>
      <c r="K211" s="13" t="s">
        <v>3272</v>
      </c>
      <c r="L211" s="15" t="s">
        <v>398</v>
      </c>
      <c r="M211" s="15">
        <v>66710</v>
      </c>
      <c r="N211" s="15">
        <v>77389</v>
      </c>
      <c r="O211" s="15">
        <v>366710</v>
      </c>
      <c r="P211" s="15">
        <v>677389</v>
      </c>
      <c r="Q211" s="15"/>
    </row>
    <row r="212" spans="1:17" ht="33.75" x14ac:dyDescent="0.25">
      <c r="A212" s="11" t="s">
        <v>3138</v>
      </c>
      <c r="B212" s="13" t="s">
        <v>998</v>
      </c>
      <c r="C212" s="17" t="s">
        <v>3418</v>
      </c>
      <c r="D212" s="13" t="s">
        <v>3441</v>
      </c>
      <c r="E212" s="13" t="s">
        <v>3419</v>
      </c>
      <c r="F212" s="14" t="s">
        <v>35</v>
      </c>
      <c r="G212" s="13"/>
      <c r="H212" s="14">
        <f>G212+I212</f>
        <v>4</v>
      </c>
      <c r="I212" s="14">
        <v>4</v>
      </c>
      <c r="J212" s="14">
        <v>3</v>
      </c>
      <c r="K212" s="13" t="s">
        <v>3442</v>
      </c>
      <c r="L212" s="15" t="s">
        <v>398</v>
      </c>
      <c r="M212" s="15">
        <v>568</v>
      </c>
      <c r="N212" s="15">
        <v>763</v>
      </c>
      <c r="O212" s="15">
        <v>356800</v>
      </c>
      <c r="P212" s="15">
        <v>676300</v>
      </c>
      <c r="Q212" s="15"/>
    </row>
    <row r="213" spans="1:17" x14ac:dyDescent="0.25">
      <c r="A213" s="11" t="s">
        <v>3138</v>
      </c>
      <c r="B213" s="13" t="s">
        <v>407</v>
      </c>
      <c r="C213" s="10" t="s">
        <v>409</v>
      </c>
      <c r="D213" s="13" t="s">
        <v>18</v>
      </c>
      <c r="E213" s="13" t="s">
        <v>408</v>
      </c>
      <c r="F213" s="14" t="s">
        <v>35</v>
      </c>
      <c r="G213" s="13">
        <v>2</v>
      </c>
      <c r="H213" s="14">
        <f t="shared" si="5"/>
        <v>6</v>
      </c>
      <c r="I213" s="14">
        <v>4</v>
      </c>
      <c r="J213" s="14">
        <v>2</v>
      </c>
      <c r="K213" s="13" t="s">
        <v>3292</v>
      </c>
      <c r="L213" s="15" t="s">
        <v>130</v>
      </c>
      <c r="M213" s="15">
        <v>28198</v>
      </c>
      <c r="N213" s="15">
        <v>3123</v>
      </c>
      <c r="O213" s="15">
        <v>328198</v>
      </c>
      <c r="P213" s="15">
        <v>703123</v>
      </c>
      <c r="Q213" s="15"/>
    </row>
    <row r="214" spans="1:17" ht="22.5" x14ac:dyDescent="0.25">
      <c r="A214" s="11" t="s">
        <v>3138</v>
      </c>
      <c r="B214" s="13" t="s">
        <v>407</v>
      </c>
      <c r="C214" s="10" t="s">
        <v>3291</v>
      </c>
      <c r="D214" s="13" t="s">
        <v>3387</v>
      </c>
      <c r="E214" s="13" t="s">
        <v>408</v>
      </c>
      <c r="F214" s="14" t="s">
        <v>35</v>
      </c>
      <c r="G214" s="13"/>
      <c r="H214" s="14">
        <f>G214+I214</f>
        <v>4</v>
      </c>
      <c r="I214" s="14">
        <v>4</v>
      </c>
      <c r="J214" s="14">
        <v>4</v>
      </c>
      <c r="K214" s="13" t="s">
        <v>3388</v>
      </c>
      <c r="L214" s="15" t="s">
        <v>130</v>
      </c>
      <c r="M214" s="15">
        <v>28198</v>
      </c>
      <c r="N214" s="15">
        <v>3123</v>
      </c>
      <c r="O214" s="15">
        <v>328198</v>
      </c>
      <c r="P214" s="15">
        <v>703123</v>
      </c>
      <c r="Q214" s="15"/>
    </row>
    <row r="215" spans="1:17" x14ac:dyDescent="0.25">
      <c r="A215" s="11" t="s">
        <v>3138</v>
      </c>
      <c r="B215" s="13" t="s">
        <v>407</v>
      </c>
      <c r="C215" s="10" t="s">
        <v>3289</v>
      </c>
      <c r="D215" s="13" t="s">
        <v>3290</v>
      </c>
      <c r="E215" s="13" t="s">
        <v>408</v>
      </c>
      <c r="F215" s="14" t="s">
        <v>35</v>
      </c>
      <c r="G215" s="13"/>
      <c r="H215" s="14">
        <f t="shared" si="5"/>
        <v>1</v>
      </c>
      <c r="I215" s="14">
        <v>1</v>
      </c>
      <c r="J215" s="14">
        <v>1</v>
      </c>
      <c r="K215" s="13" t="s">
        <v>3286</v>
      </c>
      <c r="L215" s="15" t="s">
        <v>130</v>
      </c>
      <c r="M215" s="15">
        <v>28198</v>
      </c>
      <c r="N215" s="15">
        <v>3123</v>
      </c>
      <c r="O215" s="15">
        <v>328198</v>
      </c>
      <c r="P215" s="15">
        <v>703123</v>
      </c>
      <c r="Q215" s="15"/>
    </row>
    <row r="216" spans="1:17" ht="22.5" x14ac:dyDescent="0.25">
      <c r="A216" s="11" t="s">
        <v>3138</v>
      </c>
      <c r="B216" s="13" t="s">
        <v>407</v>
      </c>
      <c r="C216" s="10" t="s">
        <v>3354</v>
      </c>
      <c r="D216" s="13" t="s">
        <v>3352</v>
      </c>
      <c r="E216" s="13" t="s">
        <v>3354</v>
      </c>
      <c r="F216" s="14" t="s">
        <v>35</v>
      </c>
      <c r="G216" s="13">
        <v>1</v>
      </c>
      <c r="H216" s="14">
        <f>G216+I216</f>
        <v>1</v>
      </c>
      <c r="J216" s="14">
        <v>1</v>
      </c>
      <c r="K216" s="13" t="s">
        <v>3351</v>
      </c>
      <c r="L216" s="15" t="s">
        <v>398</v>
      </c>
      <c r="M216" s="15">
        <v>98</v>
      </c>
      <c r="N216" s="15">
        <v>865</v>
      </c>
      <c r="O216" s="15">
        <v>309800</v>
      </c>
      <c r="P216" s="15">
        <v>686500</v>
      </c>
      <c r="Q216" s="15"/>
    </row>
    <row r="217" spans="1:17" ht="22.5" x14ac:dyDescent="0.25">
      <c r="A217" s="11" t="s">
        <v>3138</v>
      </c>
      <c r="B217" s="13" t="s">
        <v>407</v>
      </c>
      <c r="C217" s="10" t="s">
        <v>3355</v>
      </c>
      <c r="D217" s="13" t="s">
        <v>3352</v>
      </c>
      <c r="E217" s="13" t="s">
        <v>3354</v>
      </c>
      <c r="F217" s="14" t="s">
        <v>35</v>
      </c>
      <c r="G217" s="13">
        <v>1</v>
      </c>
      <c r="H217" s="14">
        <f>G217+I217</f>
        <v>1</v>
      </c>
      <c r="J217" s="14">
        <v>1</v>
      </c>
      <c r="K217" s="13" t="s">
        <v>3351</v>
      </c>
      <c r="L217" s="15" t="s">
        <v>398</v>
      </c>
      <c r="M217" s="15">
        <v>117</v>
      </c>
      <c r="N217" s="15">
        <v>848</v>
      </c>
      <c r="O217" s="15">
        <v>311700</v>
      </c>
      <c r="P217" s="15">
        <v>684800</v>
      </c>
      <c r="Q217" s="15"/>
    </row>
    <row r="218" spans="1:17" x14ac:dyDescent="0.25">
      <c r="A218" s="11" t="s">
        <v>3138</v>
      </c>
      <c r="B218" s="13" t="s">
        <v>86</v>
      </c>
      <c r="C218" s="10" t="s">
        <v>712</v>
      </c>
      <c r="D218" s="13" t="s">
        <v>713</v>
      </c>
      <c r="E218" s="13" t="s">
        <v>714</v>
      </c>
      <c r="F218" s="14" t="s">
        <v>35</v>
      </c>
      <c r="G218" s="13">
        <v>1</v>
      </c>
      <c r="H218" s="14">
        <f t="shared" si="5"/>
        <v>1</v>
      </c>
      <c r="J218" s="14">
        <v>1</v>
      </c>
      <c r="K218" s="13" t="s">
        <v>3508</v>
      </c>
      <c r="L218" s="15" t="s">
        <v>115</v>
      </c>
      <c r="M218" s="15">
        <v>144</v>
      </c>
      <c r="N218" s="15">
        <v>650</v>
      </c>
      <c r="O218" s="15">
        <v>314400</v>
      </c>
      <c r="P218" s="15">
        <v>865000</v>
      </c>
      <c r="Q218" s="15"/>
    </row>
    <row r="219" spans="1:17" x14ac:dyDescent="0.25">
      <c r="A219" s="11" t="s">
        <v>3138</v>
      </c>
      <c r="B219" s="13" t="s">
        <v>86</v>
      </c>
      <c r="C219" s="10" t="s">
        <v>84</v>
      </c>
      <c r="D219" s="13" t="s">
        <v>100</v>
      </c>
      <c r="E219" s="14" t="s">
        <v>85</v>
      </c>
      <c r="F219" s="14" t="s">
        <v>35</v>
      </c>
      <c r="G219" s="13">
        <v>4</v>
      </c>
      <c r="H219" s="14">
        <f t="shared" si="5"/>
        <v>4</v>
      </c>
      <c r="J219" s="14">
        <v>3</v>
      </c>
      <c r="K219" s="13" t="s">
        <v>3542</v>
      </c>
      <c r="L219" s="15" t="s">
        <v>115</v>
      </c>
      <c r="M219" s="15">
        <v>3594</v>
      </c>
      <c r="N219" s="15">
        <v>5922</v>
      </c>
      <c r="O219" s="15">
        <v>335940</v>
      </c>
      <c r="P219" s="15">
        <v>859220</v>
      </c>
      <c r="Q219" s="15"/>
    </row>
    <row r="220" spans="1:17" x14ac:dyDescent="0.25">
      <c r="A220" s="11" t="s">
        <v>3138</v>
      </c>
      <c r="B220" s="13" t="s">
        <v>676</v>
      </c>
      <c r="C220" s="10" t="s">
        <v>2607</v>
      </c>
      <c r="D220" s="13" t="s">
        <v>8</v>
      </c>
      <c r="E220" s="14" t="s">
        <v>428</v>
      </c>
      <c r="F220" s="14" t="s">
        <v>35</v>
      </c>
      <c r="G220" s="13"/>
      <c r="H220" s="14">
        <f>G220+I220</f>
        <v>1</v>
      </c>
      <c r="I220" s="14">
        <v>1</v>
      </c>
      <c r="J220" s="14">
        <v>1</v>
      </c>
      <c r="K220" s="13" t="s">
        <v>3653</v>
      </c>
      <c r="L220" s="15" t="s">
        <v>956</v>
      </c>
      <c r="M220" s="15">
        <v>908</v>
      </c>
      <c r="N220" s="15">
        <v>323</v>
      </c>
      <c r="O220" s="15">
        <v>190800</v>
      </c>
      <c r="P220" s="15">
        <v>632300</v>
      </c>
      <c r="Q220" s="15"/>
    </row>
    <row r="221" spans="1:17" x14ac:dyDescent="0.25">
      <c r="A221" s="11" t="s">
        <v>3138</v>
      </c>
      <c r="B221" s="13" t="s">
        <v>676</v>
      </c>
      <c r="C221" s="10" t="s">
        <v>3250</v>
      </c>
      <c r="D221" s="13" t="s">
        <v>3247</v>
      </c>
      <c r="E221" s="14" t="s">
        <v>2300</v>
      </c>
      <c r="F221" s="14" t="s">
        <v>35</v>
      </c>
      <c r="G221" s="13"/>
      <c r="H221" s="14">
        <f>G221+I221</f>
        <v>1</v>
      </c>
      <c r="I221" s="14">
        <v>1</v>
      </c>
      <c r="J221" s="14">
        <v>1</v>
      </c>
      <c r="K221" s="13" t="s">
        <v>3249</v>
      </c>
      <c r="L221" s="15" t="s">
        <v>116</v>
      </c>
      <c r="M221" s="15">
        <v>71407</v>
      </c>
      <c r="N221" s="15">
        <v>29815</v>
      </c>
      <c r="O221" s="15">
        <v>71407</v>
      </c>
      <c r="P221" s="15">
        <v>829815</v>
      </c>
      <c r="Q221" s="15"/>
    </row>
    <row r="222" spans="1:17" ht="22.5" x14ac:dyDescent="0.25">
      <c r="A222" s="11" t="s">
        <v>3138</v>
      </c>
      <c r="B222" s="13" t="s">
        <v>249</v>
      </c>
      <c r="C222" s="10" t="s">
        <v>250</v>
      </c>
      <c r="D222" s="13" t="s">
        <v>41</v>
      </c>
      <c r="E222" s="14" t="s">
        <v>236</v>
      </c>
      <c r="F222" s="14" t="s">
        <v>35</v>
      </c>
      <c r="G222" s="13"/>
      <c r="H222" s="14">
        <f t="shared" si="5"/>
        <v>1</v>
      </c>
      <c r="I222" s="14">
        <v>1</v>
      </c>
      <c r="J222" s="14">
        <v>1</v>
      </c>
      <c r="K222" s="13" t="s">
        <v>3488</v>
      </c>
      <c r="L222" s="15" t="s">
        <v>120</v>
      </c>
      <c r="M222" s="15">
        <v>84524</v>
      </c>
      <c r="N222" s="15">
        <v>16627</v>
      </c>
      <c r="O222" s="15">
        <v>184524</v>
      </c>
      <c r="P222" s="15">
        <v>816627</v>
      </c>
      <c r="Q222" s="15"/>
    </row>
    <row r="223" spans="1:17" ht="22.5" x14ac:dyDescent="0.25">
      <c r="A223" s="11" t="s">
        <v>3138</v>
      </c>
      <c r="B223" s="13" t="s">
        <v>249</v>
      </c>
      <c r="C223" s="10" t="s">
        <v>464</v>
      </c>
      <c r="D223" s="13" t="s">
        <v>3352</v>
      </c>
      <c r="E223" s="14" t="s">
        <v>236</v>
      </c>
      <c r="F223" s="14" t="s">
        <v>35</v>
      </c>
      <c r="G223" s="13">
        <v>1</v>
      </c>
      <c r="H223" s="14">
        <f>G223+I223</f>
        <v>1</v>
      </c>
      <c r="J223" s="14">
        <v>1</v>
      </c>
      <c r="K223" s="13" t="s">
        <v>3351</v>
      </c>
      <c r="L223" s="15" t="s">
        <v>460</v>
      </c>
      <c r="M223" s="15">
        <v>666</v>
      </c>
      <c r="N223" s="15">
        <v>450</v>
      </c>
      <c r="O223" s="15">
        <v>266600</v>
      </c>
      <c r="P223" s="15">
        <v>845000</v>
      </c>
      <c r="Q223" s="15"/>
    </row>
    <row r="224" spans="1:17" ht="22.5" x14ac:dyDescent="0.25">
      <c r="A224" s="11" t="s">
        <v>3138</v>
      </c>
      <c r="B224" s="13" t="s">
        <v>1709</v>
      </c>
      <c r="C224" s="10" t="s">
        <v>3533</v>
      </c>
      <c r="D224" s="13" t="s">
        <v>3534</v>
      </c>
      <c r="E224" s="14" t="s">
        <v>1711</v>
      </c>
      <c r="F224" s="14" t="s">
        <v>35</v>
      </c>
      <c r="G224" s="13">
        <v>1</v>
      </c>
      <c r="H224" s="14">
        <f>G224+I224</f>
        <v>1</v>
      </c>
      <c r="J224" s="14">
        <v>1</v>
      </c>
      <c r="K224" s="13" t="s">
        <v>3517</v>
      </c>
      <c r="L224" s="15" t="s">
        <v>398</v>
      </c>
      <c r="M224" s="15">
        <v>1281</v>
      </c>
      <c r="N224" s="15">
        <v>7107</v>
      </c>
      <c r="O224" s="15">
        <v>312810</v>
      </c>
      <c r="P224" s="15">
        <v>671070</v>
      </c>
      <c r="Q224" s="15"/>
    </row>
    <row r="225" spans="1:17" ht="19.5" customHeight="1" x14ac:dyDescent="0.25">
      <c r="A225" s="11" t="s">
        <v>3138</v>
      </c>
      <c r="B225" s="13" t="s">
        <v>34</v>
      </c>
      <c r="C225" s="10" t="s">
        <v>155</v>
      </c>
      <c r="D225" s="13" t="s">
        <v>1207</v>
      </c>
      <c r="E225" s="13" t="s">
        <v>156</v>
      </c>
      <c r="F225" s="14" t="s">
        <v>35</v>
      </c>
      <c r="G225" s="13">
        <v>1</v>
      </c>
      <c r="H225" s="14">
        <f t="shared" si="5"/>
        <v>1</v>
      </c>
      <c r="J225" s="14">
        <v>1</v>
      </c>
      <c r="K225" s="13" t="s">
        <v>3654</v>
      </c>
      <c r="L225" s="15" t="s">
        <v>114</v>
      </c>
      <c r="M225" s="15">
        <v>4830</v>
      </c>
      <c r="N225" s="15">
        <v>5180</v>
      </c>
      <c r="O225" s="15">
        <v>348300</v>
      </c>
      <c r="P225" s="15">
        <v>1051800</v>
      </c>
      <c r="Q225" s="15"/>
    </row>
    <row r="226" spans="1:17" x14ac:dyDescent="0.25">
      <c r="A226" s="11" t="s">
        <v>3138</v>
      </c>
      <c r="B226" s="13" t="s">
        <v>34</v>
      </c>
      <c r="C226" s="10" t="s">
        <v>619</v>
      </c>
      <c r="D226" s="13" t="s">
        <v>39</v>
      </c>
      <c r="E226" s="14" t="s">
        <v>620</v>
      </c>
      <c r="F226" s="14" t="s">
        <v>35</v>
      </c>
      <c r="G226" s="13"/>
      <c r="H226" s="14">
        <f t="shared" si="5"/>
        <v>1</v>
      </c>
      <c r="I226" s="14">
        <v>1</v>
      </c>
      <c r="J226" s="14">
        <v>1</v>
      </c>
      <c r="K226" s="13" t="s">
        <v>3651</v>
      </c>
      <c r="L226" s="15" t="s">
        <v>114</v>
      </c>
      <c r="M226" s="15">
        <v>428</v>
      </c>
      <c r="N226" s="15">
        <v>493</v>
      </c>
      <c r="O226" s="15">
        <v>342800</v>
      </c>
      <c r="P226" s="15">
        <v>1049300</v>
      </c>
      <c r="Q226" s="15"/>
    </row>
    <row r="227" spans="1:17" ht="22.5" x14ac:dyDescent="0.25">
      <c r="A227" s="11" t="s">
        <v>3138</v>
      </c>
      <c r="B227" s="13" t="s">
        <v>34</v>
      </c>
      <c r="C227" s="10" t="s">
        <v>2136</v>
      </c>
      <c r="D227" s="13" t="s">
        <v>41</v>
      </c>
      <c r="E227" s="14" t="s">
        <v>33</v>
      </c>
      <c r="F227" s="14" t="s">
        <v>35</v>
      </c>
      <c r="G227" s="13"/>
      <c r="H227" s="14">
        <f t="shared" si="5"/>
        <v>1</v>
      </c>
      <c r="I227" s="14">
        <v>1</v>
      </c>
      <c r="J227" s="14">
        <v>1</v>
      </c>
      <c r="K227" s="13" t="s">
        <v>3464</v>
      </c>
      <c r="L227" s="15" t="s">
        <v>114</v>
      </c>
      <c r="M227" s="15">
        <v>3182</v>
      </c>
      <c r="N227" s="15">
        <v>1277</v>
      </c>
      <c r="O227" s="15">
        <v>331820</v>
      </c>
      <c r="P227" s="15">
        <v>1012770</v>
      </c>
      <c r="Q227" s="15"/>
    </row>
    <row r="228" spans="1:17" x14ac:dyDescent="0.25">
      <c r="A228" s="11" t="s">
        <v>3138</v>
      </c>
      <c r="B228" s="13" t="s">
        <v>34</v>
      </c>
      <c r="C228" s="10" t="s">
        <v>38</v>
      </c>
      <c r="D228" s="13" t="s">
        <v>39</v>
      </c>
      <c r="E228" s="14" t="s">
        <v>33</v>
      </c>
      <c r="F228" s="14" t="s">
        <v>35</v>
      </c>
      <c r="G228" s="13">
        <v>1</v>
      </c>
      <c r="H228" s="14">
        <f t="shared" si="5"/>
        <v>1</v>
      </c>
      <c r="J228" s="14">
        <v>1</v>
      </c>
      <c r="K228" s="13" t="s">
        <v>3654</v>
      </c>
      <c r="L228" s="15" t="s">
        <v>114</v>
      </c>
      <c r="M228" s="15">
        <v>2312</v>
      </c>
      <c r="N228" s="15">
        <v>1874</v>
      </c>
      <c r="O228" s="15">
        <v>323120</v>
      </c>
      <c r="P228" s="15">
        <v>1018740</v>
      </c>
      <c r="Q228" s="15"/>
    </row>
    <row r="229" spans="1:17" ht="22.5" x14ac:dyDescent="0.25">
      <c r="A229" s="11" t="s">
        <v>3138</v>
      </c>
      <c r="B229" s="13" t="s">
        <v>170</v>
      </c>
      <c r="C229" s="10" t="s">
        <v>1915</v>
      </c>
      <c r="D229" s="13" t="s">
        <v>3386</v>
      </c>
      <c r="E229" s="14" t="s">
        <v>167</v>
      </c>
      <c r="F229" s="14" t="s">
        <v>35</v>
      </c>
      <c r="G229" s="13"/>
      <c r="H229" s="14">
        <f t="shared" si="5"/>
        <v>1</v>
      </c>
      <c r="I229" s="14">
        <v>1</v>
      </c>
      <c r="J229" s="14">
        <v>1</v>
      </c>
      <c r="K229" s="13" t="s">
        <v>3385</v>
      </c>
      <c r="L229" s="15" t="s">
        <v>130</v>
      </c>
      <c r="M229" s="15">
        <v>17759</v>
      </c>
      <c r="N229" s="15">
        <v>41740</v>
      </c>
      <c r="O229" s="15">
        <v>317759</v>
      </c>
      <c r="P229" s="15">
        <v>741740</v>
      </c>
      <c r="Q229" s="15"/>
    </row>
    <row r="230" spans="1:17" x14ac:dyDescent="0.25">
      <c r="A230" s="11" t="s">
        <v>3138</v>
      </c>
      <c r="B230" s="13" t="s">
        <v>170</v>
      </c>
      <c r="C230" s="10" t="s">
        <v>3453</v>
      </c>
      <c r="D230" s="13" t="s">
        <v>3454</v>
      </c>
      <c r="E230" s="14" t="s">
        <v>167</v>
      </c>
      <c r="F230" s="14" t="s">
        <v>35</v>
      </c>
      <c r="G230" s="13"/>
      <c r="H230" s="14">
        <f>G230+I230</f>
        <v>2</v>
      </c>
      <c r="I230" s="14">
        <v>2</v>
      </c>
      <c r="J230" s="14">
        <v>1</v>
      </c>
      <c r="K230" s="13" t="s">
        <v>3448</v>
      </c>
      <c r="L230" s="15" t="s">
        <v>169</v>
      </c>
      <c r="M230" s="15">
        <v>8333</v>
      </c>
      <c r="N230" s="15">
        <v>4942</v>
      </c>
      <c r="O230" s="15">
        <v>283330</v>
      </c>
      <c r="P230" s="15">
        <v>749420</v>
      </c>
      <c r="Q230" s="15"/>
    </row>
    <row r="231" spans="1:17" ht="24.75" customHeight="1" x14ac:dyDescent="0.25">
      <c r="A231" s="11" t="s">
        <v>3138</v>
      </c>
      <c r="B231" s="13" t="s">
        <v>170</v>
      </c>
      <c r="C231" s="10" t="s">
        <v>1008</v>
      </c>
      <c r="D231" s="13" t="s">
        <v>1009</v>
      </c>
      <c r="E231" s="14" t="s">
        <v>1010</v>
      </c>
      <c r="F231" s="14" t="s">
        <v>35</v>
      </c>
      <c r="G231" s="13">
        <v>2</v>
      </c>
      <c r="H231" s="14">
        <f t="shared" si="5"/>
        <v>30</v>
      </c>
      <c r="I231" s="14">
        <v>28</v>
      </c>
      <c r="J231" s="14">
        <v>20</v>
      </c>
      <c r="K231" s="13" t="s">
        <v>3688</v>
      </c>
      <c r="L231" s="15" t="s">
        <v>169</v>
      </c>
      <c r="M231" s="15">
        <v>6355</v>
      </c>
      <c r="N231" s="15">
        <v>656</v>
      </c>
      <c r="O231" s="15">
        <v>263550</v>
      </c>
      <c r="P231" s="15">
        <v>706560</v>
      </c>
      <c r="Q231" s="15"/>
    </row>
    <row r="232" spans="1:17" x14ac:dyDescent="0.25">
      <c r="A232" s="11" t="s">
        <v>3138</v>
      </c>
      <c r="B232" s="13" t="s">
        <v>170</v>
      </c>
      <c r="C232" s="10" t="s">
        <v>1012</v>
      </c>
      <c r="D232" s="13" t="s">
        <v>1009</v>
      </c>
      <c r="E232" s="14" t="s">
        <v>167</v>
      </c>
      <c r="F232" s="14" t="s">
        <v>35</v>
      </c>
      <c r="G232" s="13"/>
      <c r="H232" s="14">
        <f t="shared" si="5"/>
        <v>2</v>
      </c>
      <c r="I232" s="14">
        <v>2</v>
      </c>
      <c r="J232" s="14">
        <v>2</v>
      </c>
      <c r="K232" s="13" t="s">
        <v>3384</v>
      </c>
      <c r="L232" s="15" t="s">
        <v>130</v>
      </c>
      <c r="M232" s="15">
        <v>17340</v>
      </c>
      <c r="N232" s="15">
        <v>40245</v>
      </c>
      <c r="O232" s="15">
        <v>317340</v>
      </c>
      <c r="P232" s="15">
        <v>740245</v>
      </c>
      <c r="Q232" s="15"/>
    </row>
    <row r="233" spans="1:17" ht="22.5" x14ac:dyDescent="0.25">
      <c r="A233" s="11" t="s">
        <v>3138</v>
      </c>
      <c r="B233" s="13" t="s">
        <v>170</v>
      </c>
      <c r="C233" s="10" t="s">
        <v>275</v>
      </c>
      <c r="D233" s="13" t="s">
        <v>278</v>
      </c>
      <c r="E233" s="14" t="s">
        <v>167</v>
      </c>
      <c r="F233" s="14" t="s">
        <v>35</v>
      </c>
      <c r="G233" s="13"/>
      <c r="H233" s="14">
        <f t="shared" si="5"/>
        <v>4</v>
      </c>
      <c r="I233" s="14">
        <v>4</v>
      </c>
      <c r="J233" s="14">
        <v>4</v>
      </c>
      <c r="K233" s="13" t="s">
        <v>3444</v>
      </c>
      <c r="L233" s="15" t="s">
        <v>169</v>
      </c>
      <c r="M233" s="15">
        <v>9287</v>
      </c>
      <c r="N233" s="15">
        <v>5337</v>
      </c>
      <c r="O233" s="15">
        <v>292870</v>
      </c>
      <c r="P233" s="15">
        <v>753370</v>
      </c>
      <c r="Q233" s="15"/>
    </row>
    <row r="234" spans="1:17" x14ac:dyDescent="0.25">
      <c r="A234" s="11" t="s">
        <v>3138</v>
      </c>
      <c r="B234" s="13" t="s">
        <v>1606</v>
      </c>
      <c r="C234" s="10" t="s">
        <v>3555</v>
      </c>
      <c r="D234" s="13" t="s">
        <v>39</v>
      </c>
      <c r="E234" s="14" t="s">
        <v>1608</v>
      </c>
      <c r="F234" s="14" t="s">
        <v>35</v>
      </c>
      <c r="G234" s="13">
        <v>1</v>
      </c>
      <c r="H234" s="14">
        <f>G234+I234</f>
        <v>1</v>
      </c>
      <c r="J234" s="14">
        <v>1</v>
      </c>
      <c r="K234" s="13" t="s">
        <v>3554</v>
      </c>
      <c r="L234" s="15" t="s">
        <v>429</v>
      </c>
      <c r="M234" s="15">
        <v>295</v>
      </c>
      <c r="N234" s="15">
        <v>95</v>
      </c>
      <c r="O234" s="15">
        <v>229500</v>
      </c>
      <c r="P234" s="15">
        <v>609500</v>
      </c>
      <c r="Q234" s="15"/>
    </row>
    <row r="235" spans="1:17" x14ac:dyDescent="0.25">
      <c r="A235" s="11" t="s">
        <v>3138</v>
      </c>
      <c r="B235" s="13" t="s">
        <v>1610</v>
      </c>
      <c r="C235" s="10" t="s">
        <v>2051</v>
      </c>
      <c r="D235" s="13" t="s">
        <v>1538</v>
      </c>
      <c r="E235" s="14" t="s">
        <v>1017</v>
      </c>
      <c r="F235" s="14" t="s">
        <v>35</v>
      </c>
      <c r="G235" s="13">
        <v>2</v>
      </c>
      <c r="H235" s="14">
        <f t="shared" si="5"/>
        <v>4</v>
      </c>
      <c r="I235" s="14">
        <v>2</v>
      </c>
      <c r="J235" s="14">
        <v>3</v>
      </c>
      <c r="K235" s="13" t="s">
        <v>3549</v>
      </c>
      <c r="L235" s="15" t="s">
        <v>398</v>
      </c>
      <c r="M235" s="15">
        <v>5</v>
      </c>
      <c r="N235" s="15">
        <v>385</v>
      </c>
      <c r="O235" s="15">
        <v>300500</v>
      </c>
      <c r="P235" s="15">
        <v>638500</v>
      </c>
      <c r="Q235" s="15"/>
    </row>
    <row r="236" spans="1:17" x14ac:dyDescent="0.25">
      <c r="A236" s="11" t="s">
        <v>3138</v>
      </c>
      <c r="B236" s="13" t="s">
        <v>1610</v>
      </c>
      <c r="C236" s="10" t="s">
        <v>3267</v>
      </c>
      <c r="D236" s="13" t="s">
        <v>1538</v>
      </c>
      <c r="E236" s="14" t="s">
        <v>1017</v>
      </c>
      <c r="F236" s="14" t="s">
        <v>35</v>
      </c>
      <c r="G236" s="13"/>
      <c r="H236" s="14">
        <f>G236+I236</f>
        <v>2</v>
      </c>
      <c r="I236" s="14">
        <v>2</v>
      </c>
      <c r="J236" s="14">
        <v>2</v>
      </c>
      <c r="K236" s="13" t="s">
        <v>3268</v>
      </c>
      <c r="L236" s="15" t="s">
        <v>398</v>
      </c>
      <c r="M236" s="15">
        <v>5</v>
      </c>
      <c r="N236" s="15">
        <v>385</v>
      </c>
      <c r="O236" s="15">
        <v>300500</v>
      </c>
      <c r="P236" s="15">
        <v>638500</v>
      </c>
      <c r="Q236" s="15"/>
    </row>
    <row r="237" spans="1:17" ht="22.5" x14ac:dyDescent="0.25">
      <c r="A237" s="11" t="s">
        <v>3138</v>
      </c>
      <c r="B237" s="13" t="s">
        <v>1610</v>
      </c>
      <c r="C237" s="10" t="s">
        <v>3353</v>
      </c>
      <c r="D237" s="13" t="s">
        <v>3352</v>
      </c>
      <c r="E237" s="14" t="s">
        <v>1017</v>
      </c>
      <c r="F237" s="14" t="s">
        <v>35</v>
      </c>
      <c r="G237" s="13">
        <v>1</v>
      </c>
      <c r="H237" s="14">
        <f>G237+I237</f>
        <v>1</v>
      </c>
      <c r="J237" s="14">
        <v>1</v>
      </c>
      <c r="K237" s="13" t="s">
        <v>3351</v>
      </c>
      <c r="L237" s="15" t="s">
        <v>429</v>
      </c>
      <c r="M237" s="15">
        <v>842</v>
      </c>
      <c r="N237" s="15">
        <v>318</v>
      </c>
      <c r="O237" s="15">
        <v>284200</v>
      </c>
      <c r="P237" s="15">
        <v>631800</v>
      </c>
      <c r="Q237" s="15"/>
    </row>
    <row r="238" spans="1:17" ht="22.5" x14ac:dyDescent="0.25">
      <c r="A238" s="11" t="s">
        <v>3138</v>
      </c>
      <c r="B238" s="13" t="s">
        <v>709</v>
      </c>
      <c r="C238" s="10" t="s">
        <v>3451</v>
      </c>
      <c r="D238" s="13" t="s">
        <v>3452</v>
      </c>
      <c r="E238" s="14" t="s">
        <v>1010</v>
      </c>
      <c r="F238" s="14" t="s">
        <v>35</v>
      </c>
      <c r="G238" s="13"/>
      <c r="H238" s="14">
        <f>G238+I238</f>
        <v>1</v>
      </c>
      <c r="I238" s="14">
        <v>1</v>
      </c>
      <c r="J238" s="14">
        <v>1</v>
      </c>
      <c r="K238" s="13" t="s">
        <v>3448</v>
      </c>
      <c r="L238" s="15" t="s">
        <v>429</v>
      </c>
      <c r="M238" s="15">
        <v>81591</v>
      </c>
      <c r="N238" s="15">
        <v>90152</v>
      </c>
      <c r="O238" s="15">
        <v>281591</v>
      </c>
      <c r="P238" s="15">
        <v>690152</v>
      </c>
      <c r="Q238" s="15"/>
    </row>
    <row r="239" spans="1:17" ht="22.5" x14ac:dyDescent="0.25">
      <c r="A239" s="11" t="s">
        <v>3138</v>
      </c>
      <c r="B239" s="13" t="s">
        <v>167</v>
      </c>
      <c r="C239" s="10" t="s">
        <v>3449</v>
      </c>
      <c r="D239" s="13" t="s">
        <v>2022</v>
      </c>
      <c r="E239" s="14" t="s">
        <v>995</v>
      </c>
      <c r="F239" s="14" t="s">
        <v>35</v>
      </c>
      <c r="G239" s="13"/>
      <c r="H239" s="14">
        <f t="shared" ref="H239:H264" si="6">G239+I239</f>
        <v>1</v>
      </c>
      <c r="I239" s="14">
        <v>1</v>
      </c>
      <c r="J239" s="14">
        <v>1</v>
      </c>
      <c r="K239" s="13" t="s">
        <v>3448</v>
      </c>
      <c r="L239" s="15" t="s">
        <v>130</v>
      </c>
      <c r="M239" s="15">
        <v>60580</v>
      </c>
      <c r="N239" s="15">
        <v>49470</v>
      </c>
      <c r="O239" s="15">
        <v>360580</v>
      </c>
      <c r="P239" s="15">
        <v>749470</v>
      </c>
      <c r="Q239" s="15"/>
    </row>
    <row r="240" spans="1:17" ht="33.75" x14ac:dyDescent="0.25">
      <c r="A240" s="11" t="s">
        <v>3138</v>
      </c>
      <c r="B240" s="13" t="s">
        <v>167</v>
      </c>
      <c r="C240" s="10" t="s">
        <v>2014</v>
      </c>
      <c r="D240" s="13" t="s">
        <v>3378</v>
      </c>
      <c r="E240" s="14" t="s">
        <v>995</v>
      </c>
      <c r="F240" s="14" t="s">
        <v>35</v>
      </c>
      <c r="G240" s="13"/>
      <c r="H240" s="14">
        <f t="shared" si="6"/>
        <v>5</v>
      </c>
      <c r="I240" s="14">
        <v>5</v>
      </c>
      <c r="J240" s="14">
        <v>3</v>
      </c>
      <c r="K240" s="13" t="s">
        <v>3450</v>
      </c>
      <c r="L240" s="15" t="s">
        <v>130</v>
      </c>
      <c r="M240" s="15">
        <v>6153</v>
      </c>
      <c r="N240" s="15">
        <v>4812</v>
      </c>
      <c r="O240" s="15">
        <v>361530</v>
      </c>
      <c r="P240" s="15">
        <v>748120</v>
      </c>
      <c r="Q240" s="15"/>
    </row>
    <row r="241" spans="1:17" x14ac:dyDescent="0.25">
      <c r="A241" s="11" t="s">
        <v>3138</v>
      </c>
      <c r="B241" s="13" t="s">
        <v>718</v>
      </c>
      <c r="C241" s="10" t="s">
        <v>3323</v>
      </c>
      <c r="D241" s="13" t="s">
        <v>39</v>
      </c>
      <c r="E241" s="14" t="s">
        <v>718</v>
      </c>
      <c r="F241" s="14" t="s">
        <v>739</v>
      </c>
      <c r="G241" s="13"/>
      <c r="H241" s="14">
        <f>G241+I241</f>
        <v>1</v>
      </c>
      <c r="I241" s="14">
        <v>1</v>
      </c>
      <c r="J241" s="14">
        <v>1</v>
      </c>
      <c r="K241" s="13" t="s">
        <v>3318</v>
      </c>
      <c r="L241" s="15" t="s">
        <v>740</v>
      </c>
      <c r="M241" s="15">
        <v>369</v>
      </c>
      <c r="N241" s="15">
        <v>829</v>
      </c>
      <c r="O241" s="15">
        <v>236900</v>
      </c>
      <c r="P241" s="15">
        <v>482900</v>
      </c>
      <c r="Q241" s="15"/>
    </row>
    <row r="242" spans="1:17" x14ac:dyDescent="0.25">
      <c r="A242" s="11" t="s">
        <v>3138</v>
      </c>
      <c r="B242" s="13" t="s">
        <v>163</v>
      </c>
      <c r="C242" s="10" t="s">
        <v>3470</v>
      </c>
      <c r="D242" s="13" t="s">
        <v>220</v>
      </c>
      <c r="E242" s="14" t="s">
        <v>3171</v>
      </c>
      <c r="F242" s="14" t="s">
        <v>56</v>
      </c>
      <c r="G242" s="13"/>
      <c r="H242" s="14">
        <f>G242+I242</f>
        <v>1</v>
      </c>
      <c r="I242" s="14">
        <v>1</v>
      </c>
      <c r="J242" s="14">
        <v>1</v>
      </c>
      <c r="K242" s="13" t="s">
        <v>3471</v>
      </c>
      <c r="L242" s="15" t="s">
        <v>164</v>
      </c>
      <c r="M242" s="15">
        <v>7406</v>
      </c>
      <c r="N242" s="15">
        <v>7178</v>
      </c>
      <c r="O242" s="15">
        <v>274060</v>
      </c>
      <c r="P242" s="15">
        <v>371780</v>
      </c>
      <c r="Q242" s="15"/>
    </row>
    <row r="243" spans="1:17" x14ac:dyDescent="0.25">
      <c r="A243" s="11" t="s">
        <v>3138</v>
      </c>
      <c r="B243" s="13" t="s">
        <v>55</v>
      </c>
      <c r="C243" s="10" t="s">
        <v>3469</v>
      </c>
      <c r="D243" s="13" t="s">
        <v>220</v>
      </c>
      <c r="E243" s="14" t="s">
        <v>221</v>
      </c>
      <c r="F243" s="14" t="s">
        <v>56</v>
      </c>
      <c r="G243" s="13"/>
      <c r="H243" s="14">
        <f t="shared" si="6"/>
        <v>2</v>
      </c>
      <c r="I243" s="14">
        <v>2</v>
      </c>
      <c r="J243" s="14">
        <v>2</v>
      </c>
      <c r="K243" s="13" t="s">
        <v>3473</v>
      </c>
      <c r="L243" s="15" t="s">
        <v>153</v>
      </c>
      <c r="M243" s="15">
        <v>63</v>
      </c>
      <c r="N243" s="15">
        <v>391</v>
      </c>
      <c r="O243" s="15">
        <v>206300</v>
      </c>
      <c r="P243" s="15">
        <v>239100</v>
      </c>
      <c r="Q243" s="15"/>
    </row>
    <row r="244" spans="1:17" ht="25.5" x14ac:dyDescent="0.25">
      <c r="A244" s="11" t="s">
        <v>3138</v>
      </c>
      <c r="B244" s="13" t="s">
        <v>55</v>
      </c>
      <c r="C244" s="17" t="s">
        <v>2694</v>
      </c>
      <c r="D244" s="13" t="s">
        <v>220</v>
      </c>
      <c r="E244" s="14" t="s">
        <v>57</v>
      </c>
      <c r="F244" s="14" t="s">
        <v>56</v>
      </c>
      <c r="G244" s="13">
        <v>1</v>
      </c>
      <c r="H244" s="14">
        <f t="shared" si="6"/>
        <v>4</v>
      </c>
      <c r="I244" s="14">
        <v>3</v>
      </c>
      <c r="J244" s="14">
        <v>4</v>
      </c>
      <c r="K244" s="13" t="s">
        <v>3528</v>
      </c>
      <c r="L244" s="15" t="s">
        <v>184</v>
      </c>
      <c r="M244" s="15">
        <v>94808</v>
      </c>
      <c r="N244" s="15">
        <v>39042</v>
      </c>
      <c r="O244" s="15">
        <v>194808</v>
      </c>
      <c r="P244" s="15">
        <v>239042</v>
      </c>
      <c r="Q244" s="15"/>
    </row>
    <row r="245" spans="1:17" x14ac:dyDescent="0.25">
      <c r="A245" s="11" t="s">
        <v>3138</v>
      </c>
      <c r="B245" s="13" t="s">
        <v>55</v>
      </c>
      <c r="C245" s="10" t="s">
        <v>182</v>
      </c>
      <c r="D245" s="13" t="s">
        <v>39</v>
      </c>
      <c r="E245" s="14" t="s">
        <v>183</v>
      </c>
      <c r="F245" s="14" t="s">
        <v>56</v>
      </c>
      <c r="G245" s="13"/>
      <c r="H245" s="14">
        <f t="shared" si="6"/>
        <v>1</v>
      </c>
      <c r="I245" s="14">
        <v>1</v>
      </c>
      <c r="J245" s="14">
        <v>1</v>
      </c>
      <c r="K245" s="13" t="s">
        <v>3367</v>
      </c>
      <c r="L245" s="15" t="s">
        <v>184</v>
      </c>
      <c r="M245" s="15">
        <v>7373</v>
      </c>
      <c r="N245" s="15">
        <v>2509</v>
      </c>
      <c r="O245" s="15">
        <v>173730</v>
      </c>
      <c r="P245" s="15">
        <v>225090</v>
      </c>
      <c r="Q245" s="15"/>
    </row>
    <row r="246" spans="1:17" ht="22.5" x14ac:dyDescent="0.25">
      <c r="A246" s="11" t="s">
        <v>3138</v>
      </c>
      <c r="B246" s="13" t="s">
        <v>55</v>
      </c>
      <c r="C246" s="10" t="s">
        <v>3628</v>
      </c>
      <c r="D246" s="13" t="s">
        <v>3629</v>
      </c>
      <c r="E246" s="14" t="s">
        <v>57</v>
      </c>
      <c r="F246" s="14" t="s">
        <v>56</v>
      </c>
      <c r="G246" s="13">
        <v>1</v>
      </c>
      <c r="H246" s="14">
        <f>G246+I246</f>
        <v>1</v>
      </c>
      <c r="J246" s="14">
        <v>1</v>
      </c>
      <c r="K246" s="13" t="s">
        <v>3622</v>
      </c>
      <c r="L246" s="15" t="s">
        <v>153</v>
      </c>
      <c r="M246" s="15">
        <v>1346</v>
      </c>
      <c r="N246" s="15">
        <v>2936</v>
      </c>
      <c r="O246" s="15">
        <v>213460</v>
      </c>
      <c r="P246" s="15">
        <v>229360</v>
      </c>
      <c r="Q246" s="15"/>
    </row>
    <row r="247" spans="1:17" ht="25.5" x14ac:dyDescent="0.25">
      <c r="A247" s="11" t="s">
        <v>3138</v>
      </c>
      <c r="B247" s="13" t="s">
        <v>55</v>
      </c>
      <c r="C247" s="17" t="s">
        <v>3677</v>
      </c>
      <c r="D247" s="13" t="s">
        <v>3675</v>
      </c>
      <c r="E247" s="14" t="s">
        <v>57</v>
      </c>
      <c r="F247" s="14" t="s">
        <v>56</v>
      </c>
      <c r="G247" s="13"/>
      <c r="H247" s="14">
        <f>G247+I247</f>
        <v>1</v>
      </c>
      <c r="I247" s="14">
        <v>1</v>
      </c>
      <c r="J247" s="14">
        <v>1</v>
      </c>
      <c r="K247" s="13" t="s">
        <v>3671</v>
      </c>
      <c r="L247" s="15" t="s">
        <v>596</v>
      </c>
      <c r="M247" s="15">
        <v>1117</v>
      </c>
      <c r="N247" s="15">
        <v>9996</v>
      </c>
      <c r="O247" s="15">
        <v>211170</v>
      </c>
      <c r="P247" s="15">
        <v>199960</v>
      </c>
      <c r="Q247" s="15"/>
    </row>
    <row r="248" spans="1:17" ht="22.5" x14ac:dyDescent="0.25">
      <c r="A248" s="11" t="s">
        <v>3138</v>
      </c>
      <c r="B248" s="13" t="s">
        <v>55</v>
      </c>
      <c r="C248" s="10" t="s">
        <v>734</v>
      </c>
      <c r="D248" s="13" t="s">
        <v>41</v>
      </c>
      <c r="E248" s="14" t="s">
        <v>57</v>
      </c>
      <c r="F248" s="14" t="s">
        <v>56</v>
      </c>
      <c r="G248" s="13"/>
      <c r="H248" s="14">
        <f t="shared" si="6"/>
        <v>2</v>
      </c>
      <c r="I248" s="14">
        <v>2</v>
      </c>
      <c r="J248" s="14">
        <v>2</v>
      </c>
      <c r="K248" s="13" t="s">
        <v>3477</v>
      </c>
      <c r="L248" s="15" t="s">
        <v>153</v>
      </c>
      <c r="M248" s="15">
        <v>998</v>
      </c>
      <c r="N248" s="15">
        <v>3698</v>
      </c>
      <c r="O248" s="15">
        <v>209980</v>
      </c>
      <c r="P248" s="15">
        <v>236980</v>
      </c>
      <c r="Q248" s="15"/>
    </row>
    <row r="249" spans="1:17" ht="25.5" x14ac:dyDescent="0.25">
      <c r="A249" s="11" t="s">
        <v>3138</v>
      </c>
      <c r="B249" s="13" t="s">
        <v>55</v>
      </c>
      <c r="C249" s="17" t="s">
        <v>3678</v>
      </c>
      <c r="D249" s="13" t="s">
        <v>3675</v>
      </c>
      <c r="E249" s="14" t="s">
        <v>57</v>
      </c>
      <c r="F249" s="14" t="s">
        <v>56</v>
      </c>
      <c r="G249" s="13"/>
      <c r="H249" s="14">
        <f>G249+I249</f>
        <v>1</v>
      </c>
      <c r="I249" s="14">
        <v>1</v>
      </c>
      <c r="J249" s="14">
        <v>1</v>
      </c>
      <c r="K249" s="13" t="s">
        <v>3671</v>
      </c>
      <c r="L249" s="15" t="s">
        <v>184</v>
      </c>
      <c r="M249" s="15">
        <v>9789</v>
      </c>
      <c r="N249" s="15">
        <v>183</v>
      </c>
      <c r="O249" s="15">
        <v>197890</v>
      </c>
      <c r="P249" s="15">
        <v>201830</v>
      </c>
      <c r="Q249" s="15"/>
    </row>
    <row r="250" spans="1:17" ht="22.5" x14ac:dyDescent="0.25">
      <c r="A250" s="11" t="s">
        <v>3138</v>
      </c>
      <c r="B250" s="13" t="s">
        <v>593</v>
      </c>
      <c r="C250" s="10" t="s">
        <v>3487</v>
      </c>
      <c r="D250" s="13" t="s">
        <v>41</v>
      </c>
      <c r="E250" s="14" t="s">
        <v>624</v>
      </c>
      <c r="F250" s="14" t="s">
        <v>56</v>
      </c>
      <c r="G250" s="13"/>
      <c r="H250" s="14">
        <f>G250+I250</f>
        <v>1</v>
      </c>
      <c r="I250" s="14">
        <v>1</v>
      </c>
      <c r="J250" s="14">
        <v>1</v>
      </c>
      <c r="K250" s="13" t="s">
        <v>3488</v>
      </c>
      <c r="L250" s="15" t="s">
        <v>153</v>
      </c>
      <c r="M250" s="15">
        <v>6136</v>
      </c>
      <c r="N250" s="15">
        <v>453</v>
      </c>
      <c r="O250" s="15">
        <v>261360</v>
      </c>
      <c r="P250" s="15">
        <v>204530</v>
      </c>
      <c r="Q250" s="15"/>
    </row>
    <row r="251" spans="1:17" ht="22.5" x14ac:dyDescent="0.25">
      <c r="A251" s="11" t="s">
        <v>3138</v>
      </c>
      <c r="B251" s="13" t="s">
        <v>593</v>
      </c>
      <c r="C251" s="10" t="s">
        <v>1118</v>
      </c>
      <c r="D251" s="13" t="s">
        <v>41</v>
      </c>
      <c r="E251" s="14" t="s">
        <v>624</v>
      </c>
      <c r="F251" s="14" t="s">
        <v>56</v>
      </c>
      <c r="G251" s="13"/>
      <c r="H251" s="14">
        <f t="shared" si="6"/>
        <v>2</v>
      </c>
      <c r="I251" s="14">
        <v>2</v>
      </c>
      <c r="J251" s="14">
        <v>2</v>
      </c>
      <c r="K251" s="13" t="s">
        <v>3681</v>
      </c>
      <c r="L251" s="15" t="s">
        <v>596</v>
      </c>
      <c r="M251" s="15">
        <v>5373</v>
      </c>
      <c r="N251" s="15">
        <v>8982</v>
      </c>
      <c r="O251" s="15">
        <v>253730</v>
      </c>
      <c r="P251" s="15">
        <v>189820</v>
      </c>
      <c r="Q251" s="15"/>
    </row>
    <row r="252" spans="1:17" x14ac:dyDescent="0.25">
      <c r="A252" s="11" t="s">
        <v>3138</v>
      </c>
      <c r="B252" s="13" t="s">
        <v>593</v>
      </c>
      <c r="C252" s="10" t="s">
        <v>3674</v>
      </c>
      <c r="D252" s="13" t="s">
        <v>3675</v>
      </c>
      <c r="E252" s="13" t="s">
        <v>3676</v>
      </c>
      <c r="F252" s="14" t="s">
        <v>56</v>
      </c>
      <c r="G252" s="13"/>
      <c r="H252" s="14">
        <f>G252+I252</f>
        <v>1</v>
      </c>
      <c r="I252" s="14">
        <v>1</v>
      </c>
      <c r="J252" s="14">
        <v>1</v>
      </c>
      <c r="K252" s="13" t="s">
        <v>3671</v>
      </c>
      <c r="L252" s="15" t="s">
        <v>596</v>
      </c>
      <c r="M252" s="15">
        <v>5468</v>
      </c>
      <c r="N252" s="15">
        <v>8730</v>
      </c>
      <c r="O252" s="15">
        <v>254680</v>
      </c>
      <c r="P252" s="15">
        <v>187300</v>
      </c>
      <c r="Q252" s="15"/>
    </row>
    <row r="253" spans="1:17" ht="33.75" x14ac:dyDescent="0.25">
      <c r="A253" s="11" t="s">
        <v>3138</v>
      </c>
      <c r="B253" s="13" t="s">
        <v>161</v>
      </c>
      <c r="C253" s="10" t="s">
        <v>423</v>
      </c>
      <c r="D253" s="13" t="s">
        <v>3397</v>
      </c>
      <c r="E253" s="14" t="s">
        <v>301</v>
      </c>
      <c r="F253" s="14" t="s">
        <v>56</v>
      </c>
      <c r="G253" s="13"/>
      <c r="H253" s="14">
        <f t="shared" si="6"/>
        <v>1</v>
      </c>
      <c r="I253" s="14">
        <v>1</v>
      </c>
      <c r="J253" s="14">
        <v>1</v>
      </c>
      <c r="K253" s="13" t="s">
        <v>3398</v>
      </c>
      <c r="L253" s="15" t="s">
        <v>164</v>
      </c>
      <c r="M253" s="15">
        <v>50761</v>
      </c>
      <c r="N253" s="15">
        <v>70185</v>
      </c>
      <c r="O253" s="15">
        <v>250761</v>
      </c>
      <c r="P253" s="15">
        <v>370185</v>
      </c>
      <c r="Q253" s="15"/>
    </row>
    <row r="254" spans="1:17" s="46" customFormat="1" ht="22.5" x14ac:dyDescent="0.25">
      <c r="A254" s="11" t="s">
        <v>3138</v>
      </c>
      <c r="B254" s="55" t="s">
        <v>161</v>
      </c>
      <c r="C254" s="56" t="s">
        <v>2606</v>
      </c>
      <c r="D254" s="55" t="s">
        <v>41</v>
      </c>
      <c r="E254" s="57" t="s">
        <v>301</v>
      </c>
      <c r="F254" s="57" t="s">
        <v>56</v>
      </c>
      <c r="G254" s="55">
        <v>1</v>
      </c>
      <c r="H254" s="57">
        <f t="shared" si="6"/>
        <v>1</v>
      </c>
      <c r="I254" s="57"/>
      <c r="J254" s="57">
        <v>1</v>
      </c>
      <c r="K254" s="55" t="s">
        <v>3517</v>
      </c>
      <c r="L254" s="46" t="s">
        <v>164</v>
      </c>
      <c r="M254" s="46">
        <v>395</v>
      </c>
      <c r="N254" s="46">
        <v>724</v>
      </c>
      <c r="O254" s="46">
        <v>239500</v>
      </c>
      <c r="P254" s="46">
        <v>372400</v>
      </c>
    </row>
    <row r="255" spans="1:17" x14ac:dyDescent="0.25">
      <c r="A255" s="11" t="s">
        <v>3138</v>
      </c>
      <c r="B255" s="13" t="s">
        <v>161</v>
      </c>
      <c r="C255" s="10" t="s">
        <v>223</v>
      </c>
      <c r="D255" s="13" t="s">
        <v>220</v>
      </c>
      <c r="E255" s="14" t="s">
        <v>225</v>
      </c>
      <c r="F255" s="14" t="s">
        <v>56</v>
      </c>
      <c r="G255" s="13">
        <v>3</v>
      </c>
      <c r="H255" s="14">
        <f t="shared" si="6"/>
        <v>8</v>
      </c>
      <c r="I255" s="14">
        <v>5</v>
      </c>
      <c r="J255" s="14">
        <v>5</v>
      </c>
      <c r="K255" s="13" t="s">
        <v>3529</v>
      </c>
      <c r="L255" s="15" t="s">
        <v>164</v>
      </c>
      <c r="M255" s="15">
        <v>5886</v>
      </c>
      <c r="N255" s="15">
        <v>2284</v>
      </c>
      <c r="O255" s="15">
        <v>258860</v>
      </c>
      <c r="P255" s="15">
        <v>322840</v>
      </c>
      <c r="Q255" s="15"/>
    </row>
    <row r="256" spans="1:17" x14ac:dyDescent="0.25">
      <c r="A256" s="11" t="s">
        <v>3138</v>
      </c>
      <c r="B256" s="13" t="s">
        <v>161</v>
      </c>
      <c r="C256" s="10" t="s">
        <v>181</v>
      </c>
      <c r="D256" s="13" t="s">
        <v>39</v>
      </c>
      <c r="E256" s="14" t="s">
        <v>246</v>
      </c>
      <c r="F256" s="14" t="s">
        <v>56</v>
      </c>
      <c r="G256" s="13">
        <v>2</v>
      </c>
      <c r="H256" s="14">
        <f t="shared" si="6"/>
        <v>13</v>
      </c>
      <c r="I256" s="14">
        <v>11</v>
      </c>
      <c r="J256" s="14">
        <v>10</v>
      </c>
      <c r="K256" s="13" t="s">
        <v>3524</v>
      </c>
      <c r="L256" s="15" t="s">
        <v>164</v>
      </c>
      <c r="M256" s="15">
        <v>5938</v>
      </c>
      <c r="N256" s="15">
        <v>7104</v>
      </c>
      <c r="O256" s="15">
        <v>259380</v>
      </c>
      <c r="P256" s="15">
        <v>371040</v>
      </c>
      <c r="Q256" s="15"/>
    </row>
    <row r="257" spans="1:17" s="46" customFormat="1" ht="22.5" x14ac:dyDescent="0.25">
      <c r="A257" s="11" t="s">
        <v>3138</v>
      </c>
      <c r="B257" s="55" t="s">
        <v>161</v>
      </c>
      <c r="C257" s="56" t="s">
        <v>3172</v>
      </c>
      <c r="D257" s="55" t="s">
        <v>3173</v>
      </c>
      <c r="E257" s="57" t="s">
        <v>3171</v>
      </c>
      <c r="F257" s="57" t="s">
        <v>56</v>
      </c>
      <c r="G257" s="55">
        <v>1</v>
      </c>
      <c r="H257" s="57">
        <f>G257+I257</f>
        <v>17</v>
      </c>
      <c r="I257" s="57">
        <v>16</v>
      </c>
      <c r="J257" s="57">
        <v>12</v>
      </c>
      <c r="K257" s="55" t="s">
        <v>3525</v>
      </c>
      <c r="L257" s="46" t="s">
        <v>164</v>
      </c>
      <c r="M257" s="46">
        <v>4449</v>
      </c>
      <c r="N257" s="46">
        <v>5414</v>
      </c>
      <c r="O257" s="46">
        <v>244490</v>
      </c>
      <c r="P257" s="46">
        <v>354140</v>
      </c>
    </row>
    <row r="258" spans="1:17" ht="22.5" x14ac:dyDescent="0.25">
      <c r="A258" s="11" t="s">
        <v>3138</v>
      </c>
      <c r="B258" s="13" t="s">
        <v>161</v>
      </c>
      <c r="C258" s="10" t="s">
        <v>420</v>
      </c>
      <c r="D258" s="13" t="s">
        <v>41</v>
      </c>
      <c r="E258" s="14" t="s">
        <v>301</v>
      </c>
      <c r="F258" s="14" t="s">
        <v>56</v>
      </c>
      <c r="G258" s="13">
        <v>1</v>
      </c>
      <c r="H258" s="14">
        <f t="shared" si="6"/>
        <v>2</v>
      </c>
      <c r="I258" s="14">
        <v>1</v>
      </c>
      <c r="J258" s="14">
        <v>2</v>
      </c>
      <c r="K258" s="13" t="s">
        <v>3527</v>
      </c>
      <c r="L258" s="15" t="s">
        <v>164</v>
      </c>
      <c r="M258" s="15">
        <v>25858</v>
      </c>
      <c r="N258" s="15">
        <v>80546</v>
      </c>
      <c r="O258" s="15">
        <v>225858</v>
      </c>
      <c r="P258" s="15">
        <v>380546</v>
      </c>
      <c r="Q258" s="15"/>
    </row>
    <row r="259" spans="1:17" x14ac:dyDescent="0.25">
      <c r="A259" s="11" t="s">
        <v>3138</v>
      </c>
      <c r="B259" s="13" t="s">
        <v>161</v>
      </c>
      <c r="C259" s="10" t="s">
        <v>3389</v>
      </c>
      <c r="D259" s="13" t="s">
        <v>1207</v>
      </c>
      <c r="E259" s="14" t="s">
        <v>420</v>
      </c>
      <c r="F259" s="14" t="s">
        <v>56</v>
      </c>
      <c r="G259" s="13"/>
      <c r="H259" s="14">
        <f>G259+I259</f>
        <v>1</v>
      </c>
      <c r="I259" s="14">
        <v>1</v>
      </c>
      <c r="J259" s="14">
        <v>1</v>
      </c>
      <c r="K259" s="13" t="s">
        <v>3381</v>
      </c>
      <c r="L259" s="15" t="s">
        <v>164</v>
      </c>
      <c r="M259" s="15">
        <v>258</v>
      </c>
      <c r="N259" s="15">
        <v>805</v>
      </c>
      <c r="O259" s="15">
        <v>225800</v>
      </c>
      <c r="P259" s="15">
        <v>380500</v>
      </c>
      <c r="Q259" s="15"/>
    </row>
    <row r="260" spans="1:17" ht="22.5" x14ac:dyDescent="0.25">
      <c r="A260" s="11" t="s">
        <v>3138</v>
      </c>
      <c r="B260" s="13" t="s">
        <v>66</v>
      </c>
      <c r="C260" s="10" t="s">
        <v>65</v>
      </c>
      <c r="D260" s="13" t="s">
        <v>3526</v>
      </c>
      <c r="E260" s="14" t="s">
        <v>245</v>
      </c>
      <c r="F260" s="14" t="s">
        <v>56</v>
      </c>
      <c r="G260" s="13">
        <v>2</v>
      </c>
      <c r="H260" s="14">
        <f t="shared" si="6"/>
        <v>18</v>
      </c>
      <c r="I260" s="14">
        <v>16</v>
      </c>
      <c r="J260" s="14">
        <v>11</v>
      </c>
      <c r="K260" s="13" t="s">
        <v>3693</v>
      </c>
      <c r="L260" s="15" t="s">
        <v>113</v>
      </c>
      <c r="M260" s="15">
        <v>211</v>
      </c>
      <c r="N260" s="15">
        <v>193</v>
      </c>
      <c r="O260" s="15">
        <v>321100</v>
      </c>
      <c r="P260" s="15">
        <v>219300</v>
      </c>
      <c r="Q260" s="15"/>
    </row>
    <row r="261" spans="1:17" x14ac:dyDescent="0.25">
      <c r="A261" s="11" t="s">
        <v>3138</v>
      </c>
      <c r="B261" s="13" t="s">
        <v>66</v>
      </c>
      <c r="C261" s="10" t="s">
        <v>3295</v>
      </c>
      <c r="D261" s="13" t="s">
        <v>1153</v>
      </c>
      <c r="E261" s="14" t="s">
        <v>245</v>
      </c>
      <c r="F261" s="14" t="s">
        <v>56</v>
      </c>
      <c r="G261" s="13"/>
      <c r="H261" s="14">
        <f>G261+I261</f>
        <v>4</v>
      </c>
      <c r="I261" s="14">
        <v>4</v>
      </c>
      <c r="J261" s="14">
        <v>4</v>
      </c>
      <c r="K261" s="13" t="s">
        <v>3296</v>
      </c>
      <c r="L261" s="15" t="s">
        <v>113</v>
      </c>
      <c r="M261" s="15">
        <v>211</v>
      </c>
      <c r="N261" s="15">
        <v>193</v>
      </c>
      <c r="O261" s="15">
        <v>321100</v>
      </c>
      <c r="P261" s="15">
        <v>219300</v>
      </c>
      <c r="Q261" s="15"/>
    </row>
    <row r="262" spans="1:17" x14ac:dyDescent="0.25">
      <c r="A262" s="11" t="s">
        <v>3138</v>
      </c>
      <c r="B262" s="13" t="s">
        <v>66</v>
      </c>
      <c r="C262" s="10" t="s">
        <v>3262</v>
      </c>
      <c r="D262" s="13" t="s">
        <v>598</v>
      </c>
      <c r="E262" s="14" t="s">
        <v>245</v>
      </c>
      <c r="F262" s="14" t="s">
        <v>56</v>
      </c>
      <c r="G262" s="13"/>
      <c r="H262" s="14">
        <f>G262+I262</f>
        <v>1</v>
      </c>
      <c r="I262" s="14">
        <v>1</v>
      </c>
      <c r="J262" s="14">
        <v>1</v>
      </c>
      <c r="K262" s="13" t="s">
        <v>3260</v>
      </c>
      <c r="L262" s="15" t="s">
        <v>113</v>
      </c>
      <c r="M262" s="15">
        <v>211</v>
      </c>
      <c r="N262" s="15">
        <v>193</v>
      </c>
      <c r="O262" s="15">
        <v>321100</v>
      </c>
      <c r="P262" s="15">
        <v>219300</v>
      </c>
      <c r="Q262" s="15"/>
    </row>
    <row r="263" spans="1:17" x14ac:dyDescent="0.25">
      <c r="A263" s="11" t="s">
        <v>3138</v>
      </c>
      <c r="B263" s="13" t="s">
        <v>66</v>
      </c>
      <c r="C263" s="10" t="s">
        <v>2008</v>
      </c>
      <c r="D263" s="13" t="s">
        <v>26</v>
      </c>
      <c r="E263" s="14" t="s">
        <v>2009</v>
      </c>
      <c r="F263" s="14" t="s">
        <v>56</v>
      </c>
      <c r="G263" s="13"/>
      <c r="H263" s="14">
        <f t="shared" si="6"/>
        <v>1</v>
      </c>
      <c r="I263" s="14">
        <v>1</v>
      </c>
      <c r="J263" s="14">
        <v>1</v>
      </c>
      <c r="K263" s="13" t="s">
        <v>3221</v>
      </c>
      <c r="L263" s="15" t="s">
        <v>113</v>
      </c>
      <c r="M263" s="15">
        <v>1603</v>
      </c>
      <c r="N263" s="15">
        <v>3728</v>
      </c>
      <c r="O263" s="15">
        <v>316030</v>
      </c>
      <c r="P263" s="15">
        <v>237280</v>
      </c>
      <c r="Q263" s="15"/>
    </row>
    <row r="264" spans="1:17" ht="22.5" x14ac:dyDescent="0.25">
      <c r="A264" s="11" t="s">
        <v>3138</v>
      </c>
      <c r="B264" s="13" t="s">
        <v>66</v>
      </c>
      <c r="C264" s="10" t="s">
        <v>273</v>
      </c>
      <c r="D264" s="13" t="s">
        <v>41</v>
      </c>
      <c r="E264" s="14" t="s">
        <v>274</v>
      </c>
      <c r="F264" s="14" t="s">
        <v>56</v>
      </c>
      <c r="G264" s="13"/>
      <c r="H264" s="14">
        <f t="shared" si="6"/>
        <v>4</v>
      </c>
      <c r="I264" s="14">
        <v>4</v>
      </c>
      <c r="J264" s="14">
        <v>4</v>
      </c>
      <c r="K264" s="13" t="s">
        <v>3492</v>
      </c>
      <c r="L264" s="15" t="s">
        <v>113</v>
      </c>
      <c r="M264" s="15">
        <v>1819</v>
      </c>
      <c r="N264" s="15">
        <v>2905</v>
      </c>
      <c r="O264" s="15">
        <v>318190</v>
      </c>
      <c r="P264" s="15">
        <v>229050</v>
      </c>
      <c r="Q264" s="15"/>
    </row>
    <row r="265" spans="1:17" ht="22.5" x14ac:dyDescent="0.25">
      <c r="A265" s="11" t="s">
        <v>3138</v>
      </c>
      <c r="B265" s="13" t="s">
        <v>778</v>
      </c>
      <c r="C265" s="10" t="s">
        <v>3478</v>
      </c>
      <c r="D265" s="13" t="s">
        <v>220</v>
      </c>
      <c r="E265" s="14" t="s">
        <v>3479</v>
      </c>
      <c r="F265" s="13" t="s">
        <v>776</v>
      </c>
      <c r="G265" s="13"/>
      <c r="H265" s="14">
        <f>G265+I265</f>
        <v>1</v>
      </c>
      <c r="I265" s="14">
        <v>1</v>
      </c>
      <c r="J265" s="14">
        <v>1</v>
      </c>
      <c r="K265" s="13" t="s">
        <v>3480</v>
      </c>
      <c r="L265" s="15" t="s">
        <v>781</v>
      </c>
      <c r="M265" s="15">
        <v>37</v>
      </c>
      <c r="N265" s="15">
        <v>438</v>
      </c>
      <c r="O265" s="15">
        <v>449041</v>
      </c>
      <c r="P265" s="15">
        <v>5761192</v>
      </c>
      <c r="Q265" s="15"/>
    </row>
    <row r="266" spans="1:17" ht="22.5" x14ac:dyDescent="0.25">
      <c r="A266" s="11" t="s">
        <v>3138</v>
      </c>
      <c r="B266" s="13" t="s">
        <v>1099</v>
      </c>
      <c r="C266" s="10" t="s">
        <v>1368</v>
      </c>
      <c r="D266" s="13" t="s">
        <v>39</v>
      </c>
      <c r="E266" s="14" t="s">
        <v>1292</v>
      </c>
      <c r="F266" s="13" t="s">
        <v>776</v>
      </c>
      <c r="G266" s="13"/>
      <c r="H266" s="14">
        <f t="shared" ref="H266:H281" si="7">G266+I266</f>
        <v>1</v>
      </c>
      <c r="I266" s="14">
        <v>1</v>
      </c>
      <c r="J266" s="14">
        <v>1</v>
      </c>
      <c r="K266" s="13" t="s">
        <v>3318</v>
      </c>
      <c r="L266" s="15" t="s">
        <v>782</v>
      </c>
      <c r="M266" s="15">
        <v>518</v>
      </c>
      <c r="N266" s="15">
        <v>661</v>
      </c>
      <c r="Q266" s="15"/>
    </row>
    <row r="267" spans="1:17" ht="22.5" x14ac:dyDescent="0.25">
      <c r="A267" s="11" t="s">
        <v>3138</v>
      </c>
      <c r="B267" s="13" t="s">
        <v>1264</v>
      </c>
      <c r="C267" s="10" t="s">
        <v>1362</v>
      </c>
      <c r="D267" s="13" t="s">
        <v>39</v>
      </c>
      <c r="E267" s="14" t="s">
        <v>1363</v>
      </c>
      <c r="F267" s="13" t="s">
        <v>776</v>
      </c>
      <c r="G267" s="13"/>
      <c r="H267" s="14">
        <f t="shared" si="7"/>
        <v>4</v>
      </c>
      <c r="I267" s="14">
        <v>4</v>
      </c>
      <c r="J267" s="14">
        <v>4</v>
      </c>
      <c r="K267" s="13" t="s">
        <v>3372</v>
      </c>
      <c r="L267" s="15" t="s">
        <v>992</v>
      </c>
      <c r="M267" s="15">
        <v>743</v>
      </c>
      <c r="N267" s="15">
        <v>837</v>
      </c>
      <c r="Q267" s="15"/>
    </row>
    <row r="268" spans="1:17" ht="22.5" x14ac:dyDescent="0.25">
      <c r="A268" s="11" t="s">
        <v>3138</v>
      </c>
      <c r="B268" s="13" t="s">
        <v>1157</v>
      </c>
      <c r="C268" s="10" t="s">
        <v>1158</v>
      </c>
      <c r="D268" s="13" t="s">
        <v>1159</v>
      </c>
      <c r="E268" s="13" t="s">
        <v>2621</v>
      </c>
      <c r="F268" s="13" t="s">
        <v>773</v>
      </c>
      <c r="G268" s="13"/>
      <c r="H268" s="14">
        <f t="shared" si="7"/>
        <v>1</v>
      </c>
      <c r="I268" s="14">
        <v>1</v>
      </c>
      <c r="J268" s="14">
        <v>1</v>
      </c>
      <c r="K268" s="13" t="s">
        <v>3472</v>
      </c>
      <c r="L268" s="15" t="s">
        <v>1160</v>
      </c>
      <c r="M268" s="15">
        <v>235</v>
      </c>
      <c r="N268" s="15">
        <v>4</v>
      </c>
      <c r="Q268" s="15"/>
    </row>
    <row r="269" spans="1:17" x14ac:dyDescent="0.25">
      <c r="A269" s="11" t="s">
        <v>3138</v>
      </c>
      <c r="B269" s="13" t="s">
        <v>1248</v>
      </c>
      <c r="C269" s="10" t="s">
        <v>3315</v>
      </c>
      <c r="D269" s="13" t="s">
        <v>39</v>
      </c>
      <c r="E269" s="14" t="s">
        <v>3316</v>
      </c>
      <c r="F269" s="13" t="s">
        <v>773</v>
      </c>
      <c r="G269" s="13"/>
      <c r="H269" s="14">
        <f>G269+I269</f>
        <v>1</v>
      </c>
      <c r="I269" s="14">
        <v>1</v>
      </c>
      <c r="J269" s="14">
        <v>1</v>
      </c>
      <c r="K269" s="13" t="s">
        <v>3317</v>
      </c>
      <c r="L269" s="15" t="s">
        <v>670</v>
      </c>
      <c r="M269" s="15">
        <v>239</v>
      </c>
      <c r="N269" s="15">
        <v>971</v>
      </c>
      <c r="Q269" s="15"/>
    </row>
    <row r="270" spans="1:17" x14ac:dyDescent="0.25">
      <c r="A270" s="11" t="s">
        <v>3138</v>
      </c>
      <c r="B270" s="13" t="s">
        <v>793</v>
      </c>
      <c r="C270" s="10" t="s">
        <v>1370</v>
      </c>
      <c r="D270" s="13" t="s">
        <v>39</v>
      </c>
      <c r="E270" s="14" t="s">
        <v>793</v>
      </c>
      <c r="F270" s="13" t="s">
        <v>773</v>
      </c>
      <c r="G270" s="13"/>
      <c r="H270" s="14">
        <f t="shared" si="7"/>
        <v>1</v>
      </c>
      <c r="I270" s="14">
        <v>1</v>
      </c>
      <c r="J270" s="14">
        <v>1</v>
      </c>
      <c r="K270" s="13" t="s">
        <v>3318</v>
      </c>
      <c r="L270" s="15" t="s">
        <v>798</v>
      </c>
      <c r="M270" s="15">
        <v>260</v>
      </c>
      <c r="N270" s="15">
        <v>255</v>
      </c>
      <c r="Q270" s="15"/>
    </row>
    <row r="271" spans="1:17" x14ac:dyDescent="0.25">
      <c r="A271" s="11" t="s">
        <v>3138</v>
      </c>
      <c r="B271" s="13" t="s">
        <v>793</v>
      </c>
      <c r="C271" s="10" t="s">
        <v>1369</v>
      </c>
      <c r="D271" s="13" t="s">
        <v>39</v>
      </c>
      <c r="E271" s="14" t="s">
        <v>2356</v>
      </c>
      <c r="F271" s="13" t="s">
        <v>773</v>
      </c>
      <c r="G271" s="13"/>
      <c r="H271" s="14">
        <f t="shared" si="7"/>
        <v>1</v>
      </c>
      <c r="I271" s="14">
        <v>1</v>
      </c>
      <c r="J271" s="14">
        <v>1</v>
      </c>
      <c r="K271" s="13" t="s">
        <v>3318</v>
      </c>
      <c r="L271" s="15" t="s">
        <v>798</v>
      </c>
      <c r="M271" s="15">
        <v>269</v>
      </c>
      <c r="N271" s="15">
        <v>394</v>
      </c>
      <c r="Q271" s="15"/>
    </row>
    <row r="272" spans="1:17" x14ac:dyDescent="0.25">
      <c r="A272" s="11" t="s">
        <v>3138</v>
      </c>
      <c r="B272" s="13" t="s">
        <v>878</v>
      </c>
      <c r="C272" s="10" t="s">
        <v>2354</v>
      </c>
      <c r="D272" s="13" t="s">
        <v>2355</v>
      </c>
      <c r="E272" s="14" t="s">
        <v>1972</v>
      </c>
      <c r="F272" s="13" t="s">
        <v>773</v>
      </c>
      <c r="G272" s="13"/>
      <c r="H272" s="14">
        <f>G272+I272</f>
        <v>1</v>
      </c>
      <c r="I272" s="14">
        <v>1</v>
      </c>
      <c r="J272" s="14">
        <v>1</v>
      </c>
      <c r="K272" s="13" t="s">
        <v>3317</v>
      </c>
      <c r="L272" s="15" t="s">
        <v>1973</v>
      </c>
      <c r="M272" s="15">
        <v>326</v>
      </c>
      <c r="N272" s="15">
        <v>53</v>
      </c>
      <c r="O272" s="45"/>
      <c r="P272" s="45"/>
      <c r="Q272" s="15"/>
    </row>
    <row r="273" spans="1:17" x14ac:dyDescent="0.25">
      <c r="A273" s="11" t="s">
        <v>3138</v>
      </c>
      <c r="B273" s="13" t="s">
        <v>878</v>
      </c>
      <c r="C273" s="10" t="s">
        <v>1971</v>
      </c>
      <c r="D273" s="13" t="s">
        <v>188</v>
      </c>
      <c r="E273" s="14" t="s">
        <v>1972</v>
      </c>
      <c r="F273" s="13" t="s">
        <v>773</v>
      </c>
      <c r="G273" s="13"/>
      <c r="H273" s="14">
        <f>G273+I273</f>
        <v>10</v>
      </c>
      <c r="I273" s="14">
        <v>10</v>
      </c>
      <c r="J273" s="14">
        <v>6</v>
      </c>
      <c r="K273" s="13" t="s">
        <v>3672</v>
      </c>
      <c r="L273" s="15" t="s">
        <v>1973</v>
      </c>
      <c r="M273" s="15">
        <v>32691</v>
      </c>
      <c r="N273" s="15">
        <v>5384</v>
      </c>
      <c r="O273" s="45"/>
      <c r="P273" s="45"/>
      <c r="Q273" s="15"/>
    </row>
    <row r="274" spans="1:17" x14ac:dyDescent="0.25">
      <c r="A274" s="11" t="s">
        <v>3138</v>
      </c>
      <c r="B274" s="13" t="s">
        <v>804</v>
      </c>
      <c r="C274" s="10" t="s">
        <v>2378</v>
      </c>
      <c r="D274" s="13" t="s">
        <v>1207</v>
      </c>
      <c r="E274" s="14" t="s">
        <v>804</v>
      </c>
      <c r="F274" s="13" t="s">
        <v>773</v>
      </c>
      <c r="G274" s="13"/>
      <c r="H274" s="14">
        <f t="shared" si="7"/>
        <v>1</v>
      </c>
      <c r="I274" s="14">
        <v>1</v>
      </c>
      <c r="J274" s="14">
        <v>1</v>
      </c>
      <c r="K274" s="13" t="s">
        <v>1609</v>
      </c>
      <c r="L274" s="45"/>
      <c r="M274" s="45"/>
      <c r="N274" s="45"/>
      <c r="O274" s="45"/>
      <c r="P274" s="45"/>
      <c r="Q274" s="15"/>
    </row>
    <row r="275" spans="1:17" x14ac:dyDescent="0.25">
      <c r="A275" s="11" t="s">
        <v>3138</v>
      </c>
      <c r="B275" s="13" t="s">
        <v>2456</v>
      </c>
      <c r="C275" s="10" t="s">
        <v>3322</v>
      </c>
      <c r="D275" s="13" t="s">
        <v>39</v>
      </c>
      <c r="E275" s="14" t="s">
        <v>2456</v>
      </c>
      <c r="F275" s="13" t="s">
        <v>773</v>
      </c>
      <c r="G275" s="13"/>
      <c r="H275" s="14">
        <f>G275+I275</f>
        <v>1</v>
      </c>
      <c r="I275" s="14">
        <v>1</v>
      </c>
      <c r="J275" s="14">
        <v>1</v>
      </c>
      <c r="K275" s="13" t="s">
        <v>3318</v>
      </c>
      <c r="L275" s="46" t="s">
        <v>667</v>
      </c>
      <c r="M275" s="46">
        <v>390</v>
      </c>
      <c r="N275" s="46">
        <v>820</v>
      </c>
      <c r="O275" s="45"/>
      <c r="P275" s="45"/>
      <c r="Q275" s="15"/>
    </row>
    <row r="276" spans="1:17" x14ac:dyDescent="0.25">
      <c r="A276" s="11" t="s">
        <v>3138</v>
      </c>
      <c r="B276" s="13" t="s">
        <v>785</v>
      </c>
      <c r="C276" s="10" t="s">
        <v>1204</v>
      </c>
      <c r="D276" s="13" t="s">
        <v>1207</v>
      </c>
      <c r="E276" s="14" t="s">
        <v>1205</v>
      </c>
      <c r="F276" s="13" t="s">
        <v>773</v>
      </c>
      <c r="G276" s="13"/>
      <c r="H276" s="14">
        <f t="shared" si="7"/>
        <v>2</v>
      </c>
      <c r="I276" s="14">
        <v>2</v>
      </c>
      <c r="J276" s="14">
        <v>2</v>
      </c>
      <c r="K276" s="13" t="s">
        <v>3371</v>
      </c>
      <c r="L276" s="15" t="s">
        <v>802</v>
      </c>
      <c r="M276" s="15">
        <v>97</v>
      </c>
      <c r="N276" s="15">
        <v>381</v>
      </c>
      <c r="Q276" s="15"/>
    </row>
    <row r="277" spans="1:17" ht="22.5" x14ac:dyDescent="0.25">
      <c r="A277" s="11" t="s">
        <v>3138</v>
      </c>
      <c r="B277" s="13" t="s">
        <v>795</v>
      </c>
      <c r="C277" s="10" t="s">
        <v>796</v>
      </c>
      <c r="D277" s="13" t="s">
        <v>800</v>
      </c>
      <c r="E277" s="14" t="s">
        <v>797</v>
      </c>
      <c r="F277" s="13" t="s">
        <v>773</v>
      </c>
      <c r="G277" s="13"/>
      <c r="H277" s="14">
        <f t="shared" si="7"/>
        <v>1</v>
      </c>
      <c r="I277" s="14">
        <v>1</v>
      </c>
      <c r="J277" s="14">
        <v>1</v>
      </c>
      <c r="K277" s="13" t="s">
        <v>3483</v>
      </c>
      <c r="L277" s="15" t="s">
        <v>798</v>
      </c>
      <c r="M277" s="15">
        <v>6</v>
      </c>
      <c r="N277" s="15">
        <v>727</v>
      </c>
      <c r="Q277" s="15"/>
    </row>
    <row r="278" spans="1:17" ht="22.5" x14ac:dyDescent="0.25">
      <c r="A278" s="11" t="s">
        <v>3138</v>
      </c>
      <c r="B278" s="13" t="s">
        <v>795</v>
      </c>
      <c r="C278" s="10" t="s">
        <v>1451</v>
      </c>
      <c r="D278" s="13" t="s">
        <v>41</v>
      </c>
      <c r="E278" s="14" t="s">
        <v>797</v>
      </c>
      <c r="F278" s="13" t="s">
        <v>773</v>
      </c>
      <c r="G278" s="13"/>
      <c r="H278" s="14">
        <f t="shared" si="7"/>
        <v>1</v>
      </c>
      <c r="I278" s="14">
        <v>1</v>
      </c>
      <c r="J278" s="14">
        <v>1</v>
      </c>
      <c r="K278" s="13" t="s">
        <v>3483</v>
      </c>
      <c r="L278" s="15" t="s">
        <v>667</v>
      </c>
      <c r="M278" s="15">
        <v>91917</v>
      </c>
      <c r="N278" s="15">
        <v>59833</v>
      </c>
      <c r="Q278" s="15"/>
    </row>
    <row r="279" spans="1:17" x14ac:dyDescent="0.25">
      <c r="A279" s="11" t="s">
        <v>3138</v>
      </c>
      <c r="B279" s="13" t="s">
        <v>772</v>
      </c>
      <c r="C279" s="10" t="s">
        <v>801</v>
      </c>
      <c r="D279" s="13" t="s">
        <v>1278</v>
      </c>
      <c r="E279" s="14" t="s">
        <v>772</v>
      </c>
      <c r="F279" s="14" t="s">
        <v>773</v>
      </c>
      <c r="G279" s="13">
        <v>2</v>
      </c>
      <c r="H279" s="14">
        <f t="shared" si="7"/>
        <v>2</v>
      </c>
      <c r="J279" s="14">
        <v>2</v>
      </c>
      <c r="K279" s="13" t="s">
        <v>3482</v>
      </c>
      <c r="L279" s="15" t="s">
        <v>802</v>
      </c>
      <c r="M279" s="15">
        <v>755</v>
      </c>
      <c r="N279" s="15">
        <v>115</v>
      </c>
      <c r="Q279" s="15"/>
    </row>
    <row r="280" spans="1:17" ht="22.5" x14ac:dyDescent="0.25">
      <c r="A280" s="11" t="s">
        <v>3138</v>
      </c>
      <c r="B280" s="13" t="s">
        <v>772</v>
      </c>
      <c r="C280" s="10" t="s">
        <v>806</v>
      </c>
      <c r="D280" s="13" t="s">
        <v>800</v>
      </c>
      <c r="E280" s="14" t="s">
        <v>1220</v>
      </c>
      <c r="F280" s="14" t="s">
        <v>773</v>
      </c>
      <c r="G280" s="13">
        <v>1</v>
      </c>
      <c r="H280" s="14">
        <f t="shared" si="7"/>
        <v>7</v>
      </c>
      <c r="I280" s="14">
        <v>6</v>
      </c>
      <c r="J280" s="14">
        <v>3</v>
      </c>
      <c r="K280" s="13" t="s">
        <v>3481</v>
      </c>
      <c r="L280" s="15" t="s">
        <v>802</v>
      </c>
      <c r="M280" s="15">
        <v>663</v>
      </c>
      <c r="N280" s="15">
        <v>337</v>
      </c>
      <c r="Q280" s="15"/>
    </row>
    <row r="281" spans="1:17" x14ac:dyDescent="0.25">
      <c r="A281" s="11" t="s">
        <v>3138</v>
      </c>
      <c r="B281" s="13" t="s">
        <v>772</v>
      </c>
      <c r="C281" s="10" t="s">
        <v>3484</v>
      </c>
      <c r="D281" s="13" t="s">
        <v>2129</v>
      </c>
      <c r="E281" s="14" t="s">
        <v>806</v>
      </c>
      <c r="F281" s="14" t="s">
        <v>773</v>
      </c>
      <c r="G281" s="13"/>
      <c r="H281" s="14">
        <f t="shared" si="7"/>
        <v>1</v>
      </c>
      <c r="I281" s="14">
        <v>1</v>
      </c>
      <c r="J281" s="14">
        <v>1</v>
      </c>
      <c r="K281" s="13" t="s">
        <v>3483</v>
      </c>
      <c r="L281" s="15" t="s">
        <v>802</v>
      </c>
      <c r="M281" s="15">
        <v>663</v>
      </c>
      <c r="N281" s="15">
        <v>337</v>
      </c>
      <c r="Q281" s="15"/>
    </row>
    <row r="282" spans="1:17" x14ac:dyDescent="0.25">
      <c r="A282" s="11" t="s">
        <v>3138</v>
      </c>
      <c r="B282" s="13" t="s">
        <v>772</v>
      </c>
      <c r="C282" s="10" t="s">
        <v>3174</v>
      </c>
      <c r="D282" s="13" t="s">
        <v>2129</v>
      </c>
      <c r="E282" s="14" t="s">
        <v>806</v>
      </c>
      <c r="F282" s="14" t="s">
        <v>773</v>
      </c>
      <c r="G282" s="13"/>
      <c r="H282" s="14">
        <f>G282+I282</f>
        <v>2</v>
      </c>
      <c r="I282" s="14">
        <v>2</v>
      </c>
      <c r="J282" s="14">
        <v>2</v>
      </c>
      <c r="K282" s="13" t="s">
        <v>3482</v>
      </c>
      <c r="L282" s="15" t="s">
        <v>802</v>
      </c>
      <c r="M282" s="15">
        <v>663</v>
      </c>
      <c r="N282" s="15">
        <v>337</v>
      </c>
      <c r="Q282" s="15"/>
    </row>
    <row r="283" spans="1:17" x14ac:dyDescent="0.25">
      <c r="A283" s="11" t="s">
        <v>3138</v>
      </c>
      <c r="B283" s="13" t="s">
        <v>789</v>
      </c>
      <c r="C283" s="10" t="s">
        <v>3319</v>
      </c>
      <c r="D283" s="13" t="s">
        <v>3320</v>
      </c>
      <c r="E283" s="14" t="s">
        <v>3321</v>
      </c>
      <c r="F283" s="14" t="s">
        <v>773</v>
      </c>
      <c r="G283" s="13"/>
      <c r="H283" s="14">
        <f>G283+I283</f>
        <v>3</v>
      </c>
      <c r="I283" s="14">
        <v>3</v>
      </c>
      <c r="J283" s="14">
        <v>2</v>
      </c>
      <c r="K283" s="13" t="s">
        <v>3324</v>
      </c>
      <c r="L283" s="15" t="s">
        <v>106</v>
      </c>
      <c r="M283" s="15">
        <v>176</v>
      </c>
      <c r="N283" s="15">
        <v>944</v>
      </c>
      <c r="Q283" s="15"/>
    </row>
    <row r="284" spans="1:17" ht="101.25" x14ac:dyDescent="0.25">
      <c r="A284" s="11" t="s">
        <v>3138</v>
      </c>
      <c r="C284" s="10" t="s">
        <v>1892</v>
      </c>
      <c r="F284" s="14" t="s">
        <v>874</v>
      </c>
      <c r="G284" s="13">
        <v>566</v>
      </c>
      <c r="H284" s="14">
        <f t="shared" ref="H284:H306" si="8">G284+I284</f>
        <v>566</v>
      </c>
      <c r="J284" s="14">
        <v>194</v>
      </c>
      <c r="K284" s="13" t="s">
        <v>3705</v>
      </c>
      <c r="Q284" s="15"/>
    </row>
    <row r="285" spans="1:17" x14ac:dyDescent="0.25">
      <c r="A285" s="11" t="s">
        <v>3138</v>
      </c>
      <c r="C285" s="10" t="s">
        <v>489</v>
      </c>
      <c r="F285" s="14" t="s">
        <v>874</v>
      </c>
      <c r="G285" s="13">
        <v>7</v>
      </c>
      <c r="H285" s="14">
        <f t="shared" si="8"/>
        <v>7</v>
      </c>
      <c r="J285" s="14">
        <v>5</v>
      </c>
      <c r="K285" s="13" t="s">
        <v>3706</v>
      </c>
      <c r="Q285" s="15"/>
    </row>
    <row r="286" spans="1:17" ht="22.5" x14ac:dyDescent="0.25">
      <c r="A286" s="11" t="s">
        <v>3138</v>
      </c>
      <c r="C286" s="10" t="s">
        <v>679</v>
      </c>
      <c r="F286" s="14" t="s">
        <v>11</v>
      </c>
      <c r="G286" s="13">
        <v>24</v>
      </c>
      <c r="H286" s="14">
        <f t="shared" si="8"/>
        <v>24</v>
      </c>
      <c r="J286" s="14">
        <v>22</v>
      </c>
      <c r="K286" s="13" t="s">
        <v>3710</v>
      </c>
      <c r="Q286" s="15"/>
    </row>
    <row r="287" spans="1:17" x14ac:dyDescent="0.25">
      <c r="A287" s="11" t="s">
        <v>3138</v>
      </c>
      <c r="C287" s="10" t="s">
        <v>2533</v>
      </c>
      <c r="F287" s="14" t="s">
        <v>11</v>
      </c>
      <c r="G287" s="13">
        <v>1</v>
      </c>
      <c r="H287" s="14">
        <f t="shared" si="8"/>
        <v>1</v>
      </c>
      <c r="J287" s="14">
        <v>1</v>
      </c>
      <c r="K287" s="13" t="s">
        <v>3197</v>
      </c>
      <c r="Q287" s="15"/>
    </row>
    <row r="288" spans="1:17" ht="22.5" x14ac:dyDescent="0.25">
      <c r="A288" s="11" t="s">
        <v>3138</v>
      </c>
      <c r="C288" s="10" t="s">
        <v>265</v>
      </c>
      <c r="F288" s="14" t="s">
        <v>874</v>
      </c>
      <c r="G288" s="13">
        <v>18</v>
      </c>
      <c r="H288" s="14">
        <f t="shared" si="8"/>
        <v>18</v>
      </c>
      <c r="J288" s="14">
        <v>16</v>
      </c>
      <c r="K288" s="13" t="s">
        <v>3709</v>
      </c>
      <c r="Q288" s="15"/>
    </row>
    <row r="289" spans="1:17" x14ac:dyDescent="0.25">
      <c r="A289" s="11" t="s">
        <v>3138</v>
      </c>
      <c r="C289" s="10" t="s">
        <v>303</v>
      </c>
      <c r="F289" s="14" t="s">
        <v>11</v>
      </c>
      <c r="G289" s="13">
        <v>3</v>
      </c>
      <c r="H289" s="14">
        <f t="shared" si="8"/>
        <v>3</v>
      </c>
      <c r="J289" s="14">
        <v>3</v>
      </c>
      <c r="K289" s="13" t="s">
        <v>3139</v>
      </c>
      <c r="Q289" s="15"/>
    </row>
    <row r="290" spans="1:17" x14ac:dyDescent="0.25">
      <c r="A290" s="11" t="s">
        <v>3138</v>
      </c>
      <c r="C290" s="10" t="s">
        <v>841</v>
      </c>
      <c r="F290" s="14" t="s">
        <v>11</v>
      </c>
      <c r="G290" s="13">
        <v>3</v>
      </c>
      <c r="H290" s="14">
        <f t="shared" si="8"/>
        <v>3</v>
      </c>
      <c r="J290" s="14">
        <v>3</v>
      </c>
      <c r="K290" s="13" t="s">
        <v>3712</v>
      </c>
      <c r="Q290" s="15"/>
    </row>
    <row r="291" spans="1:17" x14ac:dyDescent="0.25">
      <c r="A291" s="11" t="s">
        <v>3138</v>
      </c>
      <c r="C291" s="10" t="s">
        <v>302</v>
      </c>
      <c r="F291" s="14" t="s">
        <v>35</v>
      </c>
      <c r="G291" s="13">
        <v>15</v>
      </c>
      <c r="H291" s="14">
        <f t="shared" si="8"/>
        <v>15</v>
      </c>
      <c r="J291" s="14">
        <v>11</v>
      </c>
      <c r="K291" s="13" t="s">
        <v>3708</v>
      </c>
      <c r="Q291" s="15"/>
    </row>
    <row r="292" spans="1:17" x14ac:dyDescent="0.25">
      <c r="A292" s="11" t="s">
        <v>3138</v>
      </c>
      <c r="C292" s="10" t="s">
        <v>680</v>
      </c>
      <c r="F292" s="14" t="s">
        <v>35</v>
      </c>
      <c r="G292" s="13">
        <v>1</v>
      </c>
      <c r="H292" s="14">
        <f t="shared" si="8"/>
        <v>1</v>
      </c>
      <c r="J292" s="14">
        <v>1</v>
      </c>
      <c r="K292" s="13" t="s">
        <v>3711</v>
      </c>
      <c r="Q292" s="15"/>
    </row>
    <row r="293" spans="1:17" x14ac:dyDescent="0.25">
      <c r="A293" s="11" t="s">
        <v>3138</v>
      </c>
      <c r="C293" s="10" t="s">
        <v>1893</v>
      </c>
      <c r="F293" s="14" t="s">
        <v>874</v>
      </c>
      <c r="G293" s="13">
        <v>2</v>
      </c>
      <c r="H293" s="14">
        <f t="shared" si="8"/>
        <v>2</v>
      </c>
      <c r="J293" s="14">
        <v>2</v>
      </c>
      <c r="K293" s="13" t="s">
        <v>3707</v>
      </c>
      <c r="Q293" s="15"/>
    </row>
    <row r="294" spans="1:17" x14ac:dyDescent="0.25">
      <c r="A294" s="11" t="s">
        <v>3138</v>
      </c>
      <c r="C294" s="10" t="s">
        <v>1894</v>
      </c>
      <c r="E294" s="14" t="s">
        <v>2644</v>
      </c>
      <c r="F294" s="14" t="s">
        <v>874</v>
      </c>
      <c r="G294" s="13">
        <v>1</v>
      </c>
      <c r="H294" s="14">
        <f t="shared" si="8"/>
        <v>1</v>
      </c>
      <c r="J294" s="14">
        <v>1</v>
      </c>
      <c r="K294" s="13" t="s">
        <v>3366</v>
      </c>
      <c r="Q294" s="15"/>
    </row>
    <row r="295" spans="1:17" x14ac:dyDescent="0.25">
      <c r="A295" s="11" t="s">
        <v>3138</v>
      </c>
      <c r="B295" s="13" t="s">
        <v>297</v>
      </c>
      <c r="E295" s="14" t="s">
        <v>918</v>
      </c>
      <c r="F295" s="14" t="s">
        <v>11</v>
      </c>
      <c r="G295" s="13">
        <v>5</v>
      </c>
      <c r="H295" s="14">
        <f t="shared" si="8"/>
        <v>5</v>
      </c>
      <c r="J295" s="14">
        <v>3</v>
      </c>
      <c r="K295" s="13" t="s">
        <v>3612</v>
      </c>
      <c r="Q295" s="15"/>
    </row>
    <row r="296" spans="1:17" x14ac:dyDescent="0.25">
      <c r="A296" s="11" t="s">
        <v>3138</v>
      </c>
      <c r="B296" s="13" t="s">
        <v>76</v>
      </c>
      <c r="C296" s="10" t="s">
        <v>3438</v>
      </c>
      <c r="F296" s="14" t="s">
        <v>11</v>
      </c>
      <c r="G296" s="13">
        <v>1</v>
      </c>
      <c r="H296" s="14">
        <f>G296+I296</f>
        <v>1</v>
      </c>
      <c r="J296" s="14">
        <v>1</v>
      </c>
      <c r="K296" s="13" t="s">
        <v>3434</v>
      </c>
      <c r="Q296" s="15"/>
    </row>
    <row r="297" spans="1:17" x14ac:dyDescent="0.25">
      <c r="A297" s="11" t="s">
        <v>3138</v>
      </c>
      <c r="B297" s="13" t="s">
        <v>76</v>
      </c>
      <c r="D297" s="13" t="s">
        <v>1940</v>
      </c>
      <c r="F297" s="14" t="s">
        <v>11</v>
      </c>
      <c r="G297" s="13">
        <v>2</v>
      </c>
      <c r="H297" s="14">
        <f>G297+I297</f>
        <v>2</v>
      </c>
      <c r="J297" s="14">
        <v>2</v>
      </c>
      <c r="K297" s="13" t="s">
        <v>3740</v>
      </c>
      <c r="Q297" s="15"/>
    </row>
    <row r="298" spans="1:17" x14ac:dyDescent="0.25">
      <c r="A298" s="11" t="s">
        <v>3138</v>
      </c>
      <c r="B298" s="13" t="s">
        <v>76</v>
      </c>
      <c r="C298" s="10" t="s">
        <v>2350</v>
      </c>
      <c r="F298" s="14" t="s">
        <v>11</v>
      </c>
      <c r="G298" s="13">
        <v>2</v>
      </c>
      <c r="H298" s="14">
        <f>G298+I298</f>
        <v>2</v>
      </c>
      <c r="J298" s="14">
        <v>2</v>
      </c>
      <c r="K298" s="13" t="s">
        <v>3156</v>
      </c>
      <c r="Q298" s="15"/>
    </row>
    <row r="299" spans="1:17" x14ac:dyDescent="0.25">
      <c r="A299" s="11" t="s">
        <v>3138</v>
      </c>
      <c r="B299" s="13" t="s">
        <v>42</v>
      </c>
      <c r="C299" s="10" t="s">
        <v>42</v>
      </c>
      <c r="F299" s="14" t="s">
        <v>11</v>
      </c>
      <c r="G299" s="13">
        <v>4</v>
      </c>
      <c r="H299" s="14">
        <f t="shared" si="8"/>
        <v>4</v>
      </c>
      <c r="J299" s="14">
        <v>4</v>
      </c>
      <c r="K299" s="13" t="s">
        <v>3704</v>
      </c>
      <c r="Q299" s="15"/>
    </row>
    <row r="300" spans="1:17" x14ac:dyDescent="0.25">
      <c r="A300" s="11" t="s">
        <v>3138</v>
      </c>
      <c r="B300" s="13" t="s">
        <v>42</v>
      </c>
      <c r="C300" s="10" t="s">
        <v>3703</v>
      </c>
      <c r="F300" s="14" t="s">
        <v>11</v>
      </c>
      <c r="G300" s="13">
        <v>1</v>
      </c>
      <c r="H300" s="14">
        <f>G300+I300</f>
        <v>1</v>
      </c>
      <c r="J300" s="14">
        <v>1</v>
      </c>
      <c r="K300" s="13" t="s">
        <v>3698</v>
      </c>
      <c r="Q300" s="15"/>
    </row>
    <row r="301" spans="1:17" x14ac:dyDescent="0.25">
      <c r="A301" s="11" t="s">
        <v>3138</v>
      </c>
      <c r="B301" s="13" t="s">
        <v>10</v>
      </c>
      <c r="E301" s="14" t="s">
        <v>326</v>
      </c>
      <c r="F301" s="14" t="s">
        <v>11</v>
      </c>
      <c r="G301" s="13">
        <v>2</v>
      </c>
      <c r="H301" s="14">
        <f t="shared" si="8"/>
        <v>2</v>
      </c>
      <c r="J301" s="14">
        <v>2</v>
      </c>
      <c r="K301" s="13" t="s">
        <v>3343</v>
      </c>
      <c r="Q301" s="15"/>
    </row>
    <row r="302" spans="1:17" x14ac:dyDescent="0.25">
      <c r="A302" s="11" t="s">
        <v>3138</v>
      </c>
      <c r="B302" s="13" t="s">
        <v>126</v>
      </c>
      <c r="E302" s="14" t="s">
        <v>1137</v>
      </c>
      <c r="F302" s="14" t="s">
        <v>11</v>
      </c>
      <c r="G302" s="13">
        <v>2</v>
      </c>
      <c r="H302" s="14">
        <f t="shared" si="8"/>
        <v>2</v>
      </c>
      <c r="J302" s="14">
        <v>2</v>
      </c>
      <c r="K302" s="13" t="s">
        <v>3376</v>
      </c>
      <c r="Q302" s="15"/>
    </row>
    <row r="303" spans="1:17" x14ac:dyDescent="0.25">
      <c r="A303" s="11" t="s">
        <v>3138</v>
      </c>
      <c r="B303" s="13" t="s">
        <v>191</v>
      </c>
      <c r="F303" s="14" t="s">
        <v>11</v>
      </c>
      <c r="G303" s="13">
        <v>8</v>
      </c>
      <c r="H303" s="14">
        <f t="shared" si="8"/>
        <v>8</v>
      </c>
      <c r="J303" s="14">
        <v>8</v>
      </c>
      <c r="K303" s="13" t="s">
        <v>3702</v>
      </c>
      <c r="Q303" s="15"/>
    </row>
    <row r="304" spans="1:17" x14ac:dyDescent="0.25">
      <c r="A304" s="11" t="s">
        <v>3138</v>
      </c>
      <c r="B304" s="13" t="s">
        <v>191</v>
      </c>
      <c r="C304" s="10" t="s">
        <v>3701</v>
      </c>
      <c r="F304" s="14" t="s">
        <v>11</v>
      </c>
      <c r="G304" s="13">
        <v>1</v>
      </c>
      <c r="H304" s="14">
        <f>G304+I304</f>
        <v>1</v>
      </c>
      <c r="J304" s="14">
        <v>1</v>
      </c>
      <c r="K304" s="13" t="s">
        <v>3698</v>
      </c>
      <c r="Q304" s="15"/>
    </row>
    <row r="305" spans="1:17" x14ac:dyDescent="0.25">
      <c r="A305" s="11" t="s">
        <v>3138</v>
      </c>
      <c r="B305" s="13" t="s">
        <v>191</v>
      </c>
      <c r="C305" s="10" t="s">
        <v>2423</v>
      </c>
      <c r="F305" s="14" t="s">
        <v>11</v>
      </c>
      <c r="G305" s="13">
        <v>1</v>
      </c>
      <c r="H305" s="14">
        <f>G305+I305</f>
        <v>1</v>
      </c>
      <c r="J305" s="14">
        <v>1</v>
      </c>
      <c r="K305" s="13" t="s">
        <v>1243</v>
      </c>
      <c r="Q305" s="15"/>
    </row>
    <row r="306" spans="1:17" x14ac:dyDescent="0.25">
      <c r="A306" s="11" t="s">
        <v>3138</v>
      </c>
      <c r="B306" s="13" t="s">
        <v>68</v>
      </c>
      <c r="C306" s="10" t="s">
        <v>68</v>
      </c>
      <c r="F306" s="14" t="s">
        <v>11</v>
      </c>
      <c r="G306" s="13">
        <v>11</v>
      </c>
      <c r="H306" s="14">
        <f t="shared" si="8"/>
        <v>11</v>
      </c>
      <c r="J306" s="14">
        <v>8</v>
      </c>
      <c r="K306" s="13" t="s">
        <v>3737</v>
      </c>
      <c r="Q306" s="15"/>
    </row>
    <row r="307" spans="1:17" x14ac:dyDescent="0.25">
      <c r="A307" s="11" t="s">
        <v>3138</v>
      </c>
      <c r="B307" s="13" t="s">
        <v>68</v>
      </c>
      <c r="C307" s="10" t="s">
        <v>3699</v>
      </c>
      <c r="E307" s="14" t="s">
        <v>2397</v>
      </c>
      <c r="F307" s="14" t="s">
        <v>11</v>
      </c>
      <c r="G307" s="13">
        <v>1</v>
      </c>
      <c r="H307" s="14">
        <f>G307+I307</f>
        <v>1</v>
      </c>
      <c r="J307" s="14">
        <v>1</v>
      </c>
      <c r="K307" s="13" t="s">
        <v>3700</v>
      </c>
      <c r="Q307" s="15"/>
    </row>
    <row r="308" spans="1:17" x14ac:dyDescent="0.25">
      <c r="A308" s="11" t="s">
        <v>3138</v>
      </c>
      <c r="B308" s="13" t="s">
        <v>327</v>
      </c>
      <c r="C308" s="10" t="s">
        <v>282</v>
      </c>
      <c r="E308" s="14" t="s">
        <v>677</v>
      </c>
      <c r="F308" s="14" t="s">
        <v>11</v>
      </c>
      <c r="G308" s="13">
        <v>6</v>
      </c>
      <c r="H308" s="14">
        <f>G308+I308</f>
        <v>6</v>
      </c>
      <c r="J308" s="14">
        <v>5</v>
      </c>
      <c r="K308" s="13" t="s">
        <v>3615</v>
      </c>
      <c r="Q308" s="15"/>
    </row>
    <row r="309" spans="1:17" x14ac:dyDescent="0.25">
      <c r="A309" s="11" t="s">
        <v>3138</v>
      </c>
      <c r="B309" s="13" t="s">
        <v>327</v>
      </c>
      <c r="C309" s="10" t="s">
        <v>2204</v>
      </c>
      <c r="E309" s="14" t="s">
        <v>677</v>
      </c>
      <c r="F309" s="14" t="s">
        <v>11</v>
      </c>
      <c r="G309" s="13">
        <v>1</v>
      </c>
      <c r="H309" s="14">
        <f>G309+I309</f>
        <v>1</v>
      </c>
      <c r="J309" s="14">
        <v>1</v>
      </c>
      <c r="K309" s="13" t="s">
        <v>2216</v>
      </c>
      <c r="Q309" s="15"/>
    </row>
    <row r="310" spans="1:17" x14ac:dyDescent="0.25">
      <c r="A310" s="11" t="s">
        <v>3138</v>
      </c>
      <c r="B310" s="13" t="s">
        <v>2006</v>
      </c>
      <c r="F310" s="14" t="s">
        <v>11</v>
      </c>
      <c r="G310" s="13">
        <v>1</v>
      </c>
      <c r="H310" s="14">
        <f t="shared" ref="H310:H374" si="9">G310+I310</f>
        <v>1</v>
      </c>
      <c r="J310" s="14">
        <v>1</v>
      </c>
      <c r="K310" s="13" t="s">
        <v>3205</v>
      </c>
      <c r="Q310" s="15"/>
    </row>
    <row r="311" spans="1:17" x14ac:dyDescent="0.25">
      <c r="A311" s="11" t="s">
        <v>3138</v>
      </c>
      <c r="B311" s="13" t="s">
        <v>3231</v>
      </c>
      <c r="F311" s="14" t="s">
        <v>11</v>
      </c>
      <c r="G311" s="13">
        <v>1</v>
      </c>
      <c r="H311" s="14">
        <f>G311+I311</f>
        <v>1</v>
      </c>
      <c r="J311" s="14">
        <v>1</v>
      </c>
      <c r="K311" s="13" t="s">
        <v>3221</v>
      </c>
      <c r="Q311" s="15"/>
    </row>
    <row r="312" spans="1:17" x14ac:dyDescent="0.25">
      <c r="A312" s="11" t="s">
        <v>3138</v>
      </c>
      <c r="B312" s="13" t="s">
        <v>209</v>
      </c>
      <c r="F312" s="14" t="s">
        <v>11</v>
      </c>
      <c r="G312" s="13">
        <v>2</v>
      </c>
      <c r="H312" s="14">
        <f t="shared" si="9"/>
        <v>2</v>
      </c>
      <c r="J312" s="14">
        <v>2</v>
      </c>
      <c r="K312" s="13" t="s">
        <v>3738</v>
      </c>
      <c r="Q312" s="15"/>
    </row>
    <row r="313" spans="1:17" x14ac:dyDescent="0.25">
      <c r="A313" s="11" t="s">
        <v>3138</v>
      </c>
      <c r="B313" s="13" t="s">
        <v>64</v>
      </c>
      <c r="F313" s="14" t="s">
        <v>11</v>
      </c>
      <c r="G313" s="13">
        <v>4</v>
      </c>
      <c r="H313" s="14">
        <f t="shared" si="9"/>
        <v>4</v>
      </c>
      <c r="J313" s="14">
        <v>3</v>
      </c>
      <c r="K313" s="13" t="s">
        <v>3432</v>
      </c>
      <c r="Q313" s="15"/>
    </row>
    <row r="314" spans="1:17" x14ac:dyDescent="0.25">
      <c r="A314" s="11" t="s">
        <v>3138</v>
      </c>
      <c r="B314" s="13" t="s">
        <v>261</v>
      </c>
      <c r="F314" s="14" t="s">
        <v>11</v>
      </c>
      <c r="G314" s="13">
        <v>3</v>
      </c>
      <c r="H314" s="14">
        <f t="shared" si="9"/>
        <v>3</v>
      </c>
      <c r="J314" s="14">
        <v>3</v>
      </c>
      <c r="K314" s="13" t="s">
        <v>3435</v>
      </c>
      <c r="Q314" s="15"/>
    </row>
    <row r="315" spans="1:17" x14ac:dyDescent="0.25">
      <c r="A315" s="11" t="s">
        <v>3138</v>
      </c>
      <c r="B315" s="13" t="s">
        <v>705</v>
      </c>
      <c r="C315" s="10" t="s">
        <v>3344</v>
      </c>
      <c r="F315" s="14" t="s">
        <v>11</v>
      </c>
      <c r="G315" s="13">
        <v>2</v>
      </c>
      <c r="H315" s="14">
        <f>G315+I315</f>
        <v>2</v>
      </c>
      <c r="J315" s="14">
        <v>2</v>
      </c>
      <c r="K315" s="13" t="s">
        <v>3326</v>
      </c>
      <c r="Q315" s="15"/>
    </row>
    <row r="316" spans="1:17" x14ac:dyDescent="0.25">
      <c r="A316" s="11" t="s">
        <v>3138</v>
      </c>
      <c r="B316" s="13" t="s">
        <v>283</v>
      </c>
      <c r="F316" s="14" t="s">
        <v>11</v>
      </c>
      <c r="G316" s="13">
        <v>13</v>
      </c>
      <c r="H316" s="14">
        <f t="shared" si="9"/>
        <v>13</v>
      </c>
      <c r="J316" s="14">
        <v>10</v>
      </c>
      <c r="K316" s="13" t="s">
        <v>3739</v>
      </c>
      <c r="Q316" s="15"/>
    </row>
    <row r="317" spans="1:17" x14ac:dyDescent="0.25">
      <c r="A317" s="11" t="s">
        <v>3138</v>
      </c>
      <c r="B317" s="13" t="s">
        <v>328</v>
      </c>
      <c r="C317" s="10" t="s">
        <v>1778</v>
      </c>
      <c r="F317" s="14" t="s">
        <v>11</v>
      </c>
      <c r="G317" s="13">
        <v>3</v>
      </c>
      <c r="H317" s="14">
        <f t="shared" si="9"/>
        <v>3</v>
      </c>
      <c r="J317" s="14">
        <v>3</v>
      </c>
      <c r="K317" s="13" t="s">
        <v>3433</v>
      </c>
      <c r="Q317" s="15"/>
    </row>
    <row r="318" spans="1:17" x14ac:dyDescent="0.25">
      <c r="A318" s="11" t="s">
        <v>3138</v>
      </c>
      <c r="B318" s="13" t="s">
        <v>78</v>
      </c>
      <c r="F318" s="14" t="s">
        <v>11</v>
      </c>
      <c r="G318" s="13">
        <v>3</v>
      </c>
      <c r="H318" s="14">
        <f t="shared" si="9"/>
        <v>3</v>
      </c>
      <c r="J318" s="14">
        <v>3</v>
      </c>
      <c r="K318" s="13" t="s">
        <v>3741</v>
      </c>
      <c r="Q318" s="15"/>
    </row>
    <row r="319" spans="1:17" x14ac:dyDescent="0.25">
      <c r="A319" s="11" t="s">
        <v>3138</v>
      </c>
      <c r="B319" s="13" t="s">
        <v>206</v>
      </c>
      <c r="F319" s="14" t="s">
        <v>11</v>
      </c>
      <c r="G319" s="13">
        <v>4</v>
      </c>
      <c r="H319" s="14">
        <f t="shared" si="9"/>
        <v>4</v>
      </c>
      <c r="J319" s="14">
        <v>4</v>
      </c>
      <c r="K319" s="13" t="s">
        <v>3742</v>
      </c>
      <c r="Q319" s="15"/>
    </row>
    <row r="320" spans="1:17" x14ac:dyDescent="0.25">
      <c r="A320" s="11" t="s">
        <v>3138</v>
      </c>
      <c r="B320" s="13" t="s">
        <v>206</v>
      </c>
      <c r="C320" s="10" t="s">
        <v>2455</v>
      </c>
      <c r="F320" s="14" t="s">
        <v>11</v>
      </c>
      <c r="G320" s="13">
        <v>1</v>
      </c>
      <c r="H320" s="14">
        <f>G320+I320</f>
        <v>1</v>
      </c>
      <c r="J320" s="14">
        <v>1</v>
      </c>
      <c r="K320" s="13" t="s">
        <v>3205</v>
      </c>
      <c r="Q320" s="15"/>
    </row>
    <row r="321" spans="1:17" x14ac:dyDescent="0.25">
      <c r="A321" s="11" t="s">
        <v>3138</v>
      </c>
      <c r="B321" s="13" t="s">
        <v>46</v>
      </c>
      <c r="F321" s="14" t="s">
        <v>11</v>
      </c>
      <c r="G321" s="13">
        <v>2</v>
      </c>
      <c r="H321" s="14">
        <f t="shared" si="9"/>
        <v>2</v>
      </c>
      <c r="J321" s="14">
        <v>2</v>
      </c>
      <c r="K321" s="13" t="s">
        <v>3613</v>
      </c>
      <c r="Q321" s="15"/>
    </row>
    <row r="322" spans="1:17" ht="22.5" x14ac:dyDescent="0.25">
      <c r="A322" s="11" t="s">
        <v>3138</v>
      </c>
      <c r="B322" s="13" t="s">
        <v>3191</v>
      </c>
      <c r="C322" s="10" t="s">
        <v>3192</v>
      </c>
      <c r="D322" s="13" t="s">
        <v>3186</v>
      </c>
      <c r="E322" s="14" t="s">
        <v>3193</v>
      </c>
      <c r="F322" s="14" t="s">
        <v>11</v>
      </c>
      <c r="G322" s="13"/>
      <c r="H322" s="14">
        <f>G322+I322</f>
        <v>1</v>
      </c>
      <c r="I322" s="14">
        <v>1</v>
      </c>
      <c r="J322" s="14">
        <v>1</v>
      </c>
      <c r="K322" s="13" t="s">
        <v>3189</v>
      </c>
      <c r="Q322" s="15"/>
    </row>
    <row r="323" spans="1:17" x14ac:dyDescent="0.25">
      <c r="A323" s="11" t="s">
        <v>3138</v>
      </c>
      <c r="B323" s="13" t="s">
        <v>62</v>
      </c>
      <c r="F323" s="14" t="s">
        <v>11</v>
      </c>
      <c r="G323" s="13">
        <v>4</v>
      </c>
      <c r="H323" s="14">
        <f t="shared" si="9"/>
        <v>4</v>
      </c>
      <c r="J323" s="14">
        <v>4</v>
      </c>
      <c r="K323" s="13" t="s">
        <v>3587</v>
      </c>
      <c r="Q323" s="15"/>
    </row>
    <row r="324" spans="1:17" x14ac:dyDescent="0.25">
      <c r="A324" s="11" t="s">
        <v>3138</v>
      </c>
      <c r="B324" s="13" t="s">
        <v>62</v>
      </c>
      <c r="C324" s="10" t="s">
        <v>3155</v>
      </c>
      <c r="F324" s="14" t="s">
        <v>11</v>
      </c>
      <c r="G324" s="13">
        <v>2</v>
      </c>
      <c r="H324" s="14">
        <f>G324+I324</f>
        <v>2</v>
      </c>
      <c r="J324" s="14">
        <v>2</v>
      </c>
      <c r="K324" s="13" t="s">
        <v>3190</v>
      </c>
      <c r="Q324" s="15"/>
    </row>
    <row r="325" spans="1:17" x14ac:dyDescent="0.25">
      <c r="A325" s="11" t="s">
        <v>3138</v>
      </c>
      <c r="B325" s="13" t="s">
        <v>22</v>
      </c>
      <c r="E325" s="14" t="s">
        <v>22</v>
      </c>
      <c r="F325" s="14" t="s">
        <v>11</v>
      </c>
      <c r="G325" s="13">
        <v>4</v>
      </c>
      <c r="H325" s="14">
        <f t="shared" si="9"/>
        <v>4</v>
      </c>
      <c r="J325" s="14">
        <v>3</v>
      </c>
      <c r="K325" s="13" t="s">
        <v>3618</v>
      </c>
      <c r="Q325" s="15"/>
    </row>
    <row r="326" spans="1:17" x14ac:dyDescent="0.25">
      <c r="A326" s="11" t="s">
        <v>3138</v>
      </c>
      <c r="B326" s="13" t="s">
        <v>22</v>
      </c>
      <c r="C326" s="10" t="s">
        <v>3301</v>
      </c>
      <c r="E326" s="14" t="s">
        <v>22</v>
      </c>
      <c r="F326" s="14" t="s">
        <v>11</v>
      </c>
      <c r="G326" s="13">
        <v>1</v>
      </c>
      <c r="H326" s="14">
        <f>G326+I326</f>
        <v>1</v>
      </c>
      <c r="J326" s="14">
        <v>1</v>
      </c>
      <c r="K326" s="13" t="s">
        <v>3276</v>
      </c>
      <c r="Q326" s="15"/>
    </row>
    <row r="327" spans="1:17" x14ac:dyDescent="0.25">
      <c r="A327" s="11" t="s">
        <v>3138</v>
      </c>
      <c r="B327" s="13" t="s">
        <v>22</v>
      </c>
      <c r="C327" s="10" t="s">
        <v>2398</v>
      </c>
      <c r="E327" s="14" t="s">
        <v>149</v>
      </c>
      <c r="F327" s="14" t="s">
        <v>11</v>
      </c>
      <c r="G327" s="13">
        <v>3</v>
      </c>
      <c r="H327" s="14">
        <f>G327+I327</f>
        <v>3</v>
      </c>
      <c r="J327" s="14">
        <v>2</v>
      </c>
      <c r="K327" s="13" t="s">
        <v>3279</v>
      </c>
      <c r="Q327" s="15"/>
    </row>
    <row r="328" spans="1:17" x14ac:dyDescent="0.25">
      <c r="A328" s="11" t="s">
        <v>3138</v>
      </c>
      <c r="B328" s="13" t="s">
        <v>22</v>
      </c>
      <c r="C328" s="10" t="s">
        <v>3300</v>
      </c>
      <c r="E328" s="14" t="s">
        <v>149</v>
      </c>
      <c r="F328" s="14" t="s">
        <v>11</v>
      </c>
      <c r="G328" s="13">
        <v>1</v>
      </c>
      <c r="H328" s="14">
        <f>G328+I328</f>
        <v>1</v>
      </c>
      <c r="J328" s="14">
        <v>1</v>
      </c>
      <c r="K328" s="13" t="s">
        <v>3276</v>
      </c>
      <c r="Q328" s="15"/>
    </row>
    <row r="329" spans="1:17" x14ac:dyDescent="0.25">
      <c r="A329" s="11" t="s">
        <v>3138</v>
      </c>
      <c r="B329" s="13" t="s">
        <v>22</v>
      </c>
      <c r="C329" s="10" t="s">
        <v>149</v>
      </c>
      <c r="E329" s="14" t="s">
        <v>22</v>
      </c>
      <c r="F329" s="14" t="s">
        <v>11</v>
      </c>
      <c r="G329" s="13">
        <v>4</v>
      </c>
      <c r="H329" s="14">
        <f t="shared" si="9"/>
        <v>4</v>
      </c>
      <c r="J329" s="14">
        <v>3</v>
      </c>
      <c r="K329" s="13" t="s">
        <v>3302</v>
      </c>
      <c r="Q329" s="15"/>
    </row>
    <row r="330" spans="1:17" x14ac:dyDescent="0.25">
      <c r="A330" s="11" t="s">
        <v>3138</v>
      </c>
      <c r="B330" s="13" t="s">
        <v>22</v>
      </c>
      <c r="C330" s="10" t="s">
        <v>149</v>
      </c>
      <c r="E330" s="14" t="s">
        <v>3304</v>
      </c>
      <c r="F330" s="14" t="s">
        <v>11</v>
      </c>
      <c r="G330" s="13">
        <v>1</v>
      </c>
      <c r="H330" s="14">
        <f>G330+I330</f>
        <v>1</v>
      </c>
      <c r="J330" s="14">
        <v>1</v>
      </c>
      <c r="K330" s="13" t="s">
        <v>3305</v>
      </c>
      <c r="Q330" s="15"/>
    </row>
    <row r="331" spans="1:17" x14ac:dyDescent="0.25">
      <c r="A331" s="11" t="s">
        <v>3138</v>
      </c>
      <c r="B331" s="13" t="s">
        <v>22</v>
      </c>
      <c r="C331" s="10" t="s">
        <v>3299</v>
      </c>
      <c r="E331" s="14" t="s">
        <v>149</v>
      </c>
      <c r="F331" s="14" t="s">
        <v>11</v>
      </c>
      <c r="G331" s="13">
        <v>1</v>
      </c>
      <c r="H331" s="14">
        <f>G331+I331</f>
        <v>1</v>
      </c>
      <c r="J331" s="14">
        <v>1</v>
      </c>
      <c r="K331" s="13" t="s">
        <v>3276</v>
      </c>
      <c r="Q331" s="15"/>
    </row>
    <row r="332" spans="1:17" x14ac:dyDescent="0.25">
      <c r="A332" s="11" t="s">
        <v>3138</v>
      </c>
      <c r="B332" s="13" t="s">
        <v>93</v>
      </c>
      <c r="E332" s="14" t="s">
        <v>103</v>
      </c>
      <c r="F332" s="14" t="s">
        <v>11</v>
      </c>
      <c r="G332" s="13">
        <v>1</v>
      </c>
      <c r="H332" s="14">
        <f>G332+I332</f>
        <v>1</v>
      </c>
      <c r="J332" s="14">
        <v>1</v>
      </c>
      <c r="K332" s="13" t="s">
        <v>3622</v>
      </c>
      <c r="Q332" s="15"/>
    </row>
    <row r="333" spans="1:17" x14ac:dyDescent="0.25">
      <c r="A333" s="11" t="s">
        <v>3138</v>
      </c>
      <c r="B333" s="13" t="s">
        <v>93</v>
      </c>
      <c r="F333" s="14" t="s">
        <v>11</v>
      </c>
      <c r="G333" s="13">
        <v>21</v>
      </c>
      <c r="H333" s="14">
        <f t="shared" si="9"/>
        <v>21</v>
      </c>
      <c r="J333" s="14">
        <v>14</v>
      </c>
      <c r="K333" s="13" t="s">
        <v>3749</v>
      </c>
      <c r="Q333" s="15"/>
    </row>
    <row r="334" spans="1:17" x14ac:dyDescent="0.25">
      <c r="A334" s="11" t="s">
        <v>3138</v>
      </c>
      <c r="B334" s="13" t="s">
        <v>24</v>
      </c>
      <c r="C334" s="10" t="s">
        <v>3298</v>
      </c>
      <c r="F334" s="14" t="s">
        <v>11</v>
      </c>
      <c r="G334" s="13">
        <v>1</v>
      </c>
      <c r="H334" s="14">
        <f>G334+I334</f>
        <v>1</v>
      </c>
      <c r="J334" s="14">
        <v>1</v>
      </c>
      <c r="K334" s="13" t="s">
        <v>3274</v>
      </c>
      <c r="Q334" s="15"/>
    </row>
    <row r="335" spans="1:17" x14ac:dyDescent="0.25">
      <c r="A335" s="11" t="s">
        <v>3138</v>
      </c>
      <c r="B335" s="13" t="s">
        <v>24</v>
      </c>
      <c r="C335" s="10" t="s">
        <v>24</v>
      </c>
      <c r="F335" s="14" t="s">
        <v>11</v>
      </c>
      <c r="G335" s="13">
        <v>6</v>
      </c>
      <c r="H335" s="14">
        <f t="shared" si="9"/>
        <v>6</v>
      </c>
      <c r="J335" s="14">
        <v>6</v>
      </c>
      <c r="K335" s="13" t="s">
        <v>3735</v>
      </c>
      <c r="Q335" s="15"/>
    </row>
    <row r="336" spans="1:17" x14ac:dyDescent="0.25">
      <c r="A336" s="11" t="s">
        <v>3138</v>
      </c>
      <c r="B336" s="13" t="s">
        <v>24</v>
      </c>
      <c r="C336" s="10" t="s">
        <v>3141</v>
      </c>
      <c r="F336" s="14" t="s">
        <v>11</v>
      </c>
      <c r="G336" s="13">
        <v>4</v>
      </c>
      <c r="H336" s="14">
        <f>G336+I336</f>
        <v>4</v>
      </c>
      <c r="J336" s="14">
        <v>4</v>
      </c>
      <c r="K336" s="13" t="s">
        <v>3436</v>
      </c>
      <c r="Q336" s="15"/>
    </row>
    <row r="337" spans="1:17" x14ac:dyDescent="0.25">
      <c r="A337" s="11" t="s">
        <v>3138</v>
      </c>
      <c r="B337" s="13" t="s">
        <v>24</v>
      </c>
      <c r="C337" s="10" t="s">
        <v>3214</v>
      </c>
      <c r="F337" s="14" t="s">
        <v>11</v>
      </c>
      <c r="G337" s="13">
        <v>2</v>
      </c>
      <c r="H337" s="14">
        <f>G337+I337</f>
        <v>2</v>
      </c>
      <c r="J337" s="14">
        <v>2</v>
      </c>
      <c r="K337" s="13" t="s">
        <v>3297</v>
      </c>
      <c r="Q337" s="15"/>
    </row>
    <row r="338" spans="1:17" x14ac:dyDescent="0.25">
      <c r="A338" s="11" t="s">
        <v>3138</v>
      </c>
      <c r="B338" s="13" t="s">
        <v>24</v>
      </c>
      <c r="C338" s="10" t="s">
        <v>848</v>
      </c>
      <c r="E338" s="14" t="s">
        <v>21</v>
      </c>
      <c r="F338" s="14" t="s">
        <v>11</v>
      </c>
      <c r="G338" s="13">
        <v>2</v>
      </c>
      <c r="H338" s="14">
        <f>G338+I338</f>
        <v>2</v>
      </c>
      <c r="J338" s="14">
        <v>2</v>
      </c>
      <c r="K338" s="13" t="s">
        <v>3736</v>
      </c>
      <c r="Q338" s="15"/>
    </row>
    <row r="339" spans="1:17" x14ac:dyDescent="0.25">
      <c r="A339" s="11" t="s">
        <v>3138</v>
      </c>
      <c r="B339" s="13" t="s">
        <v>3208</v>
      </c>
      <c r="C339" s="10" t="s">
        <v>3232</v>
      </c>
      <c r="F339" s="14" t="s">
        <v>11</v>
      </c>
      <c r="G339" s="13">
        <v>1</v>
      </c>
      <c r="H339" s="14">
        <f t="shared" si="9"/>
        <v>1</v>
      </c>
      <c r="J339" s="14">
        <v>1</v>
      </c>
      <c r="K339" s="13" t="s">
        <v>3205</v>
      </c>
      <c r="Q339" s="15"/>
    </row>
    <row r="340" spans="1:17" x14ac:dyDescent="0.25">
      <c r="A340" s="11" t="s">
        <v>3138</v>
      </c>
      <c r="B340" s="13" t="s">
        <v>3208</v>
      </c>
      <c r="C340" s="10" t="s">
        <v>3259</v>
      </c>
      <c r="F340" s="14" t="s">
        <v>11</v>
      </c>
      <c r="G340" s="13">
        <v>1</v>
      </c>
      <c r="H340" s="14">
        <f t="shared" ref="H340:H345" si="10">G340+I340</f>
        <v>1</v>
      </c>
      <c r="J340" s="14">
        <v>1</v>
      </c>
      <c r="K340" s="13" t="s">
        <v>3258</v>
      </c>
      <c r="Q340" s="15"/>
    </row>
    <row r="341" spans="1:17" x14ac:dyDescent="0.25">
      <c r="A341" s="11" t="s">
        <v>3138</v>
      </c>
      <c r="B341" s="13" t="s">
        <v>416</v>
      </c>
      <c r="C341" s="10" t="s">
        <v>416</v>
      </c>
      <c r="F341" s="14" t="s">
        <v>11</v>
      </c>
      <c r="G341" s="13">
        <v>8</v>
      </c>
      <c r="H341" s="14">
        <f t="shared" si="10"/>
        <v>8</v>
      </c>
      <c r="J341" s="14">
        <v>6</v>
      </c>
      <c r="K341" s="13" t="s">
        <v>3585</v>
      </c>
      <c r="Q341" s="15"/>
    </row>
    <row r="342" spans="1:17" x14ac:dyDescent="0.25">
      <c r="A342" s="11" t="s">
        <v>3138</v>
      </c>
      <c r="B342" s="13" t="s">
        <v>416</v>
      </c>
      <c r="C342" s="10" t="s">
        <v>3598</v>
      </c>
      <c r="F342" s="14" t="s">
        <v>11</v>
      </c>
      <c r="G342" s="13">
        <v>1</v>
      </c>
      <c r="H342" s="14">
        <f t="shared" si="10"/>
        <v>1</v>
      </c>
      <c r="J342" s="14">
        <v>1</v>
      </c>
      <c r="K342" s="13" t="s">
        <v>3599</v>
      </c>
      <c r="Q342" s="15"/>
    </row>
    <row r="343" spans="1:17" x14ac:dyDescent="0.25">
      <c r="A343" s="11" t="s">
        <v>3138</v>
      </c>
      <c r="B343" s="13" t="s">
        <v>139</v>
      </c>
      <c r="F343" s="14" t="s">
        <v>11</v>
      </c>
      <c r="G343" s="13">
        <v>1</v>
      </c>
      <c r="H343" s="14">
        <f t="shared" si="10"/>
        <v>1</v>
      </c>
      <c r="J343" s="14">
        <v>1</v>
      </c>
      <c r="K343" s="13" t="s">
        <v>1764</v>
      </c>
      <c r="Q343" s="15"/>
    </row>
    <row r="344" spans="1:17" x14ac:dyDescent="0.25">
      <c r="A344" s="11" t="s">
        <v>3138</v>
      </c>
      <c r="B344" s="13" t="s">
        <v>139</v>
      </c>
      <c r="C344" s="10" t="s">
        <v>3314</v>
      </c>
      <c r="F344" s="14" t="s">
        <v>11</v>
      </c>
      <c r="G344" s="13">
        <v>1</v>
      </c>
      <c r="H344" s="14">
        <f t="shared" si="10"/>
        <v>1</v>
      </c>
      <c r="J344" s="14">
        <v>1</v>
      </c>
      <c r="K344" s="13" t="s">
        <v>3313</v>
      </c>
      <c r="Q344" s="15"/>
    </row>
    <row r="345" spans="1:17" x14ac:dyDescent="0.25">
      <c r="A345" s="11" t="s">
        <v>3138</v>
      </c>
      <c r="B345" s="13" t="s">
        <v>139</v>
      </c>
      <c r="C345" s="10" t="s">
        <v>3233</v>
      </c>
      <c r="F345" s="14" t="s">
        <v>11</v>
      </c>
      <c r="G345" s="13">
        <v>1</v>
      </c>
      <c r="H345" s="14">
        <f t="shared" si="10"/>
        <v>1</v>
      </c>
      <c r="J345" s="14">
        <v>1</v>
      </c>
      <c r="K345" s="13" t="s">
        <v>1764</v>
      </c>
      <c r="Q345" s="15"/>
    </row>
    <row r="346" spans="1:17" x14ac:dyDescent="0.25">
      <c r="A346" s="11" t="s">
        <v>3138</v>
      </c>
      <c r="B346" s="13" t="s">
        <v>269</v>
      </c>
      <c r="F346" s="14" t="s">
        <v>11</v>
      </c>
      <c r="G346" s="13">
        <v>1</v>
      </c>
      <c r="H346" s="14">
        <f t="shared" si="9"/>
        <v>1</v>
      </c>
      <c r="J346" s="14">
        <v>1</v>
      </c>
      <c r="K346" s="13" t="s">
        <v>3437</v>
      </c>
      <c r="Q346" s="15"/>
    </row>
    <row r="347" spans="1:17" x14ac:dyDescent="0.25">
      <c r="A347" s="11" t="s">
        <v>3138</v>
      </c>
      <c r="B347" s="13" t="s">
        <v>272</v>
      </c>
      <c r="F347" s="14" t="s">
        <v>11</v>
      </c>
      <c r="G347" s="13">
        <v>2</v>
      </c>
      <c r="H347" s="14">
        <f t="shared" si="9"/>
        <v>2</v>
      </c>
      <c r="J347" s="14">
        <v>1</v>
      </c>
      <c r="K347" s="13" t="s">
        <v>1243</v>
      </c>
      <c r="Q347" s="15"/>
    </row>
    <row r="348" spans="1:17" x14ac:dyDescent="0.25">
      <c r="A348" s="11" t="s">
        <v>3138</v>
      </c>
      <c r="C348" s="10" t="s">
        <v>281</v>
      </c>
      <c r="E348" s="14" t="s">
        <v>327</v>
      </c>
      <c r="F348" s="14" t="s">
        <v>11</v>
      </c>
      <c r="G348" s="13">
        <v>2</v>
      </c>
      <c r="H348" s="14">
        <f t="shared" si="9"/>
        <v>2</v>
      </c>
      <c r="J348" s="14">
        <v>2</v>
      </c>
      <c r="K348" s="13" t="s">
        <v>3140</v>
      </c>
    </row>
    <row r="349" spans="1:17" x14ac:dyDescent="0.25">
      <c r="A349" s="11" t="s">
        <v>3138</v>
      </c>
      <c r="C349" s="10" t="s">
        <v>48</v>
      </c>
      <c r="D349" s="10"/>
      <c r="E349" s="10" t="s">
        <v>48</v>
      </c>
      <c r="F349" s="14" t="s">
        <v>11</v>
      </c>
      <c r="G349" s="13">
        <v>13</v>
      </c>
      <c r="H349" s="14">
        <f t="shared" si="9"/>
        <v>13</v>
      </c>
      <c r="J349" s="14">
        <v>10</v>
      </c>
      <c r="K349" s="13" t="s">
        <v>3744</v>
      </c>
    </row>
    <row r="350" spans="1:17" x14ac:dyDescent="0.25">
      <c r="A350" s="11" t="s">
        <v>3138</v>
      </c>
      <c r="B350" s="26"/>
      <c r="C350" s="38" t="s">
        <v>11</v>
      </c>
      <c r="E350" s="25"/>
      <c r="F350" s="25" t="s">
        <v>11</v>
      </c>
      <c r="G350" s="26">
        <v>15</v>
      </c>
      <c r="H350" s="25">
        <f t="shared" si="9"/>
        <v>15</v>
      </c>
      <c r="I350" s="25"/>
      <c r="J350" s="25">
        <v>11</v>
      </c>
      <c r="K350" s="26" t="s">
        <v>3611</v>
      </c>
    </row>
    <row r="351" spans="1:17" x14ac:dyDescent="0.25">
      <c r="A351" s="11" t="s">
        <v>3138</v>
      </c>
      <c r="C351" s="10" t="s">
        <v>296</v>
      </c>
      <c r="F351" s="14" t="s">
        <v>11</v>
      </c>
      <c r="G351" s="13">
        <v>10</v>
      </c>
      <c r="H351" s="14">
        <f t="shared" si="9"/>
        <v>10</v>
      </c>
      <c r="J351" s="14">
        <v>10</v>
      </c>
      <c r="K351" s="13" t="s">
        <v>3748</v>
      </c>
    </row>
    <row r="352" spans="1:17" x14ac:dyDescent="0.25">
      <c r="A352" s="11" t="s">
        <v>3138</v>
      </c>
      <c r="C352" s="10" t="s">
        <v>259</v>
      </c>
      <c r="F352" s="14" t="s">
        <v>11</v>
      </c>
      <c r="G352" s="13">
        <v>5</v>
      </c>
      <c r="H352" s="14">
        <f t="shared" si="9"/>
        <v>5</v>
      </c>
      <c r="J352" s="14">
        <v>5</v>
      </c>
      <c r="K352" s="13" t="s">
        <v>3597</v>
      </c>
    </row>
    <row r="353" spans="1:17" x14ac:dyDescent="0.25">
      <c r="A353" s="11" t="s">
        <v>3138</v>
      </c>
      <c r="C353" s="10" t="s">
        <v>1281</v>
      </c>
      <c r="F353" s="14" t="s">
        <v>11</v>
      </c>
      <c r="G353" s="13">
        <v>1</v>
      </c>
      <c r="H353" s="14">
        <f t="shared" si="9"/>
        <v>1</v>
      </c>
      <c r="J353" s="14">
        <v>1</v>
      </c>
      <c r="K353" s="13" t="s">
        <v>3377</v>
      </c>
    </row>
    <row r="354" spans="1:17" x14ac:dyDescent="0.25">
      <c r="A354" s="11" t="s">
        <v>3138</v>
      </c>
      <c r="C354" s="10" t="s">
        <v>3188</v>
      </c>
      <c r="F354" s="14" t="s">
        <v>11</v>
      </c>
      <c r="G354" s="13">
        <v>1</v>
      </c>
      <c r="H354" s="14">
        <f>G354+I354</f>
        <v>1</v>
      </c>
      <c r="J354" s="14">
        <v>1</v>
      </c>
      <c r="K354" s="13" t="s">
        <v>3189</v>
      </c>
    </row>
    <row r="355" spans="1:17" x14ac:dyDescent="0.25">
      <c r="A355" s="11" t="s">
        <v>3138</v>
      </c>
      <c r="C355" s="10" t="s">
        <v>3394</v>
      </c>
      <c r="E355" s="14" t="s">
        <v>3395</v>
      </c>
      <c r="F355" s="14" t="s">
        <v>11</v>
      </c>
      <c r="G355" s="13">
        <v>1</v>
      </c>
      <c r="H355" s="14">
        <f>G355+I355</f>
        <v>1</v>
      </c>
      <c r="J355" s="14">
        <v>1</v>
      </c>
      <c r="K355" s="13" t="s">
        <v>3381</v>
      </c>
      <c r="Q355" s="15"/>
    </row>
    <row r="356" spans="1:17" x14ac:dyDescent="0.25">
      <c r="A356" s="11" t="s">
        <v>3138</v>
      </c>
      <c r="C356" s="10" t="s">
        <v>1783</v>
      </c>
      <c r="F356" s="14" t="s">
        <v>11</v>
      </c>
      <c r="G356" s="13">
        <v>7</v>
      </c>
      <c r="H356" s="14">
        <f>G356+I356</f>
        <v>7</v>
      </c>
      <c r="J356" s="14">
        <v>4</v>
      </c>
      <c r="K356" s="13" t="s">
        <v>3617</v>
      </c>
    </row>
    <row r="357" spans="1:17" x14ac:dyDescent="0.25">
      <c r="A357" s="11" t="s">
        <v>3138</v>
      </c>
      <c r="C357" s="10" t="s">
        <v>266</v>
      </c>
      <c r="F357" s="14" t="s">
        <v>11</v>
      </c>
      <c r="G357" s="13">
        <v>19</v>
      </c>
      <c r="H357" s="14">
        <f>G357+I357</f>
        <v>19</v>
      </c>
      <c r="J357" s="14">
        <v>14</v>
      </c>
      <c r="K357" s="13" t="s">
        <v>3614</v>
      </c>
    </row>
    <row r="358" spans="1:17" x14ac:dyDescent="0.25">
      <c r="A358" s="11" t="s">
        <v>3138</v>
      </c>
      <c r="C358" s="10" t="s">
        <v>543</v>
      </c>
      <c r="F358" s="14" t="s">
        <v>11</v>
      </c>
      <c r="G358" s="13">
        <v>4</v>
      </c>
      <c r="H358" s="14">
        <f t="shared" si="9"/>
        <v>4</v>
      </c>
      <c r="J358" s="14">
        <v>4</v>
      </c>
      <c r="K358" s="13" t="s">
        <v>3234</v>
      </c>
      <c r="Q358" s="15"/>
    </row>
    <row r="359" spans="1:17" x14ac:dyDescent="0.25">
      <c r="A359" s="11" t="s">
        <v>3138</v>
      </c>
      <c r="C359" s="10" t="s">
        <v>1911</v>
      </c>
      <c r="F359" s="14" t="s">
        <v>11</v>
      </c>
      <c r="G359" s="13">
        <v>1</v>
      </c>
      <c r="H359" s="14">
        <f t="shared" si="9"/>
        <v>1</v>
      </c>
      <c r="J359" s="14">
        <v>1</v>
      </c>
      <c r="K359" s="13" t="s">
        <v>3338</v>
      </c>
      <c r="Q359" s="15"/>
    </row>
    <row r="360" spans="1:17" x14ac:dyDescent="0.25">
      <c r="A360" s="11" t="s">
        <v>3138</v>
      </c>
      <c r="C360" s="10" t="s">
        <v>2107</v>
      </c>
      <c r="F360" s="14" t="s">
        <v>11</v>
      </c>
      <c r="G360" s="13">
        <v>1</v>
      </c>
      <c r="H360" s="14">
        <f>G360+I360</f>
        <v>1</v>
      </c>
      <c r="J360" s="14">
        <v>1</v>
      </c>
      <c r="K360" s="13" t="s">
        <v>3313</v>
      </c>
      <c r="Q360" s="15"/>
    </row>
    <row r="361" spans="1:17" x14ac:dyDescent="0.25">
      <c r="A361" s="11" t="s">
        <v>3138</v>
      </c>
      <c r="C361" s="10" t="s">
        <v>3142</v>
      </c>
      <c r="F361" s="14" t="s">
        <v>11</v>
      </c>
      <c r="G361" s="13">
        <v>1</v>
      </c>
      <c r="H361" s="14">
        <f>G361+I361</f>
        <v>1</v>
      </c>
      <c r="J361" s="14">
        <v>1</v>
      </c>
      <c r="K361" s="13" t="s">
        <v>2886</v>
      </c>
      <c r="Q361" s="15"/>
    </row>
    <row r="362" spans="1:17" ht="22.5" x14ac:dyDescent="0.25">
      <c r="A362" s="11" t="s">
        <v>3138</v>
      </c>
      <c r="B362" s="13" t="s">
        <v>266</v>
      </c>
      <c r="C362" s="10" t="s">
        <v>682</v>
      </c>
      <c r="E362" s="14" t="s">
        <v>683</v>
      </c>
      <c r="F362" s="14" t="s">
        <v>11</v>
      </c>
      <c r="G362" s="13">
        <v>36</v>
      </c>
      <c r="H362" s="14">
        <f t="shared" si="9"/>
        <v>36</v>
      </c>
      <c r="J362" s="14">
        <v>22</v>
      </c>
      <c r="K362" s="13" t="s">
        <v>3734</v>
      </c>
      <c r="Q362" s="15"/>
    </row>
    <row r="363" spans="1:17" x14ac:dyDescent="0.25">
      <c r="A363" s="11" t="s">
        <v>3138</v>
      </c>
      <c r="B363" s="13" t="s">
        <v>266</v>
      </c>
      <c r="C363" s="10" t="s">
        <v>3303</v>
      </c>
      <c r="E363" s="14" t="s">
        <v>683</v>
      </c>
      <c r="F363" s="14" t="s">
        <v>11</v>
      </c>
      <c r="G363" s="13">
        <v>1</v>
      </c>
      <c r="H363" s="14">
        <f>G363+I363</f>
        <v>1</v>
      </c>
      <c r="J363" s="14">
        <v>1</v>
      </c>
      <c r="K363" s="13" t="s">
        <v>3286</v>
      </c>
      <c r="Q363" s="15"/>
    </row>
    <row r="364" spans="1:17" x14ac:dyDescent="0.25">
      <c r="A364" s="11" t="s">
        <v>3138</v>
      </c>
      <c r="C364" s="10" t="s">
        <v>770</v>
      </c>
      <c r="E364" s="14" t="s">
        <v>683</v>
      </c>
      <c r="F364" s="14" t="s">
        <v>874</v>
      </c>
      <c r="G364" s="13">
        <v>8</v>
      </c>
      <c r="H364" s="14">
        <f t="shared" si="9"/>
        <v>8</v>
      </c>
      <c r="J364" s="14">
        <v>5</v>
      </c>
      <c r="K364" s="13" t="s">
        <v>3340</v>
      </c>
      <c r="Q364" s="15"/>
    </row>
    <row r="365" spans="1:17" x14ac:dyDescent="0.25">
      <c r="A365" s="11" t="s">
        <v>3138</v>
      </c>
      <c r="C365" s="10" t="s">
        <v>3341</v>
      </c>
      <c r="E365" s="14" t="s">
        <v>683</v>
      </c>
      <c r="F365" s="14" t="s">
        <v>11</v>
      </c>
      <c r="G365" s="13">
        <v>3</v>
      </c>
      <c r="H365" s="14">
        <f>G365+I365</f>
        <v>3</v>
      </c>
      <c r="J365" s="14">
        <v>2</v>
      </c>
      <c r="K365" s="13" t="s">
        <v>3342</v>
      </c>
      <c r="Q365" s="15"/>
    </row>
    <row r="366" spans="1:17" ht="25.5" x14ac:dyDescent="0.25">
      <c r="A366" s="11" t="s">
        <v>3138</v>
      </c>
      <c r="B366" s="13" t="s">
        <v>259</v>
      </c>
      <c r="C366" s="17" t="s">
        <v>3345</v>
      </c>
      <c r="E366" s="14" t="s">
        <v>683</v>
      </c>
      <c r="F366" s="14" t="s">
        <v>11</v>
      </c>
      <c r="G366" s="13">
        <v>4</v>
      </c>
      <c r="H366" s="14">
        <f>G366+I366</f>
        <v>4</v>
      </c>
      <c r="J366" s="14">
        <v>3</v>
      </c>
      <c r="K366" s="13" t="s">
        <v>3346</v>
      </c>
      <c r="Q366" s="15"/>
    </row>
    <row r="367" spans="1:17" x14ac:dyDescent="0.25">
      <c r="A367" s="11" t="s">
        <v>3138</v>
      </c>
      <c r="C367" s="10" t="s">
        <v>1798</v>
      </c>
      <c r="F367" s="14" t="s">
        <v>874</v>
      </c>
      <c r="G367" s="13">
        <v>2</v>
      </c>
      <c r="H367" s="14">
        <f t="shared" si="9"/>
        <v>2</v>
      </c>
      <c r="J367" s="14">
        <v>2</v>
      </c>
      <c r="K367" s="13" t="s">
        <v>3586</v>
      </c>
      <c r="Q367" s="15"/>
    </row>
    <row r="368" spans="1:17" x14ac:dyDescent="0.25">
      <c r="A368" s="11" t="s">
        <v>3138</v>
      </c>
      <c r="C368" s="10" t="s">
        <v>718</v>
      </c>
      <c r="D368" s="13" t="s">
        <v>833</v>
      </c>
      <c r="F368" s="14" t="s">
        <v>11</v>
      </c>
      <c r="G368" s="13">
        <v>3</v>
      </c>
      <c r="H368" s="14">
        <f t="shared" si="9"/>
        <v>3</v>
      </c>
      <c r="J368" s="14">
        <v>3</v>
      </c>
      <c r="K368" s="13" t="s">
        <v>3339</v>
      </c>
      <c r="Q368" s="15"/>
    </row>
    <row r="369" spans="1:17" x14ac:dyDescent="0.25">
      <c r="A369" s="11" t="s">
        <v>3138</v>
      </c>
      <c r="C369" s="10" t="s">
        <v>3596</v>
      </c>
      <c r="F369" s="14" t="s">
        <v>11</v>
      </c>
      <c r="G369" s="13">
        <v>1</v>
      </c>
      <c r="H369" s="14">
        <f>G369+I369</f>
        <v>1</v>
      </c>
      <c r="J369" s="14">
        <v>1</v>
      </c>
      <c r="K369" s="13" t="s">
        <v>3483</v>
      </c>
      <c r="Q369" s="15"/>
    </row>
    <row r="370" spans="1:17" x14ac:dyDescent="0.25">
      <c r="A370" s="11" t="s">
        <v>3138</v>
      </c>
      <c r="B370" s="13" t="s">
        <v>76</v>
      </c>
      <c r="C370" s="10" t="s">
        <v>2350</v>
      </c>
      <c r="E370" s="14" t="s">
        <v>281</v>
      </c>
      <c r="F370" s="14" t="s">
        <v>11</v>
      </c>
      <c r="G370" s="13">
        <v>2</v>
      </c>
      <c r="H370" s="14">
        <f t="shared" si="9"/>
        <v>2</v>
      </c>
      <c r="J370" s="14">
        <v>1</v>
      </c>
      <c r="K370" s="13" t="s">
        <v>3328</v>
      </c>
      <c r="Q370" s="15"/>
    </row>
    <row r="371" spans="1:17" x14ac:dyDescent="0.25">
      <c r="A371" s="11" t="s">
        <v>3138</v>
      </c>
      <c r="B371" s="13" t="s">
        <v>76</v>
      </c>
      <c r="C371" s="10" t="s">
        <v>3330</v>
      </c>
      <c r="E371" s="14" t="s">
        <v>281</v>
      </c>
      <c r="F371" s="14" t="s">
        <v>11</v>
      </c>
      <c r="G371" s="13">
        <v>1</v>
      </c>
      <c r="H371" s="14">
        <f>G371+I371</f>
        <v>1</v>
      </c>
      <c r="J371" s="14">
        <v>1</v>
      </c>
      <c r="K371" s="13" t="s">
        <v>3328</v>
      </c>
      <c r="Q371" s="15"/>
    </row>
    <row r="372" spans="1:17" x14ac:dyDescent="0.25">
      <c r="A372" s="11" t="s">
        <v>3138</v>
      </c>
      <c r="C372" s="10" t="s">
        <v>3145</v>
      </c>
      <c r="E372" s="14" t="s">
        <v>282</v>
      </c>
      <c r="F372" s="14" t="s">
        <v>11</v>
      </c>
      <c r="G372" s="13">
        <v>1</v>
      </c>
      <c r="H372" s="14">
        <f>G372+I372</f>
        <v>1</v>
      </c>
      <c r="J372" s="14">
        <v>1</v>
      </c>
      <c r="K372" s="13" t="s">
        <v>2216</v>
      </c>
      <c r="Q372" s="15"/>
    </row>
    <row r="373" spans="1:17" ht="22.5" x14ac:dyDescent="0.25">
      <c r="A373" s="11" t="s">
        <v>3138</v>
      </c>
      <c r="C373" s="10" t="s">
        <v>282</v>
      </c>
      <c r="F373" s="14" t="s">
        <v>11</v>
      </c>
      <c r="G373" s="13">
        <v>20</v>
      </c>
      <c r="H373" s="14">
        <f t="shared" si="9"/>
        <v>20</v>
      </c>
      <c r="J373" s="14">
        <v>16</v>
      </c>
      <c r="K373" s="13" t="s">
        <v>3746</v>
      </c>
      <c r="Q373" s="15"/>
    </row>
    <row r="374" spans="1:17" ht="22.5" x14ac:dyDescent="0.25">
      <c r="A374" s="11" t="s">
        <v>3138</v>
      </c>
      <c r="C374" s="10" t="s">
        <v>678</v>
      </c>
      <c r="F374" s="14" t="s">
        <v>11</v>
      </c>
      <c r="G374" s="13">
        <v>16</v>
      </c>
      <c r="H374" s="14">
        <f t="shared" si="9"/>
        <v>16</v>
      </c>
      <c r="J374" s="14">
        <v>13</v>
      </c>
      <c r="K374" s="13" t="s">
        <v>3747</v>
      </c>
      <c r="Q374" s="15"/>
    </row>
    <row r="375" spans="1:17" x14ac:dyDescent="0.25">
      <c r="A375" s="11" t="s">
        <v>3138</v>
      </c>
      <c r="C375" s="10" t="s">
        <v>3229</v>
      </c>
      <c r="D375" s="13" t="s">
        <v>3230</v>
      </c>
      <c r="E375" s="14" t="s">
        <v>21</v>
      </c>
      <c r="F375" s="14" t="s">
        <v>11</v>
      </c>
      <c r="G375" s="13">
        <v>1</v>
      </c>
      <c r="H375" s="14">
        <f>G375+I375</f>
        <v>1</v>
      </c>
      <c r="J375" s="14">
        <v>1</v>
      </c>
      <c r="K375" s="13" t="s">
        <v>3205</v>
      </c>
      <c r="Q375" s="15"/>
    </row>
    <row r="376" spans="1:17" ht="22.5" x14ac:dyDescent="0.25">
      <c r="A376" s="11" t="s">
        <v>3138</v>
      </c>
      <c r="C376" s="10" t="s">
        <v>21</v>
      </c>
      <c r="E376" s="14" t="s">
        <v>21</v>
      </c>
      <c r="F376" s="14" t="s">
        <v>11</v>
      </c>
      <c r="G376" s="13">
        <v>20</v>
      </c>
      <c r="H376" s="14">
        <f t="shared" ref="H376:H414" si="11">G376+I376</f>
        <v>20</v>
      </c>
      <c r="J376" s="14">
        <v>16</v>
      </c>
      <c r="K376" s="13" t="s">
        <v>3745</v>
      </c>
      <c r="Q376" s="15"/>
    </row>
    <row r="377" spans="1:17" x14ac:dyDescent="0.25">
      <c r="A377" s="11" t="s">
        <v>3138</v>
      </c>
      <c r="C377" s="10" t="s">
        <v>3215</v>
      </c>
      <c r="E377" s="14" t="s">
        <v>21</v>
      </c>
      <c r="F377" s="14" t="s">
        <v>11</v>
      </c>
      <c r="G377" s="13">
        <v>3</v>
      </c>
      <c r="H377" s="14">
        <f>G377+I377</f>
        <v>3</v>
      </c>
      <c r="J377" s="14">
        <v>3</v>
      </c>
      <c r="K377" s="13" t="s">
        <v>3329</v>
      </c>
      <c r="Q377" s="15"/>
    </row>
    <row r="378" spans="1:17" x14ac:dyDescent="0.25">
      <c r="A378" s="11" t="s">
        <v>3138</v>
      </c>
      <c r="C378" s="10" t="s">
        <v>3743</v>
      </c>
      <c r="E378" s="14" t="s">
        <v>21</v>
      </c>
      <c r="F378" s="14" t="s">
        <v>11</v>
      </c>
      <c r="G378" s="13">
        <v>1</v>
      </c>
      <c r="H378" s="14">
        <f>G378+I378</f>
        <v>1</v>
      </c>
      <c r="J378" s="14">
        <v>1</v>
      </c>
      <c r="K378" s="13" t="s">
        <v>3622</v>
      </c>
      <c r="Q378" s="15"/>
    </row>
    <row r="379" spans="1:17" x14ac:dyDescent="0.25">
      <c r="A379" s="11" t="s">
        <v>3138</v>
      </c>
      <c r="C379" s="10" t="s">
        <v>2074</v>
      </c>
      <c r="F379" s="14" t="s">
        <v>11</v>
      </c>
      <c r="G379" s="13">
        <v>1</v>
      </c>
      <c r="H379" s="14">
        <f t="shared" si="11"/>
        <v>1</v>
      </c>
      <c r="J379" s="14">
        <v>1</v>
      </c>
      <c r="K379" s="13" t="s">
        <v>3610</v>
      </c>
      <c r="Q379" s="15"/>
    </row>
    <row r="380" spans="1:17" ht="22.5" x14ac:dyDescent="0.25">
      <c r="A380" s="11" t="s">
        <v>3138</v>
      </c>
      <c r="C380" s="10" t="s">
        <v>1791</v>
      </c>
      <c r="F380" s="13" t="s">
        <v>1104</v>
      </c>
      <c r="G380" s="13">
        <v>1</v>
      </c>
      <c r="H380" s="14">
        <f t="shared" si="11"/>
        <v>1</v>
      </c>
      <c r="J380" s="14">
        <v>1</v>
      </c>
      <c r="K380" s="13" t="s">
        <v>3488</v>
      </c>
    </row>
    <row r="381" spans="1:17" x14ac:dyDescent="0.25">
      <c r="A381" s="11" t="s">
        <v>3138</v>
      </c>
      <c r="C381" s="10" t="s">
        <v>3619</v>
      </c>
      <c r="F381" s="14" t="s">
        <v>11</v>
      </c>
      <c r="G381" s="13">
        <v>1</v>
      </c>
      <c r="H381" s="14">
        <f>G381+I381</f>
        <v>1</v>
      </c>
      <c r="J381" s="14">
        <v>1</v>
      </c>
      <c r="K381" s="13" t="s">
        <v>3620</v>
      </c>
      <c r="Q381" s="15"/>
    </row>
    <row r="382" spans="1:17" x14ac:dyDescent="0.25">
      <c r="A382" s="11" t="s">
        <v>3138</v>
      </c>
      <c r="C382" s="10" t="s">
        <v>69</v>
      </c>
      <c r="F382" s="13" t="s">
        <v>11</v>
      </c>
      <c r="G382" s="13">
        <v>13</v>
      </c>
      <c r="H382" s="14">
        <f t="shared" si="11"/>
        <v>13</v>
      </c>
      <c r="J382" s="14">
        <v>10</v>
      </c>
      <c r="K382" s="13" t="s">
        <v>3733</v>
      </c>
    </row>
    <row r="383" spans="1:17" x14ac:dyDescent="0.25">
      <c r="A383" s="11" t="s">
        <v>3138</v>
      </c>
      <c r="B383" s="13" t="s">
        <v>62</v>
      </c>
      <c r="C383" s="10" t="s">
        <v>69</v>
      </c>
      <c r="F383" s="13" t="s">
        <v>11</v>
      </c>
      <c r="G383" s="13">
        <v>1</v>
      </c>
      <c r="H383" s="14">
        <f>G383+I383</f>
        <v>1</v>
      </c>
      <c r="J383" s="14">
        <v>1</v>
      </c>
      <c r="K383" s="13" t="s">
        <v>3236</v>
      </c>
    </row>
    <row r="384" spans="1:17" x14ac:dyDescent="0.25">
      <c r="A384" s="11" t="s">
        <v>3138</v>
      </c>
      <c r="B384" s="13" t="s">
        <v>62</v>
      </c>
      <c r="C384" s="10" t="s">
        <v>3235</v>
      </c>
      <c r="E384" s="10" t="s">
        <v>69</v>
      </c>
      <c r="F384" s="13" t="s">
        <v>11</v>
      </c>
      <c r="G384" s="13">
        <v>1</v>
      </c>
      <c r="H384" s="14">
        <f>G384+I384</f>
        <v>1</v>
      </c>
      <c r="J384" s="14">
        <v>1</v>
      </c>
      <c r="K384" s="13" t="s">
        <v>3236</v>
      </c>
    </row>
    <row r="385" spans="1:17" ht="22.5" x14ac:dyDescent="0.25">
      <c r="A385" s="11" t="s">
        <v>3138</v>
      </c>
      <c r="C385" s="10" t="s">
        <v>2699</v>
      </c>
      <c r="D385" s="13" t="s">
        <v>3143</v>
      </c>
      <c r="F385" s="13" t="s">
        <v>1104</v>
      </c>
      <c r="G385" s="13">
        <v>18</v>
      </c>
      <c r="H385" s="14">
        <f>G385+I385</f>
        <v>18</v>
      </c>
      <c r="J385" s="14">
        <v>10</v>
      </c>
      <c r="K385" s="13" t="s">
        <v>3732</v>
      </c>
      <c r="L385" s="44"/>
      <c r="M385" s="44"/>
      <c r="N385" s="44"/>
      <c r="O385" s="44"/>
      <c r="P385" s="44"/>
    </row>
    <row r="386" spans="1:17" ht="22.5" x14ac:dyDescent="0.25">
      <c r="A386" s="11" t="s">
        <v>3138</v>
      </c>
      <c r="C386" s="10" t="s">
        <v>2699</v>
      </c>
      <c r="F386" s="13" t="s">
        <v>1104</v>
      </c>
      <c r="G386" s="13">
        <v>1</v>
      </c>
      <c r="H386" s="14">
        <f t="shared" si="11"/>
        <v>1</v>
      </c>
      <c r="J386" s="14">
        <v>1</v>
      </c>
      <c r="K386" s="13" t="s">
        <v>2216</v>
      </c>
      <c r="L386" s="44"/>
      <c r="M386" s="44"/>
      <c r="N386" s="44"/>
      <c r="O386" s="44"/>
      <c r="P386" s="44"/>
    </row>
    <row r="387" spans="1:17" ht="22.5" x14ac:dyDescent="0.25">
      <c r="A387" s="11" t="s">
        <v>3138</v>
      </c>
      <c r="B387" s="43"/>
      <c r="C387" s="42" t="s">
        <v>56</v>
      </c>
      <c r="D387" s="43"/>
      <c r="E387" s="41"/>
      <c r="F387" s="41" t="s">
        <v>56</v>
      </c>
      <c r="G387" s="43">
        <v>15</v>
      </c>
      <c r="H387" s="14">
        <f t="shared" si="11"/>
        <v>15</v>
      </c>
      <c r="I387" s="41"/>
      <c r="J387" s="41">
        <v>15</v>
      </c>
      <c r="K387" s="43" t="s">
        <v>3609</v>
      </c>
    </row>
    <row r="388" spans="1:17" x14ac:dyDescent="0.25">
      <c r="A388" s="11" t="s">
        <v>3138</v>
      </c>
      <c r="C388" s="10" t="s">
        <v>334</v>
      </c>
      <c r="F388" s="14" t="s">
        <v>56</v>
      </c>
      <c r="G388" s="13">
        <v>1</v>
      </c>
      <c r="H388" s="14">
        <f t="shared" si="11"/>
        <v>1</v>
      </c>
      <c r="J388" s="14">
        <v>1</v>
      </c>
      <c r="K388" s="13" t="s">
        <v>3265</v>
      </c>
    </row>
    <row r="389" spans="1:17" x14ac:dyDescent="0.25">
      <c r="A389" s="11" t="s">
        <v>3138</v>
      </c>
      <c r="C389" s="10" t="s">
        <v>253</v>
      </c>
      <c r="F389" s="14" t="s">
        <v>56</v>
      </c>
      <c r="G389" s="13">
        <v>7</v>
      </c>
      <c r="H389" s="14">
        <f t="shared" si="11"/>
        <v>7</v>
      </c>
      <c r="J389" s="14">
        <v>6</v>
      </c>
      <c r="K389" s="13" t="s">
        <v>3730</v>
      </c>
    </row>
    <row r="390" spans="1:17" x14ac:dyDescent="0.25">
      <c r="A390" s="11" t="s">
        <v>3138</v>
      </c>
      <c r="C390" s="10" t="s">
        <v>3731</v>
      </c>
      <c r="E390" s="14" t="s">
        <v>253</v>
      </c>
      <c r="F390" s="14" t="s">
        <v>56</v>
      </c>
      <c r="G390" s="13">
        <v>1</v>
      </c>
      <c r="H390" s="14">
        <f>G390+I390</f>
        <v>1</v>
      </c>
      <c r="J390" s="14">
        <v>1</v>
      </c>
      <c r="K390" s="13" t="s">
        <v>3671</v>
      </c>
    </row>
    <row r="391" spans="1:17" x14ac:dyDescent="0.25">
      <c r="A391" s="11" t="s">
        <v>3138</v>
      </c>
      <c r="C391" s="10" t="s">
        <v>253</v>
      </c>
      <c r="E391" s="14" t="s">
        <v>683</v>
      </c>
      <c r="F391" s="14" t="s">
        <v>56</v>
      </c>
      <c r="G391" s="13">
        <v>1</v>
      </c>
      <c r="H391" s="14">
        <f>G391+I391</f>
        <v>1</v>
      </c>
      <c r="J391" s="14">
        <v>1</v>
      </c>
      <c r="K391" s="13" t="s">
        <v>3221</v>
      </c>
    </row>
    <row r="392" spans="1:17" x14ac:dyDescent="0.25">
      <c r="A392" s="11" t="s">
        <v>3138</v>
      </c>
      <c r="C392" s="10" t="s">
        <v>254</v>
      </c>
      <c r="F392" s="14" t="s">
        <v>56</v>
      </c>
      <c r="G392" s="13">
        <v>3</v>
      </c>
      <c r="H392" s="14">
        <f t="shared" si="11"/>
        <v>3</v>
      </c>
      <c r="J392" s="14">
        <v>3</v>
      </c>
      <c r="K392" s="13" t="s">
        <v>3375</v>
      </c>
    </row>
    <row r="393" spans="1:17" x14ac:dyDescent="0.25">
      <c r="A393" s="11" t="s">
        <v>3138</v>
      </c>
      <c r="C393" s="10" t="s">
        <v>254</v>
      </c>
      <c r="E393" s="14" t="s">
        <v>1343</v>
      </c>
      <c r="F393" s="14" t="s">
        <v>56</v>
      </c>
      <c r="G393" s="13">
        <v>1</v>
      </c>
      <c r="H393" s="14">
        <f>G393+I393</f>
        <v>1</v>
      </c>
      <c r="J393" s="14">
        <v>1</v>
      </c>
      <c r="K393" s="13" t="s">
        <v>3334</v>
      </c>
    </row>
    <row r="394" spans="1:17" x14ac:dyDescent="0.25">
      <c r="A394" s="11" t="s">
        <v>3138</v>
      </c>
      <c r="C394" s="10" t="s">
        <v>305</v>
      </c>
      <c r="E394" s="13"/>
      <c r="F394" s="14" t="s">
        <v>56</v>
      </c>
      <c r="G394" s="13">
        <v>4</v>
      </c>
      <c r="H394" s="14">
        <f t="shared" si="11"/>
        <v>4</v>
      </c>
      <c r="J394" s="14">
        <v>4</v>
      </c>
      <c r="K394" s="13" t="s">
        <v>3729</v>
      </c>
    </row>
    <row r="395" spans="1:17" x14ac:dyDescent="0.25">
      <c r="A395" s="11" t="s">
        <v>3138</v>
      </c>
      <c r="B395" s="13" t="s">
        <v>57</v>
      </c>
      <c r="C395" s="10" t="s">
        <v>950</v>
      </c>
      <c r="E395" s="13" t="s">
        <v>57</v>
      </c>
      <c r="F395" s="14" t="s">
        <v>56</v>
      </c>
      <c r="G395" s="13">
        <v>2</v>
      </c>
      <c r="H395" s="14">
        <f t="shared" si="11"/>
        <v>2</v>
      </c>
      <c r="J395" s="14">
        <v>2</v>
      </c>
      <c r="K395" s="13" t="s">
        <v>3363</v>
      </c>
    </row>
    <row r="396" spans="1:17" x14ac:dyDescent="0.25">
      <c r="A396" s="11" t="s">
        <v>3138</v>
      </c>
      <c r="C396" s="10" t="s">
        <v>3264</v>
      </c>
      <c r="E396" s="13" t="s">
        <v>2616</v>
      </c>
      <c r="F396" s="14" t="s">
        <v>56</v>
      </c>
      <c r="G396" s="13">
        <v>1</v>
      </c>
      <c r="H396" s="14">
        <f>G396+I396</f>
        <v>1</v>
      </c>
      <c r="J396" s="14">
        <v>1</v>
      </c>
      <c r="K396" s="13" t="s">
        <v>3265</v>
      </c>
    </row>
    <row r="397" spans="1:17" x14ac:dyDescent="0.25">
      <c r="A397" s="11" t="s">
        <v>3138</v>
      </c>
      <c r="C397" s="10" t="s">
        <v>2342</v>
      </c>
      <c r="E397" s="13" t="s">
        <v>2616</v>
      </c>
      <c r="F397" s="14" t="s">
        <v>56</v>
      </c>
      <c r="G397" s="13">
        <v>2</v>
      </c>
      <c r="H397" s="14">
        <f t="shared" si="11"/>
        <v>2</v>
      </c>
      <c r="J397" s="14">
        <v>2</v>
      </c>
      <c r="K397" s="13" t="s">
        <v>3263</v>
      </c>
    </row>
    <row r="398" spans="1:17" x14ac:dyDescent="0.25">
      <c r="A398" s="11" t="s">
        <v>3138</v>
      </c>
      <c r="B398" s="13" t="s">
        <v>55</v>
      </c>
      <c r="F398" s="14" t="s">
        <v>56</v>
      </c>
      <c r="G398" s="13">
        <v>1</v>
      </c>
      <c r="H398" s="14">
        <f>G398+I398</f>
        <v>1</v>
      </c>
      <c r="J398" s="14">
        <v>1</v>
      </c>
      <c r="K398" s="13" t="s">
        <v>3483</v>
      </c>
    </row>
    <row r="399" spans="1:17" x14ac:dyDescent="0.25">
      <c r="A399" s="11" t="s">
        <v>3138</v>
      </c>
      <c r="C399" s="10" t="s">
        <v>301</v>
      </c>
      <c r="F399" s="14" t="s">
        <v>56</v>
      </c>
      <c r="G399" s="13">
        <v>1</v>
      </c>
      <c r="H399" s="14">
        <f t="shared" si="11"/>
        <v>1</v>
      </c>
      <c r="J399" s="14">
        <v>1</v>
      </c>
      <c r="K399" s="13" t="s">
        <v>3483</v>
      </c>
    </row>
    <row r="400" spans="1:17" s="36" customFormat="1" x14ac:dyDescent="0.25">
      <c r="A400" s="11" t="s">
        <v>3138</v>
      </c>
      <c r="B400" s="13"/>
      <c r="C400" s="10" t="s">
        <v>2775</v>
      </c>
      <c r="D400" s="13"/>
      <c r="E400" s="14"/>
      <c r="F400" s="14" t="s">
        <v>56</v>
      </c>
      <c r="G400" s="13">
        <v>1</v>
      </c>
      <c r="H400" s="14">
        <f t="shared" si="11"/>
        <v>1</v>
      </c>
      <c r="I400" s="14"/>
      <c r="J400" s="14">
        <v>1</v>
      </c>
      <c r="K400" s="13" t="s">
        <v>3149</v>
      </c>
      <c r="L400" s="15"/>
      <c r="M400" s="15"/>
      <c r="N400" s="15"/>
      <c r="O400" s="15"/>
      <c r="P400" s="15"/>
      <c r="Q400" s="35"/>
    </row>
    <row r="401" spans="1:17" s="36" customFormat="1" x14ac:dyDescent="0.25">
      <c r="A401" s="11" t="s">
        <v>3138</v>
      </c>
      <c r="B401" s="13" t="s">
        <v>161</v>
      </c>
      <c r="C401" s="10"/>
      <c r="D401" s="13"/>
      <c r="E401" s="14" t="s">
        <v>254</v>
      </c>
      <c r="F401" s="14" t="s">
        <v>56</v>
      </c>
      <c r="G401" s="13">
        <v>1</v>
      </c>
      <c r="H401" s="14">
        <f t="shared" si="11"/>
        <v>1</v>
      </c>
      <c r="I401" s="14"/>
      <c r="J401" s="14">
        <v>1</v>
      </c>
      <c r="K401" s="13" t="s">
        <v>3468</v>
      </c>
      <c r="L401" s="15"/>
      <c r="M401" s="15"/>
      <c r="N401" s="15"/>
      <c r="O401" s="15"/>
      <c r="P401" s="15"/>
      <c r="Q401" s="35"/>
    </row>
    <row r="402" spans="1:17" s="36" customFormat="1" x14ac:dyDescent="0.25">
      <c r="A402" s="11" t="s">
        <v>3138</v>
      </c>
      <c r="B402" s="13" t="s">
        <v>161</v>
      </c>
      <c r="C402" s="10" t="s">
        <v>3595</v>
      </c>
      <c r="D402" s="13"/>
      <c r="E402" s="14" t="s">
        <v>254</v>
      </c>
      <c r="F402" s="14" t="s">
        <v>56</v>
      </c>
      <c r="G402" s="13">
        <v>1</v>
      </c>
      <c r="H402" s="14">
        <f>G402+I402</f>
        <v>1</v>
      </c>
      <c r="I402" s="14"/>
      <c r="J402" s="14">
        <v>1</v>
      </c>
      <c r="K402" s="13" t="s">
        <v>3468</v>
      </c>
      <c r="L402" s="15"/>
      <c r="M402" s="15"/>
      <c r="N402" s="15"/>
      <c r="O402" s="15"/>
      <c r="P402" s="15"/>
      <c r="Q402" s="35"/>
    </row>
    <row r="403" spans="1:17" x14ac:dyDescent="0.25">
      <c r="A403" s="11" t="s">
        <v>3138</v>
      </c>
      <c r="B403" s="13" t="s">
        <v>66</v>
      </c>
      <c r="E403" s="14" t="s">
        <v>1281</v>
      </c>
      <c r="F403" s="14" t="s">
        <v>56</v>
      </c>
      <c r="G403" s="13">
        <v>1</v>
      </c>
      <c r="H403" s="14">
        <f>G403+I403</f>
        <v>1</v>
      </c>
      <c r="J403" s="14">
        <v>1</v>
      </c>
      <c r="K403" s="13" t="s">
        <v>3265</v>
      </c>
    </row>
    <row r="404" spans="1:17" ht="45" x14ac:dyDescent="0.25">
      <c r="A404" s="11" t="s">
        <v>3138</v>
      </c>
      <c r="B404" s="35"/>
      <c r="C404" s="34" t="s">
        <v>35</v>
      </c>
      <c r="D404" s="35"/>
      <c r="E404" s="33"/>
      <c r="F404" s="33" t="s">
        <v>35</v>
      </c>
      <c r="G404" s="35">
        <v>57</v>
      </c>
      <c r="H404" s="14">
        <f t="shared" si="11"/>
        <v>57</v>
      </c>
      <c r="I404" s="33"/>
      <c r="J404" s="33">
        <v>45</v>
      </c>
      <c r="K404" s="35" t="s">
        <v>3715</v>
      </c>
      <c r="Q404" s="15"/>
    </row>
    <row r="405" spans="1:17" ht="22.5" x14ac:dyDescent="0.25">
      <c r="A405" s="11" t="s">
        <v>3138</v>
      </c>
      <c r="B405" s="35"/>
      <c r="C405" s="10" t="s">
        <v>394</v>
      </c>
      <c r="D405" s="35"/>
      <c r="E405" s="33"/>
      <c r="F405" s="13" t="s">
        <v>1905</v>
      </c>
      <c r="G405" s="13">
        <v>2</v>
      </c>
      <c r="H405" s="14">
        <f t="shared" si="11"/>
        <v>2</v>
      </c>
      <c r="J405" s="14">
        <v>2</v>
      </c>
      <c r="K405" s="13" t="s">
        <v>3364</v>
      </c>
      <c r="Q405" s="15"/>
    </row>
    <row r="406" spans="1:17" x14ac:dyDescent="0.25">
      <c r="A406" s="11" t="s">
        <v>3138</v>
      </c>
      <c r="C406" s="10" t="s">
        <v>1360</v>
      </c>
      <c r="F406" s="14" t="s">
        <v>35</v>
      </c>
      <c r="G406" s="13">
        <v>2</v>
      </c>
      <c r="H406" s="14">
        <f>G406+I406</f>
        <v>2</v>
      </c>
      <c r="J406" s="14">
        <v>2</v>
      </c>
      <c r="K406" s="13" t="s">
        <v>3752</v>
      </c>
      <c r="Q406" s="15"/>
    </row>
    <row r="407" spans="1:17" x14ac:dyDescent="0.25">
      <c r="A407" s="11" t="s">
        <v>3138</v>
      </c>
      <c r="C407" s="10" t="s">
        <v>3714</v>
      </c>
      <c r="F407" s="14" t="s">
        <v>35</v>
      </c>
      <c r="G407" s="13">
        <v>1</v>
      </c>
      <c r="H407" s="14">
        <f>G407+I407</f>
        <v>1</v>
      </c>
      <c r="J407" s="14">
        <v>1</v>
      </c>
      <c r="K407" s="13" t="s">
        <v>3654</v>
      </c>
      <c r="Q407" s="15"/>
    </row>
    <row r="408" spans="1:17" x14ac:dyDescent="0.25">
      <c r="A408" s="11" t="s">
        <v>3138</v>
      </c>
      <c r="C408" s="10" t="s">
        <v>744</v>
      </c>
      <c r="E408" s="14" t="s">
        <v>744</v>
      </c>
      <c r="F408" s="14" t="s">
        <v>35</v>
      </c>
      <c r="G408" s="13">
        <v>1</v>
      </c>
      <c r="H408" s="14">
        <f t="shared" si="11"/>
        <v>1</v>
      </c>
      <c r="J408" s="14">
        <v>1</v>
      </c>
      <c r="K408" s="13" t="s">
        <v>1764</v>
      </c>
      <c r="Q408" s="15"/>
    </row>
    <row r="409" spans="1:17" x14ac:dyDescent="0.25">
      <c r="A409" s="11" t="s">
        <v>3138</v>
      </c>
      <c r="C409" s="10" t="s">
        <v>1779</v>
      </c>
      <c r="F409" s="14" t="s">
        <v>35</v>
      </c>
      <c r="G409" s="13">
        <v>7</v>
      </c>
      <c r="H409" s="14">
        <f t="shared" si="11"/>
        <v>7</v>
      </c>
      <c r="J409" s="14">
        <v>7</v>
      </c>
      <c r="K409" s="13" t="s">
        <v>3588</v>
      </c>
      <c r="Q409" s="15"/>
    </row>
    <row r="410" spans="1:17" x14ac:dyDescent="0.25">
      <c r="A410" s="11" t="s">
        <v>3138</v>
      </c>
      <c r="C410" s="10" t="s">
        <v>1898</v>
      </c>
      <c r="F410" s="14" t="s">
        <v>35</v>
      </c>
      <c r="G410" s="13">
        <v>1</v>
      </c>
      <c r="H410" s="14">
        <f>G410+I410</f>
        <v>1</v>
      </c>
      <c r="J410" s="14">
        <v>1</v>
      </c>
      <c r="K410" s="13" t="s">
        <v>2317</v>
      </c>
      <c r="Q410" s="15"/>
    </row>
    <row r="411" spans="1:17" x14ac:dyDescent="0.25">
      <c r="A411" s="11" t="s">
        <v>3138</v>
      </c>
      <c r="C411" s="10" t="s">
        <v>1942</v>
      </c>
      <c r="F411" s="14" t="s">
        <v>35</v>
      </c>
      <c r="G411" s="13">
        <v>1</v>
      </c>
      <c r="H411" s="14">
        <f>G411+I411</f>
        <v>1</v>
      </c>
      <c r="J411" s="14">
        <v>1</v>
      </c>
      <c r="K411" s="13" t="s">
        <v>3249</v>
      </c>
      <c r="Q411" s="15"/>
    </row>
    <row r="412" spans="1:17" ht="22.5" x14ac:dyDescent="0.25">
      <c r="A412" s="11" t="s">
        <v>3138</v>
      </c>
      <c r="C412" s="10" t="s">
        <v>256</v>
      </c>
      <c r="D412" s="13" t="s">
        <v>813</v>
      </c>
      <c r="E412" s="13" t="s">
        <v>258</v>
      </c>
      <c r="F412" s="14" t="s">
        <v>35</v>
      </c>
      <c r="G412" s="13">
        <v>14</v>
      </c>
      <c r="H412" s="14">
        <f t="shared" si="11"/>
        <v>14</v>
      </c>
      <c r="J412" s="14">
        <v>10</v>
      </c>
      <c r="K412" s="13" t="s">
        <v>3713</v>
      </c>
      <c r="Q412" s="15"/>
    </row>
    <row r="413" spans="1:17" x14ac:dyDescent="0.25">
      <c r="A413" s="11" t="s">
        <v>3138</v>
      </c>
      <c r="C413" s="10" t="s">
        <v>1907</v>
      </c>
      <c r="D413" s="13" t="s">
        <v>1944</v>
      </c>
      <c r="E413" s="13"/>
      <c r="F413" s="14" t="s">
        <v>35</v>
      </c>
      <c r="G413" s="13">
        <v>1</v>
      </c>
      <c r="H413" s="14">
        <f t="shared" si="11"/>
        <v>1</v>
      </c>
      <c r="J413" s="14">
        <v>1</v>
      </c>
      <c r="K413" s="13" t="s">
        <v>3671</v>
      </c>
      <c r="Q413" s="15"/>
    </row>
    <row r="414" spans="1:17" x14ac:dyDescent="0.25">
      <c r="A414" s="11" t="s">
        <v>3138</v>
      </c>
      <c r="C414" s="10" t="s">
        <v>307</v>
      </c>
      <c r="E414" s="13"/>
      <c r="F414" s="14" t="s">
        <v>35</v>
      </c>
      <c r="G414" s="13">
        <v>8</v>
      </c>
      <c r="H414" s="14">
        <f t="shared" si="11"/>
        <v>8</v>
      </c>
      <c r="J414" s="14">
        <v>7</v>
      </c>
      <c r="K414" s="13" t="s">
        <v>3356</v>
      </c>
      <c r="Q414" s="15"/>
    </row>
    <row r="415" spans="1:17" x14ac:dyDescent="0.25">
      <c r="A415" s="11" t="s">
        <v>3138</v>
      </c>
      <c r="C415" s="10" t="s">
        <v>257</v>
      </c>
      <c r="F415" s="14" t="s">
        <v>35</v>
      </c>
      <c r="G415" s="13">
        <v>2</v>
      </c>
      <c r="H415" s="14">
        <f t="shared" ref="H415:H470" si="12">G415+I415</f>
        <v>2</v>
      </c>
      <c r="J415" s="14">
        <v>2</v>
      </c>
      <c r="K415" s="13" t="s">
        <v>3719</v>
      </c>
      <c r="Q415" s="15"/>
    </row>
    <row r="416" spans="1:17" x14ac:dyDescent="0.25">
      <c r="A416" s="11" t="s">
        <v>3138</v>
      </c>
      <c r="C416" s="10" t="s">
        <v>471</v>
      </c>
      <c r="E416" s="14" t="s">
        <v>86</v>
      </c>
      <c r="F416" s="14" t="s">
        <v>35</v>
      </c>
      <c r="G416" s="13">
        <v>6</v>
      </c>
      <c r="H416" s="14">
        <f t="shared" si="12"/>
        <v>6</v>
      </c>
      <c r="J416" s="14">
        <v>4</v>
      </c>
      <c r="K416" s="13" t="s">
        <v>3717</v>
      </c>
      <c r="Q416" s="15"/>
    </row>
    <row r="417" spans="1:17" x14ac:dyDescent="0.25">
      <c r="A417" s="11" t="s">
        <v>3138</v>
      </c>
      <c r="C417" s="10" t="s">
        <v>260</v>
      </c>
      <c r="F417" s="14" t="s">
        <v>35</v>
      </c>
      <c r="G417" s="13">
        <v>5</v>
      </c>
      <c r="H417" s="14">
        <f t="shared" si="12"/>
        <v>5</v>
      </c>
      <c r="J417" s="14">
        <v>4</v>
      </c>
      <c r="K417" s="13" t="s">
        <v>3718</v>
      </c>
      <c r="Q417" s="15"/>
    </row>
    <row r="418" spans="1:17" x14ac:dyDescent="0.25">
      <c r="A418" s="11" t="s">
        <v>3138</v>
      </c>
      <c r="C418" s="10" t="s">
        <v>821</v>
      </c>
      <c r="F418" s="14" t="s">
        <v>35</v>
      </c>
      <c r="G418" s="13">
        <v>8</v>
      </c>
      <c r="H418" s="14">
        <f t="shared" si="12"/>
        <v>8</v>
      </c>
      <c r="J418" s="14">
        <v>6</v>
      </c>
      <c r="K418" s="13" t="s">
        <v>3716</v>
      </c>
      <c r="Q418" s="15"/>
    </row>
    <row r="419" spans="1:17" x14ac:dyDescent="0.25">
      <c r="A419" s="11" t="s">
        <v>3138</v>
      </c>
      <c r="C419" s="10" t="s">
        <v>737</v>
      </c>
      <c r="F419" s="14" t="s">
        <v>35</v>
      </c>
      <c r="G419" s="13">
        <v>1</v>
      </c>
      <c r="H419" s="14">
        <f t="shared" si="12"/>
        <v>1</v>
      </c>
      <c r="J419" s="14">
        <v>1</v>
      </c>
      <c r="K419" s="13" t="s">
        <v>1529</v>
      </c>
      <c r="Q419" s="15"/>
    </row>
    <row r="420" spans="1:17" x14ac:dyDescent="0.25">
      <c r="A420" s="11" t="s">
        <v>3138</v>
      </c>
      <c r="C420" s="10" t="s">
        <v>1914</v>
      </c>
      <c r="F420" s="14" t="s">
        <v>35</v>
      </c>
      <c r="G420" s="13">
        <v>1</v>
      </c>
      <c r="H420" s="14">
        <f t="shared" si="12"/>
        <v>1</v>
      </c>
      <c r="J420" s="14">
        <v>1</v>
      </c>
      <c r="K420" s="13" t="s">
        <v>3187</v>
      </c>
      <c r="Q420" s="15"/>
    </row>
    <row r="421" spans="1:17" x14ac:dyDescent="0.25">
      <c r="A421" s="11" t="s">
        <v>3138</v>
      </c>
      <c r="B421" s="13" t="s">
        <v>995</v>
      </c>
      <c r="F421" s="14" t="s">
        <v>35</v>
      </c>
      <c r="G421" s="13">
        <v>1</v>
      </c>
      <c r="H421" s="14">
        <f>G421+I421</f>
        <v>1</v>
      </c>
      <c r="J421" s="14">
        <v>1</v>
      </c>
      <c r="K421" s="13" t="s">
        <v>3448</v>
      </c>
      <c r="Q421" s="15"/>
    </row>
    <row r="422" spans="1:17" x14ac:dyDescent="0.25">
      <c r="A422" s="11" t="s">
        <v>3138</v>
      </c>
      <c r="B422" s="13" t="s">
        <v>953</v>
      </c>
      <c r="F422" s="14" t="s">
        <v>35</v>
      </c>
      <c r="G422" s="13">
        <v>6</v>
      </c>
      <c r="H422" s="14">
        <f t="shared" si="12"/>
        <v>6</v>
      </c>
      <c r="J422" s="14">
        <v>6</v>
      </c>
      <c r="K422" s="13" t="s">
        <v>3592</v>
      </c>
      <c r="Q422" s="15"/>
    </row>
    <row r="423" spans="1:17" x14ac:dyDescent="0.25">
      <c r="A423" s="11" t="s">
        <v>3138</v>
      </c>
      <c r="B423" s="13" t="s">
        <v>953</v>
      </c>
      <c r="C423" s="10" t="s">
        <v>3723</v>
      </c>
      <c r="F423" s="14" t="s">
        <v>35</v>
      </c>
      <c r="G423" s="13">
        <v>1</v>
      </c>
      <c r="H423" s="14">
        <f>G423+I423</f>
        <v>1</v>
      </c>
      <c r="J423" s="14">
        <v>1</v>
      </c>
      <c r="K423" s="13" t="s">
        <v>3724</v>
      </c>
      <c r="Q423" s="15"/>
    </row>
    <row r="424" spans="1:17" x14ac:dyDescent="0.25">
      <c r="A424" s="11" t="s">
        <v>3138</v>
      </c>
      <c r="B424" s="13" t="s">
        <v>953</v>
      </c>
      <c r="C424" s="10" t="s">
        <v>3337</v>
      </c>
      <c r="F424" s="14" t="s">
        <v>35</v>
      </c>
      <c r="G424" s="13">
        <v>2</v>
      </c>
      <c r="H424" s="14">
        <f>G424+I424</f>
        <v>2</v>
      </c>
      <c r="J424" s="14">
        <v>2</v>
      </c>
      <c r="K424" s="13" t="s">
        <v>3721</v>
      </c>
      <c r="Q424" s="15"/>
    </row>
    <row r="425" spans="1:17" x14ac:dyDescent="0.25">
      <c r="A425" s="11" t="s">
        <v>3138</v>
      </c>
      <c r="B425" s="13" t="s">
        <v>953</v>
      </c>
      <c r="C425" s="10" t="s">
        <v>1414</v>
      </c>
      <c r="E425" s="14" t="s">
        <v>728</v>
      </c>
      <c r="F425" s="14" t="s">
        <v>35</v>
      </c>
      <c r="G425" s="13">
        <v>1</v>
      </c>
      <c r="H425" s="14">
        <f t="shared" si="12"/>
        <v>1</v>
      </c>
      <c r="J425" s="14">
        <v>1</v>
      </c>
      <c r="K425" s="13" t="s">
        <v>3150</v>
      </c>
      <c r="Q425" s="15"/>
    </row>
    <row r="426" spans="1:17" x14ac:dyDescent="0.25">
      <c r="A426" s="11" t="s">
        <v>3138</v>
      </c>
      <c r="B426" s="13" t="s">
        <v>238</v>
      </c>
      <c r="E426" s="14" t="s">
        <v>236</v>
      </c>
      <c r="F426" s="14" t="s">
        <v>35</v>
      </c>
      <c r="G426" s="13">
        <v>4</v>
      </c>
      <c r="H426" s="14">
        <f t="shared" si="12"/>
        <v>4</v>
      </c>
      <c r="J426" s="14">
        <v>4</v>
      </c>
      <c r="K426" s="13" t="s">
        <v>3720</v>
      </c>
      <c r="Q426" s="15"/>
    </row>
    <row r="427" spans="1:17" x14ac:dyDescent="0.25">
      <c r="A427" s="11" t="s">
        <v>3138</v>
      </c>
      <c r="D427" s="13" t="s">
        <v>1015</v>
      </c>
      <c r="F427" s="13" t="s">
        <v>35</v>
      </c>
      <c r="G427" s="13">
        <v>5</v>
      </c>
      <c r="H427" s="14">
        <f t="shared" si="12"/>
        <v>5</v>
      </c>
      <c r="J427" s="14">
        <v>5</v>
      </c>
      <c r="K427" s="13" t="s">
        <v>3589</v>
      </c>
      <c r="Q427" s="15"/>
    </row>
    <row r="428" spans="1:17" ht="33.75" x14ac:dyDescent="0.25">
      <c r="A428" s="11" t="s">
        <v>3138</v>
      </c>
      <c r="C428" s="10" t="s">
        <v>3151</v>
      </c>
      <c r="D428" s="13" t="s">
        <v>2419</v>
      </c>
      <c r="F428" s="13" t="s">
        <v>3152</v>
      </c>
      <c r="G428" s="13">
        <v>2</v>
      </c>
      <c r="H428" s="14">
        <f>G428+I428</f>
        <v>2</v>
      </c>
      <c r="J428" s="14">
        <v>1</v>
      </c>
      <c r="K428" s="13" t="s">
        <v>2216</v>
      </c>
      <c r="Q428" s="15"/>
    </row>
    <row r="429" spans="1:17" x14ac:dyDescent="0.25">
      <c r="A429" s="11" t="s">
        <v>3138</v>
      </c>
      <c r="B429" s="13" t="s">
        <v>231</v>
      </c>
      <c r="D429" s="13" t="s">
        <v>1940</v>
      </c>
      <c r="F429" s="13" t="s">
        <v>35</v>
      </c>
      <c r="G429" s="13">
        <v>1</v>
      </c>
      <c r="H429" s="14">
        <f t="shared" si="12"/>
        <v>1</v>
      </c>
      <c r="J429" s="14">
        <v>1</v>
      </c>
      <c r="K429" s="13" t="s">
        <v>3511</v>
      </c>
      <c r="Q429" s="15"/>
    </row>
    <row r="430" spans="1:17" x14ac:dyDescent="0.25">
      <c r="A430" s="11" t="s">
        <v>3138</v>
      </c>
      <c r="B430" s="13" t="s">
        <v>3606</v>
      </c>
      <c r="C430" s="10" t="s">
        <v>3607</v>
      </c>
      <c r="D430" s="13" t="s">
        <v>1940</v>
      </c>
      <c r="F430" s="13" t="s">
        <v>35</v>
      </c>
      <c r="G430" s="13">
        <v>4</v>
      </c>
      <c r="H430" s="14">
        <f>G430+I430</f>
        <v>4</v>
      </c>
      <c r="J430" s="14">
        <v>4</v>
      </c>
      <c r="K430" s="13" t="s">
        <v>3608</v>
      </c>
      <c r="Q430" s="15"/>
    </row>
    <row r="431" spans="1:17" x14ac:dyDescent="0.25">
      <c r="A431" s="11" t="s">
        <v>3138</v>
      </c>
      <c r="B431" s="13" t="s">
        <v>226</v>
      </c>
      <c r="D431" s="13" t="s">
        <v>1940</v>
      </c>
      <c r="E431" s="13" t="s">
        <v>2784</v>
      </c>
      <c r="F431" s="14" t="s">
        <v>35</v>
      </c>
      <c r="G431" s="13">
        <v>5</v>
      </c>
      <c r="H431" s="14">
        <f t="shared" si="12"/>
        <v>5</v>
      </c>
      <c r="J431" s="14">
        <v>5</v>
      </c>
      <c r="K431" s="13" t="s">
        <v>3591</v>
      </c>
      <c r="Q431" s="15"/>
    </row>
    <row r="432" spans="1:17" x14ac:dyDescent="0.25">
      <c r="A432" s="11" t="s">
        <v>3138</v>
      </c>
      <c r="B432" s="13" t="s">
        <v>226</v>
      </c>
      <c r="C432" s="10" t="s">
        <v>3309</v>
      </c>
      <c r="E432" s="13" t="s">
        <v>2784</v>
      </c>
      <c r="F432" s="14" t="s">
        <v>35</v>
      </c>
      <c r="G432" s="13">
        <v>3</v>
      </c>
      <c r="H432" s="14">
        <f>G432+I432</f>
        <v>3</v>
      </c>
      <c r="J432" s="14">
        <v>2</v>
      </c>
      <c r="K432" s="13" t="s">
        <v>3590</v>
      </c>
      <c r="Q432" s="15"/>
    </row>
    <row r="433" spans="1:17" x14ac:dyDescent="0.25">
      <c r="A433" s="11" t="s">
        <v>3138</v>
      </c>
      <c r="B433" s="13" t="s">
        <v>226</v>
      </c>
      <c r="C433" s="10" t="s">
        <v>3310</v>
      </c>
      <c r="E433" s="13" t="s">
        <v>2784</v>
      </c>
      <c r="F433" s="14" t="s">
        <v>35</v>
      </c>
      <c r="G433" s="13">
        <v>2</v>
      </c>
      <c r="H433" s="14">
        <f>G433+I433</f>
        <v>2</v>
      </c>
      <c r="J433" s="14">
        <v>2</v>
      </c>
      <c r="K433" s="13" t="s">
        <v>3311</v>
      </c>
      <c r="Q433" s="15"/>
    </row>
    <row r="434" spans="1:17" x14ac:dyDescent="0.25">
      <c r="A434" s="11" t="s">
        <v>3138</v>
      </c>
      <c r="B434" s="13" t="s">
        <v>226</v>
      </c>
      <c r="C434" s="10" t="s">
        <v>3335</v>
      </c>
      <c r="E434" s="13" t="s">
        <v>730</v>
      </c>
      <c r="F434" s="14" t="s">
        <v>35</v>
      </c>
      <c r="G434" s="13">
        <v>1</v>
      </c>
      <c r="H434" s="14">
        <f>G434+I434</f>
        <v>1</v>
      </c>
      <c r="J434" s="14">
        <v>1</v>
      </c>
      <c r="K434" s="13" t="s">
        <v>3334</v>
      </c>
      <c r="Q434" s="15"/>
    </row>
    <row r="435" spans="1:17" x14ac:dyDescent="0.25">
      <c r="A435" s="11" t="s">
        <v>3138</v>
      </c>
      <c r="B435" s="13" t="s">
        <v>998</v>
      </c>
      <c r="F435" s="14" t="s">
        <v>35</v>
      </c>
      <c r="G435" s="13">
        <v>1</v>
      </c>
      <c r="H435" s="14">
        <f>G435+I435</f>
        <v>1</v>
      </c>
      <c r="J435" s="14">
        <v>1</v>
      </c>
      <c r="K435" s="13" t="s">
        <v>3420</v>
      </c>
    </row>
    <row r="436" spans="1:17" x14ac:dyDescent="0.25">
      <c r="A436" s="11" t="s">
        <v>3138</v>
      </c>
      <c r="B436" s="13" t="s">
        <v>407</v>
      </c>
      <c r="C436" s="61" t="s">
        <v>407</v>
      </c>
      <c r="D436" s="13" t="s">
        <v>1940</v>
      </c>
      <c r="F436" s="14" t="s">
        <v>35</v>
      </c>
      <c r="G436" s="13">
        <v>1</v>
      </c>
      <c r="H436" s="14">
        <f t="shared" si="12"/>
        <v>1</v>
      </c>
      <c r="J436" s="14">
        <v>1</v>
      </c>
      <c r="K436" s="13" t="s">
        <v>3286</v>
      </c>
      <c r="Q436" s="15"/>
    </row>
    <row r="437" spans="1:17" x14ac:dyDescent="0.25">
      <c r="A437" s="11" t="s">
        <v>3138</v>
      </c>
      <c r="B437" s="13" t="s">
        <v>407</v>
      </c>
      <c r="C437" s="61" t="s">
        <v>3306</v>
      </c>
      <c r="D437" s="13" t="s">
        <v>1940</v>
      </c>
      <c r="F437" s="14" t="s">
        <v>35</v>
      </c>
      <c r="G437" s="13">
        <v>1</v>
      </c>
      <c r="H437" s="14">
        <f t="shared" ref="H437:H442" si="13">G437+I437</f>
        <v>1</v>
      </c>
      <c r="J437" s="14">
        <v>1</v>
      </c>
      <c r="K437" s="13" t="s">
        <v>3286</v>
      </c>
      <c r="Q437" s="15"/>
    </row>
    <row r="438" spans="1:17" x14ac:dyDescent="0.25">
      <c r="A438" s="11" t="s">
        <v>3138</v>
      </c>
      <c r="B438" s="13" t="s">
        <v>407</v>
      </c>
      <c r="C438" s="61" t="s">
        <v>3307</v>
      </c>
      <c r="D438" s="13" t="s">
        <v>1940</v>
      </c>
      <c r="F438" s="14" t="s">
        <v>35</v>
      </c>
      <c r="G438" s="13">
        <v>1</v>
      </c>
      <c r="H438" s="14">
        <f t="shared" si="13"/>
        <v>1</v>
      </c>
      <c r="J438" s="14">
        <v>1</v>
      </c>
      <c r="K438" s="13" t="s">
        <v>3286</v>
      </c>
      <c r="Q438" s="15"/>
    </row>
    <row r="439" spans="1:17" x14ac:dyDescent="0.25">
      <c r="A439" s="11" t="s">
        <v>3138</v>
      </c>
      <c r="B439" s="13" t="s">
        <v>407</v>
      </c>
      <c r="C439" s="61" t="s">
        <v>3308</v>
      </c>
      <c r="D439" s="13" t="s">
        <v>1940</v>
      </c>
      <c r="F439" s="14" t="s">
        <v>35</v>
      </c>
      <c r="G439" s="13">
        <v>1</v>
      </c>
      <c r="H439" s="14">
        <f t="shared" si="13"/>
        <v>1</v>
      </c>
      <c r="J439" s="14">
        <v>1</v>
      </c>
      <c r="K439" s="13" t="s">
        <v>3286</v>
      </c>
      <c r="Q439" s="15"/>
    </row>
    <row r="440" spans="1:17" ht="22.5" x14ac:dyDescent="0.25">
      <c r="A440" s="11" t="s">
        <v>3138</v>
      </c>
      <c r="B440" s="13" t="s">
        <v>407</v>
      </c>
      <c r="C440" s="10" t="s">
        <v>3160</v>
      </c>
      <c r="D440" s="13" t="s">
        <v>1033</v>
      </c>
      <c r="E440" s="14" t="s">
        <v>3160</v>
      </c>
      <c r="F440" s="14" t="s">
        <v>35</v>
      </c>
      <c r="G440" s="13">
        <v>2</v>
      </c>
      <c r="H440" s="14">
        <f t="shared" si="13"/>
        <v>2</v>
      </c>
      <c r="J440" s="14">
        <v>2</v>
      </c>
      <c r="K440" s="13" t="s">
        <v>3336</v>
      </c>
      <c r="Q440" s="15"/>
    </row>
    <row r="441" spans="1:17" x14ac:dyDescent="0.25">
      <c r="A441" s="11" t="s">
        <v>3138</v>
      </c>
      <c r="B441" s="13" t="s">
        <v>1612</v>
      </c>
      <c r="D441" s="13" t="s">
        <v>1940</v>
      </c>
      <c r="F441" s="14" t="s">
        <v>35</v>
      </c>
      <c r="G441" s="13">
        <v>1</v>
      </c>
      <c r="H441" s="14">
        <f t="shared" si="13"/>
        <v>1</v>
      </c>
      <c r="J441" s="14">
        <v>1</v>
      </c>
      <c r="K441" s="13" t="s">
        <v>3351</v>
      </c>
      <c r="Q441" s="15"/>
    </row>
    <row r="442" spans="1:17" x14ac:dyDescent="0.25">
      <c r="A442" s="11" t="s">
        <v>3138</v>
      </c>
      <c r="B442" s="13" t="s">
        <v>86</v>
      </c>
      <c r="D442" s="13" t="s">
        <v>1940</v>
      </c>
      <c r="F442" s="14" t="s">
        <v>35</v>
      </c>
      <c r="G442" s="13">
        <v>1</v>
      </c>
      <c r="H442" s="14">
        <f t="shared" si="13"/>
        <v>1</v>
      </c>
      <c r="J442" s="14">
        <v>1</v>
      </c>
      <c r="K442" s="13" t="s">
        <v>3367</v>
      </c>
      <c r="Q442" s="15"/>
    </row>
    <row r="443" spans="1:17" x14ac:dyDescent="0.25">
      <c r="A443" s="11" t="s">
        <v>3138</v>
      </c>
      <c r="B443" s="13" t="s">
        <v>676</v>
      </c>
      <c r="E443" s="14" t="s">
        <v>428</v>
      </c>
      <c r="F443" s="14" t="s">
        <v>35</v>
      </c>
      <c r="G443" s="13">
        <v>3</v>
      </c>
      <c r="H443" s="14">
        <f t="shared" si="12"/>
        <v>3</v>
      </c>
      <c r="J443" s="14">
        <v>3</v>
      </c>
      <c r="K443" s="13" t="s">
        <v>3605</v>
      </c>
      <c r="Q443" s="15"/>
    </row>
    <row r="444" spans="1:17" x14ac:dyDescent="0.25">
      <c r="A444" s="11" t="s">
        <v>3138</v>
      </c>
      <c r="B444" s="13" t="s">
        <v>676</v>
      </c>
      <c r="E444" s="14" t="s">
        <v>728</v>
      </c>
      <c r="F444" s="14" t="s">
        <v>35</v>
      </c>
      <c r="G444" s="13">
        <v>1</v>
      </c>
      <c r="H444" s="14">
        <f t="shared" si="12"/>
        <v>1</v>
      </c>
      <c r="J444" s="14">
        <v>1</v>
      </c>
      <c r="K444" s="13" t="s">
        <v>3358</v>
      </c>
      <c r="Q444" s="15"/>
    </row>
    <row r="445" spans="1:17" x14ac:dyDescent="0.25">
      <c r="A445" s="11" t="s">
        <v>3138</v>
      </c>
      <c r="B445" s="13" t="s">
        <v>676</v>
      </c>
      <c r="E445" s="14" t="s">
        <v>729</v>
      </c>
      <c r="F445" s="14" t="s">
        <v>35</v>
      </c>
      <c r="G445" s="13">
        <v>1</v>
      </c>
      <c r="H445" s="14">
        <f t="shared" si="12"/>
        <v>1</v>
      </c>
      <c r="J445" s="14">
        <v>1</v>
      </c>
      <c r="K445" s="13" t="s">
        <v>3148</v>
      </c>
      <c r="Q445" s="15"/>
    </row>
    <row r="446" spans="1:17" ht="22.5" x14ac:dyDescent="0.25">
      <c r="A446" s="11" t="s">
        <v>3138</v>
      </c>
      <c r="B446" s="13" t="s">
        <v>676</v>
      </c>
      <c r="C446" s="10" t="s">
        <v>732</v>
      </c>
      <c r="D446" s="13" t="s">
        <v>1033</v>
      </c>
      <c r="E446" s="14" t="s">
        <v>732</v>
      </c>
      <c r="F446" s="14" t="s">
        <v>35</v>
      </c>
      <c r="G446" s="13">
        <v>1</v>
      </c>
      <c r="H446" s="14">
        <f t="shared" si="12"/>
        <v>1</v>
      </c>
      <c r="J446" s="14">
        <v>1</v>
      </c>
      <c r="K446" s="13" t="s">
        <v>1262</v>
      </c>
      <c r="Q446" s="15"/>
    </row>
    <row r="447" spans="1:17" x14ac:dyDescent="0.25">
      <c r="A447" s="11" t="s">
        <v>3138</v>
      </c>
      <c r="B447" s="13" t="s">
        <v>676</v>
      </c>
      <c r="E447" s="14" t="s">
        <v>732</v>
      </c>
      <c r="F447" s="14" t="s">
        <v>35</v>
      </c>
      <c r="G447" s="13">
        <v>2</v>
      </c>
      <c r="H447" s="14">
        <f>G447+I447</f>
        <v>2</v>
      </c>
      <c r="J447" s="14">
        <v>2</v>
      </c>
      <c r="K447" s="13" t="s">
        <v>3726</v>
      </c>
      <c r="Q447" s="15"/>
    </row>
    <row r="448" spans="1:17" x14ac:dyDescent="0.25">
      <c r="A448" s="11" t="s">
        <v>3138</v>
      </c>
      <c r="B448" s="13" t="s">
        <v>676</v>
      </c>
      <c r="E448" s="14" t="s">
        <v>1916</v>
      </c>
      <c r="F448" s="14" t="s">
        <v>35</v>
      </c>
      <c r="G448" s="13">
        <v>1</v>
      </c>
      <c r="H448" s="14">
        <f t="shared" si="12"/>
        <v>1</v>
      </c>
      <c r="J448" s="14">
        <v>1</v>
      </c>
      <c r="K448" s="13" t="s">
        <v>3313</v>
      </c>
      <c r="Q448" s="15"/>
    </row>
    <row r="449" spans="1:17" x14ac:dyDescent="0.25">
      <c r="A449" s="11" t="s">
        <v>3138</v>
      </c>
      <c r="B449" s="13" t="s">
        <v>676</v>
      </c>
      <c r="E449" s="14" t="s">
        <v>746</v>
      </c>
      <c r="F449" s="14" t="s">
        <v>35</v>
      </c>
      <c r="G449" s="13">
        <v>1</v>
      </c>
      <c r="H449" s="14">
        <f t="shared" si="12"/>
        <v>1</v>
      </c>
      <c r="J449" s="14">
        <v>1</v>
      </c>
      <c r="K449" s="13" t="s">
        <v>3313</v>
      </c>
      <c r="Q449" s="15"/>
    </row>
    <row r="450" spans="1:17" x14ac:dyDescent="0.25">
      <c r="A450" s="11" t="s">
        <v>3138</v>
      </c>
      <c r="B450" s="13" t="s">
        <v>676</v>
      </c>
      <c r="C450" s="10" t="s">
        <v>3146</v>
      </c>
      <c r="D450" s="13" t="s">
        <v>1940</v>
      </c>
      <c r="F450" s="14" t="s">
        <v>35</v>
      </c>
      <c r="G450" s="13">
        <v>1</v>
      </c>
      <c r="H450" s="14">
        <f>G450+I450</f>
        <v>1</v>
      </c>
      <c r="J450" s="14">
        <v>1</v>
      </c>
      <c r="K450" s="13" t="s">
        <v>3147</v>
      </c>
      <c r="Q450" s="15"/>
    </row>
    <row r="451" spans="1:17" x14ac:dyDescent="0.25">
      <c r="A451" s="11" t="s">
        <v>3138</v>
      </c>
      <c r="B451" s="13" t="s">
        <v>1596</v>
      </c>
      <c r="C451" s="10" t="s">
        <v>1010</v>
      </c>
      <c r="F451" s="14" t="s">
        <v>35</v>
      </c>
      <c r="G451" s="13">
        <v>2</v>
      </c>
      <c r="H451" s="14">
        <f>G451+I451</f>
        <v>2</v>
      </c>
      <c r="J451" s="14">
        <v>2</v>
      </c>
      <c r="K451" s="13" t="s">
        <v>3594</v>
      </c>
    </row>
    <row r="452" spans="1:17" x14ac:dyDescent="0.25">
      <c r="A452" s="11" t="s">
        <v>3138</v>
      </c>
      <c r="B452" s="13" t="s">
        <v>1596</v>
      </c>
      <c r="F452" s="14" t="s">
        <v>35</v>
      </c>
      <c r="G452" s="13">
        <v>1</v>
      </c>
      <c r="H452" s="14">
        <f>G452+I452</f>
        <v>1</v>
      </c>
      <c r="J452" s="14">
        <v>1</v>
      </c>
      <c r="K452" s="13" t="s">
        <v>3254</v>
      </c>
    </row>
    <row r="453" spans="1:17" x14ac:dyDescent="0.25">
      <c r="A453" s="11" t="s">
        <v>3138</v>
      </c>
      <c r="B453" s="13" t="s">
        <v>34</v>
      </c>
      <c r="D453" s="13" t="s">
        <v>1940</v>
      </c>
      <c r="F453" s="14" t="s">
        <v>35</v>
      </c>
      <c r="G453" s="13">
        <v>11</v>
      </c>
      <c r="H453" s="14">
        <f t="shared" si="12"/>
        <v>11</v>
      </c>
      <c r="J453" s="14">
        <v>8</v>
      </c>
      <c r="K453" s="13" t="s">
        <v>3725</v>
      </c>
    </row>
    <row r="454" spans="1:17" x14ac:dyDescent="0.25">
      <c r="A454" s="11" t="s">
        <v>3138</v>
      </c>
      <c r="B454" s="13" t="s">
        <v>99</v>
      </c>
      <c r="C454" s="10" t="s">
        <v>1505</v>
      </c>
      <c r="E454" s="13"/>
      <c r="F454" s="14" t="s">
        <v>35</v>
      </c>
      <c r="G454" s="13">
        <v>1</v>
      </c>
      <c r="H454" s="14">
        <f t="shared" si="12"/>
        <v>1</v>
      </c>
      <c r="J454" s="14">
        <v>1</v>
      </c>
      <c r="K454" s="13" t="s">
        <v>3338</v>
      </c>
    </row>
    <row r="455" spans="1:17" x14ac:dyDescent="0.25">
      <c r="A455" s="11" t="s">
        <v>3138</v>
      </c>
      <c r="B455" s="13" t="s">
        <v>99</v>
      </c>
      <c r="F455" s="14" t="s">
        <v>35</v>
      </c>
      <c r="G455" s="13">
        <v>1</v>
      </c>
      <c r="H455" s="14">
        <f t="shared" si="12"/>
        <v>1</v>
      </c>
      <c r="J455" s="14">
        <v>1</v>
      </c>
      <c r="K455" s="13" t="s">
        <v>3654</v>
      </c>
    </row>
    <row r="456" spans="1:17" x14ac:dyDescent="0.25">
      <c r="A456" s="11" t="s">
        <v>3138</v>
      </c>
      <c r="B456" s="13" t="s">
        <v>170</v>
      </c>
      <c r="F456" s="14" t="s">
        <v>35</v>
      </c>
      <c r="G456" s="13">
        <v>2</v>
      </c>
      <c r="H456" s="14">
        <f t="shared" si="12"/>
        <v>2</v>
      </c>
      <c r="J456" s="14">
        <v>2</v>
      </c>
      <c r="K456" s="13" t="s">
        <v>3593</v>
      </c>
    </row>
    <row r="457" spans="1:17" x14ac:dyDescent="0.25">
      <c r="A457" s="11" t="s">
        <v>3138</v>
      </c>
      <c r="B457" s="13" t="s">
        <v>319</v>
      </c>
      <c r="C457" s="10" t="s">
        <v>315</v>
      </c>
      <c r="D457" s="13" t="s">
        <v>1940</v>
      </c>
      <c r="F457" s="14" t="s">
        <v>35</v>
      </c>
      <c r="G457" s="13">
        <v>3</v>
      </c>
      <c r="H457" s="14">
        <f t="shared" si="12"/>
        <v>3</v>
      </c>
      <c r="J457" s="14">
        <v>2</v>
      </c>
      <c r="K457" s="13" t="s">
        <v>3722</v>
      </c>
    </row>
    <row r="458" spans="1:17" s="31" customFormat="1" ht="22.5" x14ac:dyDescent="0.25">
      <c r="A458" s="11" t="s">
        <v>3138</v>
      </c>
      <c r="B458" s="13"/>
      <c r="C458" s="10" t="s">
        <v>1801</v>
      </c>
      <c r="D458" s="13"/>
      <c r="E458" s="14"/>
      <c r="F458" s="13" t="s">
        <v>3057</v>
      </c>
      <c r="G458" s="13">
        <v>1</v>
      </c>
      <c r="H458" s="14">
        <f t="shared" si="12"/>
        <v>1</v>
      </c>
      <c r="I458" s="14"/>
      <c r="J458" s="14">
        <v>1</v>
      </c>
      <c r="K458" s="13" t="s">
        <v>3331</v>
      </c>
      <c r="L458" s="15"/>
      <c r="M458" s="15"/>
      <c r="N458" s="15"/>
      <c r="O458" s="15"/>
      <c r="P458" s="15"/>
      <c r="Q458" s="30"/>
    </row>
    <row r="459" spans="1:17" s="39" customFormat="1" ht="45" x14ac:dyDescent="0.25">
      <c r="A459" s="11" t="s">
        <v>3138</v>
      </c>
      <c r="B459" s="13"/>
      <c r="C459" s="38" t="s">
        <v>771</v>
      </c>
      <c r="D459" s="26"/>
      <c r="E459" s="25"/>
      <c r="F459" s="25" t="s">
        <v>771</v>
      </c>
      <c r="G459" s="26">
        <v>123</v>
      </c>
      <c r="H459" s="25">
        <f t="shared" si="12"/>
        <v>123</v>
      </c>
      <c r="I459" s="25"/>
      <c r="J459" s="25">
        <v>69</v>
      </c>
      <c r="K459" s="26" t="s">
        <v>3727</v>
      </c>
      <c r="L459" s="31"/>
      <c r="M459" s="31"/>
      <c r="N459" s="31"/>
      <c r="O459" s="31"/>
      <c r="P459" s="31"/>
      <c r="Q459" s="26"/>
    </row>
    <row r="460" spans="1:17" ht="22.5" x14ac:dyDescent="0.25">
      <c r="A460" s="11" t="s">
        <v>3138</v>
      </c>
      <c r="C460" s="10" t="s">
        <v>1900</v>
      </c>
      <c r="F460" s="13" t="s">
        <v>776</v>
      </c>
      <c r="G460" s="13">
        <v>1</v>
      </c>
      <c r="H460" s="14">
        <f t="shared" si="12"/>
        <v>1</v>
      </c>
      <c r="J460" s="14">
        <v>1</v>
      </c>
      <c r="K460" s="13" t="s">
        <v>3153</v>
      </c>
    </row>
    <row r="461" spans="1:17" ht="22.5" x14ac:dyDescent="0.25">
      <c r="A461" s="11" t="s">
        <v>3138</v>
      </c>
      <c r="B461" s="13" t="s">
        <v>778</v>
      </c>
      <c r="D461" s="15"/>
      <c r="E461" s="15"/>
      <c r="F461" s="13" t="s">
        <v>776</v>
      </c>
      <c r="G461" s="13">
        <v>3</v>
      </c>
      <c r="H461" s="14">
        <f>G461+I461</f>
        <v>3</v>
      </c>
      <c r="I461" s="15"/>
      <c r="J461" s="15">
        <v>3</v>
      </c>
      <c r="K461" s="15" t="s">
        <v>3603</v>
      </c>
    </row>
    <row r="462" spans="1:17" ht="22.5" x14ac:dyDescent="0.25">
      <c r="A462" s="11" t="s">
        <v>3138</v>
      </c>
      <c r="B462" s="13" t="s">
        <v>778</v>
      </c>
      <c r="C462" s="10" t="s">
        <v>3347</v>
      </c>
      <c r="D462" s="15" t="s">
        <v>3350</v>
      </c>
      <c r="E462" s="15" t="s">
        <v>778</v>
      </c>
      <c r="F462" s="13" t="s">
        <v>776</v>
      </c>
      <c r="G462" s="13">
        <v>1</v>
      </c>
      <c r="H462" s="14">
        <f>G462+I462</f>
        <v>1</v>
      </c>
      <c r="I462" s="15"/>
      <c r="J462" s="15">
        <v>1</v>
      </c>
      <c r="K462" s="15" t="s">
        <v>3313</v>
      </c>
    </row>
    <row r="463" spans="1:17" ht="22.5" x14ac:dyDescent="0.25">
      <c r="A463" s="11" t="s">
        <v>3138</v>
      </c>
      <c r="B463" s="13" t="s">
        <v>1099</v>
      </c>
      <c r="D463" s="15"/>
      <c r="E463" s="15"/>
      <c r="F463" s="13" t="s">
        <v>776</v>
      </c>
      <c r="G463" s="13">
        <v>1</v>
      </c>
      <c r="H463" s="14">
        <f>G463+I463</f>
        <v>1</v>
      </c>
      <c r="I463" s="15"/>
      <c r="J463" s="15">
        <v>1</v>
      </c>
      <c r="K463" s="15" t="s">
        <v>3318</v>
      </c>
    </row>
    <row r="464" spans="1:17" ht="22.5" x14ac:dyDescent="0.25">
      <c r="A464" s="11" t="s">
        <v>3138</v>
      </c>
      <c r="B464" s="13" t="s">
        <v>1099</v>
      </c>
      <c r="C464" s="10" t="s">
        <v>3333</v>
      </c>
      <c r="D464" s="15"/>
      <c r="E464" s="15"/>
      <c r="F464" s="13" t="s">
        <v>776</v>
      </c>
      <c r="G464" s="13">
        <v>1</v>
      </c>
      <c r="H464" s="14">
        <f>G464+I464</f>
        <v>1</v>
      </c>
      <c r="I464" s="15"/>
      <c r="J464" s="15">
        <v>1</v>
      </c>
      <c r="K464" s="15" t="s">
        <v>3334</v>
      </c>
    </row>
    <row r="465" spans="1:17" ht="22.5" x14ac:dyDescent="0.25">
      <c r="A465" s="11" t="s">
        <v>3138</v>
      </c>
      <c r="B465" s="13" t="s">
        <v>783</v>
      </c>
      <c r="E465" s="14" t="s">
        <v>784</v>
      </c>
      <c r="F465" s="13" t="s">
        <v>776</v>
      </c>
      <c r="G465" s="13">
        <v>1</v>
      </c>
      <c r="H465" s="14">
        <f t="shared" si="12"/>
        <v>1</v>
      </c>
      <c r="J465" s="14">
        <v>1</v>
      </c>
      <c r="K465" s="13" t="s">
        <v>1535</v>
      </c>
      <c r="Q465" s="15"/>
    </row>
    <row r="466" spans="1:17" x14ac:dyDescent="0.25">
      <c r="A466" s="11" t="s">
        <v>3138</v>
      </c>
      <c r="C466" s="10" t="s">
        <v>3154</v>
      </c>
      <c r="D466" s="13" t="s">
        <v>969</v>
      </c>
      <c r="F466" s="14" t="s">
        <v>874</v>
      </c>
      <c r="G466" s="13">
        <v>1</v>
      </c>
      <c r="H466" s="14">
        <f>G466+I466</f>
        <v>1</v>
      </c>
      <c r="J466" s="14">
        <v>1</v>
      </c>
      <c r="K466" s="13" t="s">
        <v>2280</v>
      </c>
      <c r="Q466" s="15"/>
    </row>
    <row r="467" spans="1:17" x14ac:dyDescent="0.25">
      <c r="A467" s="11" t="s">
        <v>3138</v>
      </c>
      <c r="B467" s="13" t="s">
        <v>793</v>
      </c>
      <c r="E467" s="14" t="s">
        <v>793</v>
      </c>
      <c r="F467" s="13" t="s">
        <v>773</v>
      </c>
      <c r="G467" s="13">
        <v>1</v>
      </c>
      <c r="H467" s="14">
        <f t="shared" si="12"/>
        <v>1</v>
      </c>
      <c r="J467" s="14">
        <v>1</v>
      </c>
      <c r="K467" s="13" t="s">
        <v>3318</v>
      </c>
      <c r="Q467" s="15"/>
    </row>
    <row r="468" spans="1:17" x14ac:dyDescent="0.25">
      <c r="A468" s="11" t="s">
        <v>3138</v>
      </c>
      <c r="B468" s="13" t="s">
        <v>1666</v>
      </c>
      <c r="D468" s="13" t="s">
        <v>1940</v>
      </c>
      <c r="F468" s="13" t="s">
        <v>773</v>
      </c>
      <c r="G468" s="13">
        <v>1</v>
      </c>
      <c r="H468" s="14">
        <f t="shared" si="12"/>
        <v>1</v>
      </c>
      <c r="J468" s="14">
        <v>1</v>
      </c>
      <c r="K468" s="13" t="s">
        <v>3313</v>
      </c>
      <c r="Q468" s="15"/>
    </row>
    <row r="469" spans="1:17" x14ac:dyDescent="0.25">
      <c r="A469" s="11" t="s">
        <v>3138</v>
      </c>
      <c r="B469" s="13" t="s">
        <v>1666</v>
      </c>
      <c r="C469" s="10" t="s">
        <v>3348</v>
      </c>
      <c r="D469" s="13" t="s">
        <v>3350</v>
      </c>
      <c r="E469" s="14" t="s">
        <v>3349</v>
      </c>
      <c r="F469" s="13" t="s">
        <v>773</v>
      </c>
      <c r="G469" s="13">
        <v>1</v>
      </c>
      <c r="H469" s="14">
        <f>G469+I469</f>
        <v>1</v>
      </c>
      <c r="J469" s="14">
        <v>1</v>
      </c>
      <c r="K469" s="13" t="s">
        <v>3313</v>
      </c>
      <c r="Q469" s="15"/>
    </row>
    <row r="470" spans="1:17" x14ac:dyDescent="0.25">
      <c r="A470" s="11" t="s">
        <v>3138</v>
      </c>
      <c r="B470" s="13" t="s">
        <v>878</v>
      </c>
      <c r="D470" s="13" t="s">
        <v>1940</v>
      </c>
      <c r="E470" s="14" t="s">
        <v>1220</v>
      </c>
      <c r="F470" s="13" t="s">
        <v>773</v>
      </c>
      <c r="G470" s="13">
        <v>2</v>
      </c>
      <c r="H470" s="14">
        <f t="shared" si="12"/>
        <v>2</v>
      </c>
      <c r="J470" s="14">
        <v>2</v>
      </c>
      <c r="K470" s="13" t="s">
        <v>3332</v>
      </c>
      <c r="Q470" s="15"/>
    </row>
    <row r="471" spans="1:17" x14ac:dyDescent="0.25">
      <c r="A471" s="11" t="s">
        <v>3138</v>
      </c>
      <c r="B471" s="13" t="s">
        <v>2456</v>
      </c>
      <c r="F471" s="13" t="s">
        <v>773</v>
      </c>
      <c r="G471" s="13">
        <v>1</v>
      </c>
      <c r="H471" s="14">
        <f>G471+I471</f>
        <v>1</v>
      </c>
      <c r="J471" s="14">
        <v>1</v>
      </c>
      <c r="K471" s="13" t="s">
        <v>3318</v>
      </c>
      <c r="Q471" s="15"/>
    </row>
    <row r="472" spans="1:17" x14ac:dyDescent="0.25">
      <c r="A472" s="11" t="s">
        <v>3138</v>
      </c>
      <c r="B472" s="13" t="s">
        <v>785</v>
      </c>
      <c r="F472" s="13" t="s">
        <v>773</v>
      </c>
      <c r="G472" s="13">
        <v>1</v>
      </c>
      <c r="H472" s="14">
        <f>G472+I472</f>
        <v>1</v>
      </c>
      <c r="J472" s="14">
        <v>1</v>
      </c>
      <c r="K472" s="13" t="s">
        <v>3266</v>
      </c>
      <c r="Q472" s="15"/>
    </row>
    <row r="473" spans="1:17" x14ac:dyDescent="0.25">
      <c r="A473" s="11" t="s">
        <v>3138</v>
      </c>
      <c r="B473" s="13" t="s">
        <v>785</v>
      </c>
      <c r="C473" s="10" t="s">
        <v>3161</v>
      </c>
      <c r="D473" s="13" t="s">
        <v>1219</v>
      </c>
      <c r="F473" s="13" t="s">
        <v>773</v>
      </c>
      <c r="G473" s="13">
        <v>1</v>
      </c>
      <c r="H473" s="14">
        <f>G473+I473</f>
        <v>1</v>
      </c>
      <c r="J473" s="14">
        <v>1</v>
      </c>
      <c r="K473" s="13" t="s">
        <v>1535</v>
      </c>
      <c r="Q473" s="15"/>
    </row>
    <row r="474" spans="1:17" x14ac:dyDescent="0.25">
      <c r="A474" s="11" t="s">
        <v>3138</v>
      </c>
      <c r="B474" s="13" t="s">
        <v>795</v>
      </c>
      <c r="F474" s="13" t="s">
        <v>773</v>
      </c>
      <c r="G474" s="13">
        <v>1</v>
      </c>
      <c r="H474" s="14">
        <f t="shared" ref="H474:H481" si="14">G474+I474</f>
        <v>1</v>
      </c>
      <c r="J474" s="14">
        <v>1</v>
      </c>
      <c r="K474" s="13" t="s">
        <v>3483</v>
      </c>
      <c r="Q474" s="15"/>
    </row>
    <row r="475" spans="1:17" x14ac:dyDescent="0.25">
      <c r="A475" s="11" t="s">
        <v>3138</v>
      </c>
      <c r="B475" s="13" t="s">
        <v>772</v>
      </c>
      <c r="F475" s="13" t="s">
        <v>773</v>
      </c>
      <c r="G475" s="13">
        <v>2</v>
      </c>
      <c r="H475" s="14">
        <f t="shared" si="14"/>
        <v>2</v>
      </c>
      <c r="J475" s="14">
        <v>2</v>
      </c>
      <c r="K475" s="13" t="s">
        <v>3602</v>
      </c>
      <c r="Q475" s="15"/>
    </row>
    <row r="476" spans="1:17" x14ac:dyDescent="0.25">
      <c r="A476" s="11" t="s">
        <v>3138</v>
      </c>
      <c r="E476" s="13" t="s">
        <v>982</v>
      </c>
      <c r="F476" s="14" t="s">
        <v>771</v>
      </c>
      <c r="G476" s="13">
        <v>2</v>
      </c>
      <c r="H476" s="14">
        <f t="shared" si="14"/>
        <v>2</v>
      </c>
      <c r="J476" s="14">
        <v>2</v>
      </c>
      <c r="K476" s="13" t="s">
        <v>3604</v>
      </c>
      <c r="Q476" s="15"/>
    </row>
    <row r="477" spans="1:17" x14ac:dyDescent="0.25">
      <c r="A477" s="11" t="s">
        <v>3138</v>
      </c>
      <c r="E477" s="14" t="s">
        <v>1947</v>
      </c>
      <c r="F477" s="14" t="s">
        <v>771</v>
      </c>
      <c r="G477" s="13">
        <v>1</v>
      </c>
      <c r="H477" s="14">
        <f t="shared" si="14"/>
        <v>1</v>
      </c>
      <c r="J477" s="14">
        <v>1</v>
      </c>
      <c r="K477" s="13" t="s">
        <v>3149</v>
      </c>
      <c r="Q477" s="15"/>
    </row>
    <row r="478" spans="1:17" ht="22.5" x14ac:dyDescent="0.25">
      <c r="A478" s="11" t="s">
        <v>3138</v>
      </c>
      <c r="C478" s="10" t="s">
        <v>2388</v>
      </c>
      <c r="E478" s="14" t="s">
        <v>776</v>
      </c>
      <c r="F478" s="13" t="s">
        <v>776</v>
      </c>
      <c r="G478" s="13">
        <v>1</v>
      </c>
      <c r="H478" s="14">
        <f t="shared" si="14"/>
        <v>1</v>
      </c>
      <c r="J478" s="14">
        <v>1</v>
      </c>
      <c r="K478" s="13" t="s">
        <v>3313</v>
      </c>
      <c r="Q478" s="15"/>
    </row>
    <row r="479" spans="1:17" ht="22.5" x14ac:dyDescent="0.25">
      <c r="A479" s="11" t="s">
        <v>3138</v>
      </c>
      <c r="C479" s="10" t="s">
        <v>774</v>
      </c>
      <c r="F479" s="14" t="s">
        <v>771</v>
      </c>
      <c r="G479" s="13">
        <v>27</v>
      </c>
      <c r="H479" s="14">
        <f t="shared" si="14"/>
        <v>27</v>
      </c>
      <c r="J479" s="14">
        <v>20</v>
      </c>
      <c r="K479" s="13" t="s">
        <v>3728</v>
      </c>
      <c r="Q479" s="15"/>
    </row>
    <row r="480" spans="1:17" x14ac:dyDescent="0.25">
      <c r="A480" s="11" t="s">
        <v>3138</v>
      </c>
      <c r="C480" s="10" t="s">
        <v>3600</v>
      </c>
      <c r="E480" s="14" t="s">
        <v>774</v>
      </c>
      <c r="F480" s="13" t="s">
        <v>771</v>
      </c>
      <c r="G480" s="13">
        <v>2</v>
      </c>
      <c r="H480" s="14">
        <f>G480+I480</f>
        <v>2</v>
      </c>
      <c r="J480" s="14">
        <v>1</v>
      </c>
      <c r="K480" s="13" t="s">
        <v>3601</v>
      </c>
      <c r="Q480" s="15"/>
    </row>
    <row r="481" spans="1:17" x14ac:dyDescent="0.25">
      <c r="A481" s="11" t="s">
        <v>3138</v>
      </c>
      <c r="C481" s="10" t="s">
        <v>1941</v>
      </c>
      <c r="D481" s="13" t="s">
        <v>683</v>
      </c>
      <c r="F481" s="14" t="s">
        <v>771</v>
      </c>
      <c r="G481" s="13">
        <v>1</v>
      </c>
      <c r="H481" s="14">
        <f t="shared" si="14"/>
        <v>1</v>
      </c>
      <c r="J481" s="14">
        <v>1</v>
      </c>
      <c r="K481" s="13" t="s">
        <v>3149</v>
      </c>
      <c r="Q481" s="15"/>
    </row>
    <row r="482" spans="1:17" x14ac:dyDescent="0.25">
      <c r="A482" s="11"/>
      <c r="Q482" s="15"/>
    </row>
    <row r="483" spans="1:17" ht="22.5" x14ac:dyDescent="0.25">
      <c r="A483" s="11"/>
      <c r="B483" s="13" t="s">
        <v>532</v>
      </c>
      <c r="C483" s="10">
        <v>0</v>
      </c>
      <c r="Q483" s="15"/>
    </row>
    <row r="484" spans="1:17" x14ac:dyDescent="0.25">
      <c r="B484" s="13" t="s">
        <v>411</v>
      </c>
      <c r="C484" s="10">
        <v>0</v>
      </c>
      <c r="Q484" s="15"/>
    </row>
    <row r="485" spans="1:17" x14ac:dyDescent="0.25">
      <c r="B485" s="13" t="s">
        <v>297</v>
      </c>
      <c r="C485" s="10">
        <f>SUM(H3:H5)+H295</f>
        <v>11</v>
      </c>
      <c r="Q485" s="15"/>
    </row>
    <row r="486" spans="1:17" x14ac:dyDescent="0.25">
      <c r="B486" s="13" t="s">
        <v>2249</v>
      </c>
      <c r="C486" s="10">
        <v>0</v>
      </c>
      <c r="Q486" s="15"/>
    </row>
    <row r="487" spans="1:17" x14ac:dyDescent="0.25">
      <c r="B487" s="13" t="s">
        <v>3211</v>
      </c>
      <c r="C487" s="10">
        <f>H6</f>
        <v>5</v>
      </c>
      <c r="Q487" s="15"/>
    </row>
    <row r="488" spans="1:17" x14ac:dyDescent="0.25">
      <c r="B488" s="13" t="s">
        <v>76</v>
      </c>
      <c r="C488" s="10">
        <f>SUM(H7:H13)+SUM(H296:H298)+SUM(H370:H371)</f>
        <v>42</v>
      </c>
      <c r="Q488" s="15"/>
    </row>
    <row r="489" spans="1:17" x14ac:dyDescent="0.25">
      <c r="B489" s="13" t="s">
        <v>1424</v>
      </c>
      <c r="C489" s="10">
        <v>0</v>
      </c>
      <c r="D489" s="15"/>
      <c r="E489" s="15"/>
      <c r="F489" s="15"/>
      <c r="G489" s="15"/>
      <c r="I489" s="15"/>
      <c r="J489" s="15"/>
      <c r="K489" s="16"/>
      <c r="Q489" s="15"/>
    </row>
    <row r="490" spans="1:17" x14ac:dyDescent="0.25">
      <c r="B490" s="13" t="s">
        <v>213</v>
      </c>
      <c r="C490" s="10">
        <f>H14</f>
        <v>5</v>
      </c>
      <c r="D490" s="15"/>
      <c r="E490" s="15"/>
      <c r="F490" s="15"/>
      <c r="G490" s="15"/>
      <c r="I490" s="15"/>
      <c r="J490" s="15"/>
      <c r="K490" s="16"/>
      <c r="Q490" s="15"/>
    </row>
    <row r="491" spans="1:17" x14ac:dyDescent="0.25">
      <c r="B491" s="13" t="s">
        <v>42</v>
      </c>
      <c r="C491" s="10">
        <f>SUM(H15:H20)+SUM(H299:H300)</f>
        <v>11</v>
      </c>
      <c r="D491" s="15"/>
      <c r="E491" s="15"/>
      <c r="F491" s="15"/>
      <c r="G491" s="15"/>
      <c r="I491" s="15"/>
      <c r="J491" s="15"/>
      <c r="K491" s="16"/>
      <c r="Q491" s="15"/>
    </row>
    <row r="492" spans="1:17" x14ac:dyDescent="0.25">
      <c r="B492" s="13" t="s">
        <v>10</v>
      </c>
      <c r="C492" s="10">
        <f>H21+H301</f>
        <v>3</v>
      </c>
      <c r="D492" s="15"/>
      <c r="E492" s="15"/>
      <c r="F492" s="15"/>
      <c r="G492" s="15"/>
      <c r="I492" s="15"/>
      <c r="J492" s="15"/>
      <c r="K492" s="16"/>
      <c r="Q492" s="15"/>
    </row>
    <row r="493" spans="1:17" x14ac:dyDescent="0.25">
      <c r="B493" s="13" t="s">
        <v>126</v>
      </c>
      <c r="C493" s="10">
        <f>SUM(H22:H24)+H302</f>
        <v>14</v>
      </c>
      <c r="Q493" s="15"/>
    </row>
    <row r="494" spans="1:17" x14ac:dyDescent="0.25">
      <c r="B494" s="13" t="s">
        <v>191</v>
      </c>
      <c r="C494" s="10">
        <f>SUM(H25:H29)+SUM(H303:H305)</f>
        <v>29</v>
      </c>
      <c r="Q494" s="15"/>
    </row>
    <row r="495" spans="1:17" x14ac:dyDescent="0.25">
      <c r="B495" s="13" t="s">
        <v>68</v>
      </c>
      <c r="C495" s="10">
        <f>SUM(H30:H35)+SUM(H306:H307)</f>
        <v>42</v>
      </c>
      <c r="Q495" s="15"/>
    </row>
    <row r="496" spans="1:17" x14ac:dyDescent="0.25">
      <c r="B496" s="13" t="s">
        <v>674</v>
      </c>
      <c r="C496" s="10">
        <v>0</v>
      </c>
      <c r="Q496" s="15"/>
    </row>
    <row r="497" spans="1:17" customFormat="1" ht="15" x14ac:dyDescent="0.25">
      <c r="A497" s="48"/>
      <c r="B497" s="13" t="s">
        <v>327</v>
      </c>
      <c r="C497" s="10">
        <f>SUM(H308:H309)+H348</f>
        <v>9</v>
      </c>
      <c r="D497" s="13"/>
      <c r="E497" s="14"/>
      <c r="F497" s="14"/>
      <c r="G497" s="14"/>
      <c r="H497" s="14"/>
      <c r="I497" s="14"/>
      <c r="J497" s="14"/>
      <c r="K497" s="13"/>
      <c r="L497" s="15"/>
      <c r="M497" s="15"/>
      <c r="N497" s="15"/>
      <c r="O497" s="15"/>
      <c r="P497" s="15"/>
    </row>
    <row r="498" spans="1:17" ht="15" x14ac:dyDescent="0.25">
      <c r="B498" s="13" t="s">
        <v>209</v>
      </c>
      <c r="C498" s="10">
        <f>SUM(H36:H37)+H312</f>
        <v>4</v>
      </c>
      <c r="L498"/>
      <c r="M498"/>
      <c r="N498"/>
      <c r="O498"/>
      <c r="P498"/>
      <c r="Q498" s="15"/>
    </row>
    <row r="499" spans="1:17" ht="15" x14ac:dyDescent="0.25">
      <c r="B499" s="13" t="s">
        <v>2006</v>
      </c>
      <c r="C499" s="21">
        <f>H310</f>
        <v>1</v>
      </c>
      <c r="D499"/>
      <c r="E499"/>
      <c r="F499"/>
      <c r="G499"/>
      <c r="I499"/>
      <c r="J499"/>
      <c r="K499"/>
      <c r="Q499" s="15"/>
    </row>
    <row r="500" spans="1:17" ht="15" x14ac:dyDescent="0.25">
      <c r="B500" s="13" t="s">
        <v>3231</v>
      </c>
      <c r="C500" s="21">
        <f>H311</f>
        <v>1</v>
      </c>
      <c r="D500"/>
      <c r="E500"/>
      <c r="F500"/>
      <c r="G500"/>
      <c r="I500"/>
      <c r="J500"/>
      <c r="K500"/>
      <c r="Q500" s="15"/>
    </row>
    <row r="501" spans="1:17" x14ac:dyDescent="0.25">
      <c r="B501" s="13" t="s">
        <v>64</v>
      </c>
      <c r="C501" s="10">
        <f>SUM(H38:H49)+H313</f>
        <v>86</v>
      </c>
      <c r="D501" s="15"/>
      <c r="E501" s="15"/>
      <c r="F501" s="15"/>
      <c r="G501" s="15"/>
      <c r="I501" s="15"/>
      <c r="J501" s="15"/>
      <c r="K501" s="15"/>
      <c r="Q501" s="15"/>
    </row>
    <row r="502" spans="1:17" x14ac:dyDescent="0.25">
      <c r="B502" s="13" t="s">
        <v>261</v>
      </c>
      <c r="C502" s="10">
        <f>SUM(H50:H52)+H314</f>
        <v>8</v>
      </c>
      <c r="D502" s="15"/>
      <c r="E502" s="15"/>
      <c r="F502" s="15"/>
      <c r="G502" s="15"/>
      <c r="I502" s="15"/>
      <c r="J502" s="15"/>
      <c r="K502" s="15"/>
      <c r="Q502" s="15"/>
    </row>
    <row r="503" spans="1:17" x14ac:dyDescent="0.25">
      <c r="B503" s="13" t="s">
        <v>1346</v>
      </c>
      <c r="C503" s="10">
        <f>H53</f>
        <v>1</v>
      </c>
      <c r="D503" s="15"/>
      <c r="E503" s="15"/>
      <c r="F503" s="15"/>
      <c r="G503" s="15"/>
      <c r="I503" s="15"/>
      <c r="J503" s="15"/>
      <c r="K503" s="15"/>
      <c r="Q503" s="15"/>
    </row>
    <row r="504" spans="1:17" x14ac:dyDescent="0.25">
      <c r="A504" s="15"/>
      <c r="B504" s="13" t="s">
        <v>705</v>
      </c>
      <c r="C504" s="10">
        <f>SUM(H54:H55)+H315</f>
        <v>5</v>
      </c>
      <c r="D504" s="15"/>
      <c r="E504" s="15"/>
      <c r="F504" s="15"/>
      <c r="G504" s="15"/>
      <c r="I504" s="15"/>
      <c r="J504" s="15"/>
      <c r="K504" s="15"/>
      <c r="Q504" s="15"/>
    </row>
    <row r="505" spans="1:17" x14ac:dyDescent="0.25">
      <c r="A505" s="15"/>
      <c r="B505" s="13" t="s">
        <v>283</v>
      </c>
      <c r="C505" s="10">
        <f>SUM(H56:H64)+H316</f>
        <v>57</v>
      </c>
      <c r="D505" s="15"/>
      <c r="E505" s="15"/>
      <c r="F505" s="15"/>
      <c r="G505" s="15"/>
      <c r="I505" s="15"/>
      <c r="J505" s="15"/>
      <c r="K505" s="15"/>
      <c r="Q505" s="15"/>
    </row>
    <row r="506" spans="1:17" x14ac:dyDescent="0.25">
      <c r="A506" s="15"/>
      <c r="B506" s="13" t="s">
        <v>430</v>
      </c>
      <c r="C506" s="10">
        <v>0</v>
      </c>
      <c r="D506" s="15"/>
      <c r="E506" s="15"/>
      <c r="F506" s="15"/>
      <c r="G506" s="15"/>
      <c r="I506" s="15"/>
      <c r="J506" s="15"/>
      <c r="K506" s="15"/>
      <c r="Q506" s="15"/>
    </row>
    <row r="507" spans="1:17" x14ac:dyDescent="0.25">
      <c r="A507" s="15"/>
      <c r="B507" s="13" t="s">
        <v>1933</v>
      </c>
      <c r="C507" s="10">
        <v>0</v>
      </c>
      <c r="D507" s="15"/>
      <c r="E507" s="15"/>
      <c r="F507" s="15"/>
      <c r="G507" s="15"/>
      <c r="I507" s="15"/>
      <c r="J507" s="15"/>
      <c r="K507" s="15"/>
      <c r="Q507" s="15"/>
    </row>
    <row r="508" spans="1:17" x14ac:dyDescent="0.25">
      <c r="A508" s="15"/>
      <c r="B508" s="13" t="s">
        <v>328</v>
      </c>
      <c r="C508" s="10">
        <f>SUM(H65:H66)+H317</f>
        <v>7</v>
      </c>
      <c r="D508" s="15"/>
      <c r="E508" s="15"/>
      <c r="F508" s="15"/>
      <c r="G508" s="15"/>
      <c r="I508" s="15"/>
      <c r="J508" s="15"/>
      <c r="K508" s="15"/>
      <c r="Q508" s="15"/>
    </row>
    <row r="509" spans="1:17" x14ac:dyDescent="0.25">
      <c r="A509" s="15"/>
      <c r="B509" s="13" t="s">
        <v>3201</v>
      </c>
      <c r="C509" s="10">
        <f>SUM(H67:H68)</f>
        <v>6</v>
      </c>
      <c r="D509" s="15"/>
      <c r="E509" s="15"/>
      <c r="F509" s="15"/>
      <c r="G509" s="15"/>
      <c r="I509" s="15"/>
      <c r="J509" s="15"/>
      <c r="K509" s="15"/>
      <c r="Q509" s="15"/>
    </row>
    <row r="510" spans="1:17" x14ac:dyDescent="0.25">
      <c r="A510" s="15"/>
      <c r="B510" s="13" t="s">
        <v>2391</v>
      </c>
      <c r="C510" s="10">
        <v>0</v>
      </c>
      <c r="D510" s="15"/>
      <c r="E510" s="15"/>
      <c r="F510" s="15"/>
      <c r="G510" s="15"/>
      <c r="I510" s="15"/>
      <c r="J510" s="15"/>
      <c r="K510" s="15"/>
      <c r="Q510" s="15"/>
    </row>
    <row r="511" spans="1:17" x14ac:dyDescent="0.25">
      <c r="A511" s="15"/>
      <c r="B511" s="13" t="s">
        <v>483</v>
      </c>
      <c r="C511" s="10">
        <v>0</v>
      </c>
      <c r="D511" s="15"/>
      <c r="E511" s="15"/>
      <c r="F511" s="15"/>
      <c r="G511" s="15"/>
      <c r="I511" s="15"/>
      <c r="J511" s="15"/>
      <c r="K511" s="15"/>
      <c r="Q511" s="15"/>
    </row>
    <row r="512" spans="1:17" x14ac:dyDescent="0.25">
      <c r="A512" s="15"/>
      <c r="B512" s="13" t="s">
        <v>2674</v>
      </c>
      <c r="C512" s="10">
        <v>0</v>
      </c>
      <c r="D512" s="15"/>
      <c r="E512" s="15"/>
      <c r="F512" s="15"/>
      <c r="G512" s="15"/>
      <c r="I512" s="15"/>
      <c r="J512" s="15"/>
      <c r="K512" s="15"/>
      <c r="Q512" s="15"/>
    </row>
    <row r="513" spans="1:17" x14ac:dyDescent="0.25">
      <c r="A513" s="15"/>
      <c r="B513" s="13" t="s">
        <v>2091</v>
      </c>
      <c r="C513" s="10">
        <v>0</v>
      </c>
      <c r="D513" s="15"/>
      <c r="E513" s="15"/>
      <c r="F513" s="15"/>
      <c r="G513" s="15"/>
      <c r="I513" s="15"/>
      <c r="J513" s="15"/>
      <c r="K513" s="15"/>
      <c r="Q513" s="15"/>
    </row>
    <row r="514" spans="1:17" x14ac:dyDescent="0.25">
      <c r="A514" s="15"/>
      <c r="B514" s="13" t="s">
        <v>78</v>
      </c>
      <c r="C514" s="10">
        <f>SUM(H69:H73)+H318</f>
        <v>12</v>
      </c>
      <c r="D514" s="15"/>
      <c r="E514" s="15"/>
      <c r="F514" s="15"/>
      <c r="G514" s="15"/>
      <c r="I514" s="15"/>
      <c r="J514" s="15"/>
      <c r="K514" s="15"/>
      <c r="Q514" s="15"/>
    </row>
    <row r="515" spans="1:17" x14ac:dyDescent="0.25">
      <c r="A515" s="15"/>
      <c r="B515" s="13" t="s">
        <v>206</v>
      </c>
      <c r="C515" s="10">
        <f>SUM(H74:H79)+SUM(H319:H320)</f>
        <v>24</v>
      </c>
      <c r="D515" s="15"/>
      <c r="E515" s="15"/>
      <c r="F515" s="15"/>
      <c r="G515" s="15"/>
      <c r="I515" s="15"/>
      <c r="J515" s="15"/>
      <c r="K515" s="15"/>
      <c r="Q515" s="15"/>
    </row>
    <row r="516" spans="1:17" x14ac:dyDescent="0.25">
      <c r="A516" s="15"/>
      <c r="B516" s="13" t="s">
        <v>46</v>
      </c>
      <c r="C516" s="10">
        <f>SUM(H80:H86)+SUM(H321:H322)</f>
        <v>11</v>
      </c>
      <c r="D516" s="15"/>
      <c r="E516" s="15"/>
      <c r="F516" s="15"/>
      <c r="G516" s="15"/>
      <c r="I516" s="15"/>
      <c r="J516" s="15"/>
      <c r="K516" s="15"/>
      <c r="Q516" s="15"/>
    </row>
    <row r="517" spans="1:17" x14ac:dyDescent="0.25">
      <c r="A517" s="15"/>
      <c r="B517" s="13" t="s">
        <v>2617</v>
      </c>
      <c r="C517" s="10">
        <v>0</v>
      </c>
      <c r="D517" s="15"/>
      <c r="E517" s="15"/>
      <c r="F517" s="15"/>
      <c r="G517" s="15"/>
      <c r="I517" s="15"/>
      <c r="J517" s="15"/>
      <c r="K517" s="15"/>
      <c r="Q517" s="15"/>
    </row>
    <row r="518" spans="1:17" x14ac:dyDescent="0.25">
      <c r="A518" s="15"/>
      <c r="B518" s="13" t="s">
        <v>62</v>
      </c>
      <c r="C518" s="10">
        <f>SUM(H87:H92)+SUM(H323:H324)</f>
        <v>61</v>
      </c>
      <c r="D518" s="15"/>
      <c r="E518" s="15"/>
      <c r="F518" s="15"/>
      <c r="G518" s="15"/>
      <c r="I518" s="15"/>
      <c r="J518" s="15"/>
      <c r="K518" s="15"/>
      <c r="Q518" s="15"/>
    </row>
    <row r="519" spans="1:17" x14ac:dyDescent="0.25">
      <c r="A519" s="15"/>
      <c r="B519" s="13" t="s">
        <v>82</v>
      </c>
      <c r="C519" s="10">
        <f>H93</f>
        <v>18</v>
      </c>
      <c r="D519" s="15"/>
      <c r="E519" s="15"/>
      <c r="F519" s="15"/>
      <c r="G519" s="15"/>
      <c r="I519" s="15"/>
      <c r="J519" s="15"/>
      <c r="K519" s="15"/>
      <c r="Q519" s="15"/>
    </row>
    <row r="520" spans="1:17" x14ac:dyDescent="0.25">
      <c r="A520" s="15"/>
      <c r="B520" s="13" t="s">
        <v>22</v>
      </c>
      <c r="C520" s="10">
        <f>SUM(H94:H102)+SUM(H325:H331)</f>
        <v>67</v>
      </c>
      <c r="D520" s="15"/>
      <c r="E520" s="15"/>
      <c r="F520" s="15"/>
      <c r="G520" s="15"/>
      <c r="I520" s="15"/>
      <c r="J520" s="15"/>
      <c r="K520" s="15"/>
      <c r="Q520" s="15"/>
    </row>
    <row r="521" spans="1:17" x14ac:dyDescent="0.25">
      <c r="A521" s="15"/>
      <c r="B521" s="13" t="s">
        <v>446</v>
      </c>
      <c r="C521" s="10">
        <v>0</v>
      </c>
      <c r="D521" s="15"/>
      <c r="E521" s="15"/>
      <c r="F521" s="15"/>
      <c r="G521" s="15"/>
      <c r="I521" s="15"/>
      <c r="J521" s="15"/>
      <c r="K521" s="15"/>
      <c r="Q521" s="15"/>
    </row>
    <row r="522" spans="1:17" x14ac:dyDescent="0.25">
      <c r="A522" s="15"/>
      <c r="B522" s="13" t="s">
        <v>609</v>
      </c>
      <c r="C522" s="10">
        <f>SUM(H103:H104)</f>
        <v>7</v>
      </c>
      <c r="D522" s="15"/>
      <c r="E522" s="15"/>
      <c r="F522" s="15"/>
      <c r="G522" s="15"/>
      <c r="I522" s="15"/>
      <c r="J522" s="15"/>
      <c r="K522" s="15"/>
      <c r="Q522" s="15"/>
    </row>
    <row r="523" spans="1:17" x14ac:dyDescent="0.25">
      <c r="A523" s="15"/>
      <c r="B523" s="13" t="s">
        <v>699</v>
      </c>
      <c r="C523" s="10">
        <f>SUM(H105:H106)</f>
        <v>3</v>
      </c>
      <c r="D523" s="15"/>
      <c r="E523" s="15"/>
      <c r="F523" s="15"/>
      <c r="G523" s="15"/>
      <c r="I523" s="15"/>
      <c r="J523" s="15"/>
      <c r="K523" s="15"/>
      <c r="Q523" s="15"/>
    </row>
    <row r="524" spans="1:17" x14ac:dyDescent="0.25">
      <c r="A524" s="15"/>
      <c r="B524" s="13" t="s">
        <v>93</v>
      </c>
      <c r="C524" s="10">
        <f>SUM(H107:H127)+SUM(H332:H333)</f>
        <v>77</v>
      </c>
      <c r="D524" s="15"/>
      <c r="E524" s="15"/>
      <c r="F524" s="15"/>
      <c r="G524" s="15"/>
      <c r="I524" s="15"/>
      <c r="J524" s="15"/>
      <c r="K524" s="15"/>
      <c r="Q524" s="15"/>
    </row>
    <row r="525" spans="1:17" x14ac:dyDescent="0.25">
      <c r="A525" s="15"/>
      <c r="B525" s="13" t="s">
        <v>1731</v>
      </c>
      <c r="C525" s="10">
        <v>0</v>
      </c>
      <c r="D525" s="15"/>
      <c r="E525" s="15"/>
      <c r="F525" s="15"/>
      <c r="G525" s="15"/>
      <c r="I525" s="15"/>
      <c r="J525" s="15"/>
      <c r="K525" s="15"/>
      <c r="Q525" s="15"/>
    </row>
    <row r="526" spans="1:17" x14ac:dyDescent="0.25">
      <c r="A526" s="15"/>
      <c r="B526" s="13" t="s">
        <v>50</v>
      </c>
      <c r="C526" s="10">
        <v>0</v>
      </c>
      <c r="D526" s="15"/>
      <c r="E526" s="15"/>
      <c r="F526" s="15"/>
      <c r="G526" s="15"/>
      <c r="I526" s="15"/>
      <c r="J526" s="15"/>
      <c r="K526" s="15"/>
      <c r="Q526" s="15"/>
    </row>
    <row r="527" spans="1:17" x14ac:dyDescent="0.25">
      <c r="A527" s="15"/>
      <c r="B527" s="13" t="s">
        <v>24</v>
      </c>
      <c r="C527" s="10">
        <f>SUM(H128:H153)+SUM(H334:H338)</f>
        <v>150</v>
      </c>
      <c r="D527" s="15"/>
      <c r="E527" s="15"/>
      <c r="F527" s="15"/>
      <c r="G527" s="15"/>
      <c r="I527" s="15"/>
      <c r="J527" s="15"/>
      <c r="K527" s="15"/>
      <c r="Q527" s="15"/>
    </row>
    <row r="528" spans="1:17" ht="24.75" customHeight="1" x14ac:dyDescent="0.25">
      <c r="A528" s="15"/>
      <c r="B528" s="13" t="s">
        <v>3208</v>
      </c>
      <c r="C528" s="10">
        <f>H2+SUM(H154:H156)+SUM(H339:H340)</f>
        <v>15</v>
      </c>
      <c r="D528" s="15"/>
      <c r="E528" s="15"/>
      <c r="F528" s="15"/>
      <c r="G528" s="15"/>
      <c r="I528" s="15"/>
      <c r="J528" s="15"/>
      <c r="K528" s="15"/>
      <c r="Q528" s="15"/>
    </row>
    <row r="529" spans="1:17" x14ac:dyDescent="0.25">
      <c r="A529" s="15"/>
      <c r="B529" s="13" t="s">
        <v>139</v>
      </c>
      <c r="C529" s="10">
        <f>SUM(H157:H160)+SUM(H343:H345)</f>
        <v>11</v>
      </c>
      <c r="D529" s="15"/>
      <c r="E529" s="15"/>
      <c r="F529" s="15"/>
      <c r="G529" s="15"/>
      <c r="I529" s="15"/>
      <c r="J529" s="15"/>
      <c r="K529" s="15"/>
      <c r="Q529" s="15"/>
    </row>
    <row r="530" spans="1:17" x14ac:dyDescent="0.25">
      <c r="A530" s="15"/>
      <c r="B530" s="13" t="s">
        <v>269</v>
      </c>
      <c r="C530" s="10">
        <f>SUM(H161:H167)+H346</f>
        <v>22</v>
      </c>
      <c r="D530" s="15"/>
      <c r="E530" s="15"/>
      <c r="F530" s="15"/>
      <c r="G530" s="15"/>
      <c r="H530" s="15"/>
      <c r="I530" s="15"/>
      <c r="J530" s="15"/>
      <c r="K530" s="15"/>
      <c r="Q530" s="15"/>
    </row>
    <row r="531" spans="1:17" x14ac:dyDescent="0.25">
      <c r="A531" s="15"/>
      <c r="B531" s="13" t="s">
        <v>2384</v>
      </c>
      <c r="C531" s="10">
        <v>0</v>
      </c>
      <c r="D531" s="15"/>
      <c r="E531" s="15"/>
      <c r="F531" s="15"/>
      <c r="G531" s="15"/>
      <c r="H531" s="15"/>
      <c r="I531" s="15"/>
      <c r="J531" s="15"/>
      <c r="K531" s="15"/>
      <c r="Q531" s="15"/>
    </row>
    <row r="532" spans="1:17" x14ac:dyDescent="0.25">
      <c r="A532" s="15"/>
      <c r="B532" s="13" t="s">
        <v>2079</v>
      </c>
      <c r="C532" s="10">
        <f>H168</f>
        <v>1</v>
      </c>
      <c r="D532" s="15"/>
      <c r="E532" s="15"/>
      <c r="F532" s="15"/>
      <c r="G532" s="15"/>
      <c r="H532" s="15"/>
      <c r="I532" s="15"/>
      <c r="J532" s="15"/>
      <c r="K532" s="15"/>
      <c r="Q532" s="15"/>
    </row>
    <row r="533" spans="1:17" x14ac:dyDescent="0.25">
      <c r="A533" s="15"/>
      <c r="B533" s="13" t="s">
        <v>1347</v>
      </c>
      <c r="C533" s="10">
        <v>0</v>
      </c>
      <c r="D533" s="15"/>
      <c r="E533" s="15"/>
      <c r="F533" s="15"/>
      <c r="G533" s="15"/>
      <c r="H533" s="15"/>
      <c r="I533" s="15"/>
      <c r="J533" s="15"/>
      <c r="K533" s="15"/>
      <c r="Q533" s="15"/>
    </row>
    <row r="534" spans="1:17" x14ac:dyDescent="0.25">
      <c r="A534" s="15"/>
      <c r="B534" s="13" t="s">
        <v>718</v>
      </c>
      <c r="C534" s="10">
        <f>H241</f>
        <v>1</v>
      </c>
      <c r="D534" s="15"/>
      <c r="E534" s="15"/>
      <c r="F534" s="15"/>
      <c r="G534" s="15"/>
      <c r="H534" s="15"/>
      <c r="I534" s="15"/>
      <c r="J534" s="15"/>
      <c r="K534" s="15"/>
      <c r="Q534" s="15"/>
    </row>
    <row r="535" spans="1:17" x14ac:dyDescent="0.25">
      <c r="A535" s="15"/>
      <c r="B535" s="13" t="s">
        <v>1682</v>
      </c>
      <c r="C535" s="10">
        <v>0</v>
      </c>
      <c r="D535" s="15"/>
      <c r="E535" s="15"/>
      <c r="F535" s="15"/>
      <c r="G535" s="15"/>
      <c r="H535" s="15"/>
      <c r="I535" s="15"/>
      <c r="J535" s="15"/>
      <c r="K535" s="15"/>
      <c r="Q535" s="15"/>
    </row>
    <row r="536" spans="1:17" x14ac:dyDescent="0.25">
      <c r="A536" s="15"/>
      <c r="B536" s="13" t="s">
        <v>742</v>
      </c>
      <c r="C536" s="10">
        <v>0</v>
      </c>
      <c r="D536" s="15"/>
      <c r="E536" s="15"/>
      <c r="F536" s="15"/>
      <c r="G536" s="15"/>
      <c r="H536" s="15"/>
      <c r="I536" s="15"/>
      <c r="J536" s="15"/>
      <c r="K536" s="15"/>
      <c r="Q536" s="15"/>
    </row>
    <row r="537" spans="1:17" x14ac:dyDescent="0.25">
      <c r="A537" s="15"/>
      <c r="C537" s="10">
        <f>SUM(C483:C536)</f>
        <v>827</v>
      </c>
      <c r="D537" s="15"/>
      <c r="E537" s="15"/>
      <c r="F537" s="15"/>
      <c r="G537" s="15"/>
      <c r="H537" s="15"/>
      <c r="I537" s="15"/>
      <c r="J537" s="15"/>
      <c r="K537" s="15"/>
      <c r="Q537" s="15"/>
    </row>
    <row r="538" spans="1:17" x14ac:dyDescent="0.25">
      <c r="A538" s="15"/>
      <c r="B538" s="12" t="s">
        <v>11</v>
      </c>
      <c r="C538" s="10">
        <f>SUM(H286:H287)+SUM(H289:H290)+H350+H369+SUM(H380/2)+SUM(H385:H386)/2+SUM(H405/2)+SUM(C539:C543)</f>
        <v>1085</v>
      </c>
      <c r="D538" s="15"/>
      <c r="E538" s="15"/>
      <c r="F538" s="15"/>
      <c r="G538" s="15"/>
      <c r="H538" s="15"/>
      <c r="I538" s="15"/>
      <c r="J538" s="15"/>
      <c r="K538" s="15"/>
      <c r="Q538" s="15"/>
    </row>
    <row r="539" spans="1:17" x14ac:dyDescent="0.25">
      <c r="A539" s="15"/>
      <c r="B539" s="13" t="s">
        <v>663</v>
      </c>
      <c r="C539" s="10">
        <f>SUM(H341:H342)+H347+SUM(H351:H352)/2+SUM(H365:H366)/2+C490+C508+C516+C529+C530</f>
        <v>78</v>
      </c>
      <c r="D539" s="15"/>
      <c r="E539" s="15"/>
      <c r="F539" s="15"/>
      <c r="G539" s="15"/>
      <c r="H539" s="15"/>
      <c r="I539" s="15"/>
      <c r="J539" s="15"/>
      <c r="K539" s="15"/>
      <c r="Q539" s="15"/>
    </row>
    <row r="540" spans="1:17" x14ac:dyDescent="0.25">
      <c r="A540" s="15"/>
      <c r="B540" s="13" t="s">
        <v>664</v>
      </c>
      <c r="C540" s="10">
        <f>SUM(H351/2)+H368+C492+C534</f>
        <v>12</v>
      </c>
      <c r="D540" s="15"/>
      <c r="E540" s="15"/>
      <c r="F540" s="15"/>
      <c r="G540" s="15"/>
      <c r="H540" s="15"/>
      <c r="I540" s="15"/>
      <c r="J540" s="15"/>
      <c r="K540" s="15"/>
      <c r="Q540" s="15"/>
    </row>
    <row r="541" spans="1:17" x14ac:dyDescent="0.25">
      <c r="A541" s="15"/>
      <c r="B541" s="13" t="s">
        <v>271</v>
      </c>
      <c r="C541" s="10">
        <f>H349+SUM(H352/2)+SUM(H355:H356)+SUM(H357:H359)/2+H360+SUM(H361:H363)/2+SUM(H365:H366)/2+SUM(H372:H373)+C497+C498+C502+C504+C505+C509+C514+C522+C523+C524+C528</f>
        <v>283</v>
      </c>
      <c r="D541" s="15"/>
      <c r="E541" s="15"/>
      <c r="F541" s="15"/>
      <c r="G541" s="15"/>
      <c r="H541" s="15"/>
      <c r="I541" s="15"/>
      <c r="J541" s="15"/>
      <c r="K541" s="15"/>
      <c r="Q541" s="15"/>
    </row>
    <row r="542" spans="1:17" x14ac:dyDescent="0.25">
      <c r="A542" s="15"/>
      <c r="B542" s="13" t="s">
        <v>144</v>
      </c>
      <c r="C542" s="10">
        <f>SUM(H357:H359)/2+SUM(H361:H363)/2+SUM(H374:H379)+SUM(H381:H384)+C491+C494+C495+C501+C503+C520+C527</f>
        <v>475</v>
      </c>
      <c r="D542" s="15"/>
      <c r="E542" s="15"/>
      <c r="F542" s="15"/>
      <c r="G542" s="15"/>
      <c r="H542" s="15"/>
      <c r="I542" s="15"/>
      <c r="J542" s="15"/>
      <c r="K542" s="15"/>
      <c r="Q542" s="15"/>
    </row>
    <row r="543" spans="1:17" x14ac:dyDescent="0.25">
      <c r="A543" s="15"/>
      <c r="B543" s="13" t="s">
        <v>666</v>
      </c>
      <c r="C543" s="10">
        <f>SUM(H353:H354)+C485+C487+C488+C493+C499+C500+C515+C518+C519</f>
        <v>179</v>
      </c>
      <c r="D543" s="15"/>
      <c r="E543" s="15"/>
      <c r="F543" s="15"/>
      <c r="G543" s="15"/>
      <c r="H543" s="15"/>
      <c r="I543" s="15"/>
      <c r="J543" s="15"/>
      <c r="K543" s="15"/>
      <c r="Q543" s="15"/>
    </row>
    <row r="544" spans="1:17" x14ac:dyDescent="0.25">
      <c r="D544" s="15"/>
      <c r="E544" s="15"/>
      <c r="F544" s="15"/>
      <c r="G544" s="15"/>
      <c r="H544" s="15"/>
      <c r="I544" s="15"/>
      <c r="J544" s="15"/>
      <c r="K544" s="15"/>
      <c r="Q544" s="15"/>
    </row>
    <row r="545" spans="1:17" x14ac:dyDescent="0.25">
      <c r="B545" s="13" t="s">
        <v>231</v>
      </c>
      <c r="C545" s="10">
        <f>SUM(H169:H177)+H429</f>
        <v>99</v>
      </c>
      <c r="D545" s="15"/>
      <c r="E545" s="15"/>
      <c r="F545" s="15"/>
      <c r="G545" s="15"/>
      <c r="H545" s="15"/>
      <c r="I545" s="15"/>
      <c r="J545" s="15"/>
      <c r="K545" s="15"/>
      <c r="Q545" s="15"/>
    </row>
    <row r="546" spans="1:17" x14ac:dyDescent="0.25">
      <c r="B546" s="13" t="s">
        <v>995</v>
      </c>
      <c r="C546" s="10">
        <f>SUM(H178:H179)+H421</f>
        <v>3</v>
      </c>
      <c r="D546" s="15"/>
      <c r="E546" s="15"/>
      <c r="F546" s="15"/>
      <c r="G546" s="15"/>
      <c r="H546" s="15"/>
      <c r="I546" s="15"/>
      <c r="J546" s="15"/>
      <c r="K546" s="15"/>
      <c r="Q546" s="15"/>
    </row>
    <row r="547" spans="1:17" x14ac:dyDescent="0.25">
      <c r="B547" s="13" t="s">
        <v>953</v>
      </c>
      <c r="C547" s="10">
        <f>SUM(H180:H193)+SUM(H422:H425)</f>
        <v>47</v>
      </c>
      <c r="D547" s="15"/>
      <c r="E547" s="15"/>
      <c r="F547" s="15"/>
      <c r="G547" s="15"/>
      <c r="H547" s="15"/>
      <c r="I547" s="15"/>
      <c r="J547" s="15"/>
      <c r="K547" s="15"/>
      <c r="Q547" s="15"/>
    </row>
    <row r="548" spans="1:17" x14ac:dyDescent="0.25">
      <c r="B548" s="13" t="s">
        <v>394</v>
      </c>
      <c r="C548" s="10">
        <f>H194</f>
        <v>1</v>
      </c>
      <c r="D548" s="15"/>
      <c r="E548" s="15"/>
      <c r="F548" s="15"/>
      <c r="G548" s="15"/>
      <c r="H548" s="15"/>
      <c r="I548" s="15"/>
      <c r="J548" s="15"/>
      <c r="K548" s="15"/>
      <c r="Q548" s="15"/>
    </row>
    <row r="549" spans="1:17" x14ac:dyDescent="0.25">
      <c r="B549" s="13" t="s">
        <v>238</v>
      </c>
      <c r="C549" s="10">
        <f>SUM(H195:H197)+SUM(H426:H427)</f>
        <v>13</v>
      </c>
      <c r="D549" s="15"/>
      <c r="E549" s="15"/>
      <c r="F549" s="15"/>
      <c r="G549" s="15"/>
      <c r="H549" s="15"/>
      <c r="I549" s="15"/>
      <c r="J549" s="15"/>
      <c r="K549" s="15"/>
      <c r="Q549" s="15"/>
    </row>
    <row r="550" spans="1:17" customFormat="1" ht="15" x14ac:dyDescent="0.25">
      <c r="A550" s="48"/>
      <c r="B550" s="13" t="s">
        <v>226</v>
      </c>
      <c r="C550" s="10">
        <f>SUM(H198:H207)+SUM(H431:H434)</f>
        <v>65</v>
      </c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7" customFormat="1" ht="15" x14ac:dyDescent="0.25">
      <c r="A551" s="48"/>
      <c r="B551" s="13" t="s">
        <v>1641</v>
      </c>
      <c r="C551" s="10">
        <v>0</v>
      </c>
      <c r="D551" s="15"/>
      <c r="E551" s="15"/>
      <c r="F551" s="15"/>
      <c r="G551" s="15"/>
      <c r="H551" s="15"/>
      <c r="I551" s="15"/>
      <c r="J551" s="15"/>
      <c r="K551" s="15"/>
    </row>
    <row r="552" spans="1:17" customFormat="1" ht="15" x14ac:dyDescent="0.25">
      <c r="A552" s="48"/>
      <c r="B552" s="13" t="s">
        <v>998</v>
      </c>
      <c r="C552" s="21">
        <f>SUM(H208:H212)+H435</f>
        <v>21</v>
      </c>
      <c r="H552" s="15"/>
    </row>
    <row r="553" spans="1:17" ht="15" x14ac:dyDescent="0.25">
      <c r="B553" s="13" t="s">
        <v>407</v>
      </c>
      <c r="C553" s="21">
        <f>SUM(H213:H217)+SUM(H436:H440)</f>
        <v>19</v>
      </c>
      <c r="D553"/>
      <c r="E553"/>
      <c r="F553"/>
      <c r="G553"/>
      <c r="H553" s="15"/>
      <c r="I553"/>
      <c r="J553"/>
      <c r="K553"/>
      <c r="L553"/>
      <c r="M553"/>
      <c r="N553"/>
      <c r="O553"/>
      <c r="P553"/>
      <c r="Q553" s="15"/>
    </row>
    <row r="554" spans="1:17" ht="15" x14ac:dyDescent="0.25">
      <c r="B554" s="13" t="s">
        <v>1612</v>
      </c>
      <c r="C554" s="21">
        <f>H441</f>
        <v>1</v>
      </c>
      <c r="D554"/>
      <c r="E554"/>
      <c r="F554"/>
      <c r="G554"/>
      <c r="H554"/>
      <c r="I554"/>
      <c r="J554"/>
      <c r="K554"/>
      <c r="Q554" s="15"/>
    </row>
    <row r="555" spans="1:17" ht="15" x14ac:dyDescent="0.25">
      <c r="B555" s="13" t="s">
        <v>86</v>
      </c>
      <c r="C555" s="10">
        <f>SUM(H218:H219)+H442</f>
        <v>6</v>
      </c>
      <c r="D555" s="15"/>
      <c r="E555" s="15"/>
      <c r="F555" s="15"/>
      <c r="G555" s="15"/>
      <c r="H555"/>
      <c r="I555" s="15"/>
      <c r="J555" s="15"/>
      <c r="K555" s="15"/>
      <c r="Q555" s="15"/>
    </row>
    <row r="556" spans="1:17" ht="15" x14ac:dyDescent="0.25">
      <c r="B556" s="13" t="s">
        <v>676</v>
      </c>
      <c r="C556" s="10">
        <f>SUM(H220:H221)+SUM(H443:H450)</f>
        <v>13</v>
      </c>
      <c r="D556" s="15"/>
      <c r="E556" s="15"/>
      <c r="F556" s="15"/>
      <c r="G556" s="15"/>
      <c r="H556"/>
      <c r="I556" s="15"/>
      <c r="J556" s="15"/>
      <c r="K556" s="15"/>
      <c r="Q556" s="15"/>
    </row>
    <row r="557" spans="1:17" x14ac:dyDescent="0.25">
      <c r="B557" s="13" t="s">
        <v>975</v>
      </c>
      <c r="C557" s="10">
        <v>0</v>
      </c>
      <c r="D557" s="15"/>
      <c r="E557" s="15"/>
      <c r="F557" s="15"/>
      <c r="G557" s="15"/>
      <c r="H557" s="15"/>
      <c r="I557" s="15"/>
      <c r="J557" s="15"/>
      <c r="K557" s="15"/>
      <c r="Q557" s="15"/>
    </row>
    <row r="558" spans="1:17" x14ac:dyDescent="0.25">
      <c r="B558" s="13" t="s">
        <v>249</v>
      </c>
      <c r="C558" s="10">
        <f>SUM(H222:H223)</f>
        <v>2</v>
      </c>
      <c r="D558" s="15"/>
      <c r="E558" s="15"/>
      <c r="F558" s="15"/>
      <c r="G558" s="15"/>
      <c r="H558" s="15"/>
      <c r="I558" s="15"/>
      <c r="J558" s="15"/>
      <c r="K558" s="15"/>
      <c r="Q558" s="15"/>
    </row>
    <row r="559" spans="1:17" x14ac:dyDescent="0.25">
      <c r="B559" s="13" t="s">
        <v>1709</v>
      </c>
      <c r="C559" s="10">
        <f>H224+SUM(H451:H452)</f>
        <v>4</v>
      </c>
      <c r="D559" s="15"/>
      <c r="E559" s="15"/>
      <c r="F559" s="15"/>
      <c r="G559" s="15"/>
      <c r="H559" s="15"/>
      <c r="I559" s="15"/>
      <c r="J559" s="15"/>
      <c r="K559" s="15"/>
      <c r="Q559" s="15"/>
    </row>
    <row r="560" spans="1:17" x14ac:dyDescent="0.25">
      <c r="A560" s="15"/>
      <c r="B560" s="13" t="s">
        <v>426</v>
      </c>
      <c r="C560" s="10">
        <v>0</v>
      </c>
      <c r="D560" s="15"/>
      <c r="E560" s="15"/>
      <c r="F560" s="15"/>
      <c r="G560" s="15"/>
      <c r="H560" s="15"/>
      <c r="I560" s="15"/>
      <c r="J560" s="15"/>
      <c r="K560" s="15"/>
      <c r="Q560" s="15"/>
    </row>
    <row r="561" spans="1:17" x14ac:dyDescent="0.25">
      <c r="A561" s="15"/>
      <c r="B561" s="13" t="s">
        <v>34</v>
      </c>
      <c r="C561" s="10">
        <f>SUM(H225:H228)+H453</f>
        <v>15</v>
      </c>
      <c r="D561" s="15"/>
      <c r="E561" s="15"/>
      <c r="F561" s="15"/>
      <c r="G561" s="15"/>
      <c r="H561" s="15"/>
      <c r="I561" s="15"/>
      <c r="J561" s="15"/>
      <c r="K561" s="15"/>
      <c r="Q561" s="15"/>
    </row>
    <row r="562" spans="1:17" x14ac:dyDescent="0.25">
      <c r="A562" s="15"/>
      <c r="B562" s="13" t="s">
        <v>99</v>
      </c>
      <c r="C562" s="10">
        <f>SUM(H454:H455)</f>
        <v>2</v>
      </c>
      <c r="D562" s="15"/>
      <c r="E562" s="15"/>
      <c r="F562" s="15"/>
      <c r="G562" s="15"/>
      <c r="H562" s="15"/>
      <c r="I562" s="15"/>
      <c r="J562" s="15"/>
      <c r="K562" s="15"/>
      <c r="Q562" s="15"/>
    </row>
    <row r="563" spans="1:17" x14ac:dyDescent="0.25">
      <c r="A563" s="15"/>
      <c r="B563" s="13" t="s">
        <v>170</v>
      </c>
      <c r="C563" s="10">
        <f>SUM(H229:H233)+H456</f>
        <v>41</v>
      </c>
      <c r="D563" s="15"/>
      <c r="E563" s="15"/>
      <c r="F563" s="15"/>
      <c r="G563" s="15"/>
      <c r="H563" s="15"/>
      <c r="I563" s="15"/>
      <c r="J563" s="15"/>
      <c r="K563" s="15"/>
      <c r="Q563" s="15"/>
    </row>
    <row r="564" spans="1:17" x14ac:dyDescent="0.25">
      <c r="A564" s="15"/>
      <c r="B564" s="13" t="s">
        <v>1694</v>
      </c>
      <c r="C564" s="10">
        <v>0</v>
      </c>
      <c r="D564" s="15"/>
      <c r="E564" s="15"/>
      <c r="F564" s="15"/>
      <c r="G564" s="15"/>
      <c r="H564" s="15"/>
      <c r="I564" s="15"/>
      <c r="J564" s="15"/>
      <c r="K564" s="15"/>
      <c r="Q564" s="15"/>
    </row>
    <row r="565" spans="1:17" x14ac:dyDescent="0.25">
      <c r="A565" s="15"/>
      <c r="B565" s="13" t="s">
        <v>1031</v>
      </c>
      <c r="C565" s="10">
        <v>0</v>
      </c>
      <c r="D565" s="15"/>
      <c r="E565" s="15"/>
      <c r="F565" s="15"/>
      <c r="G565" s="15"/>
      <c r="H565" s="15"/>
      <c r="I565" s="15"/>
      <c r="J565" s="15"/>
      <c r="K565" s="15"/>
      <c r="Q565" s="15"/>
    </row>
    <row r="566" spans="1:17" x14ac:dyDescent="0.25">
      <c r="A566" s="15"/>
      <c r="B566" s="13" t="s">
        <v>319</v>
      </c>
      <c r="C566" s="10">
        <f>H457</f>
        <v>3</v>
      </c>
      <c r="D566" s="15"/>
      <c r="E566" s="15"/>
      <c r="F566" s="15"/>
      <c r="G566" s="15"/>
      <c r="H566" s="15"/>
      <c r="I566" s="15"/>
      <c r="J566" s="15"/>
      <c r="K566" s="15"/>
      <c r="Q566" s="15"/>
    </row>
    <row r="567" spans="1:17" x14ac:dyDescent="0.25">
      <c r="A567" s="15"/>
      <c r="B567" s="13" t="s">
        <v>1606</v>
      </c>
      <c r="C567" s="10">
        <f>H234</f>
        <v>1</v>
      </c>
      <c r="D567" s="15"/>
      <c r="E567" s="15"/>
      <c r="F567" s="15"/>
      <c r="G567" s="15"/>
      <c r="H567" s="15"/>
      <c r="I567" s="15"/>
      <c r="J567" s="15"/>
      <c r="K567" s="15"/>
      <c r="Q567" s="15"/>
    </row>
    <row r="568" spans="1:17" x14ac:dyDescent="0.25">
      <c r="A568" s="15"/>
      <c r="B568" s="13" t="s">
        <v>1610</v>
      </c>
      <c r="C568" s="10">
        <f>SUM(H235:H237)</f>
        <v>7</v>
      </c>
      <c r="D568" s="15"/>
      <c r="E568" s="15"/>
      <c r="F568" s="15"/>
      <c r="G568" s="15"/>
      <c r="H568" s="15"/>
      <c r="I568" s="15"/>
      <c r="J568" s="15"/>
      <c r="K568" s="15"/>
      <c r="Q568" s="15"/>
    </row>
    <row r="569" spans="1:17" x14ac:dyDescent="0.25">
      <c r="A569" s="15"/>
      <c r="B569" s="13" t="s">
        <v>709</v>
      </c>
      <c r="C569" s="10">
        <f>H238</f>
        <v>1</v>
      </c>
      <c r="D569" s="15"/>
      <c r="E569" s="15"/>
      <c r="F569" s="15"/>
      <c r="G569" s="15"/>
      <c r="H569" s="15"/>
      <c r="I569" s="15"/>
      <c r="J569" s="15"/>
      <c r="K569" s="15"/>
      <c r="Q569" s="15"/>
    </row>
    <row r="570" spans="1:17" x14ac:dyDescent="0.25">
      <c r="A570" s="15"/>
      <c r="B570" s="13" t="s">
        <v>743</v>
      </c>
      <c r="C570" s="10">
        <v>0</v>
      </c>
      <c r="D570" s="15"/>
      <c r="E570" s="15"/>
      <c r="F570" s="15"/>
      <c r="G570" s="15"/>
      <c r="H570" s="15"/>
      <c r="I570" s="15"/>
      <c r="J570" s="15"/>
      <c r="K570" s="15"/>
      <c r="Q570" s="15"/>
    </row>
    <row r="571" spans="1:17" x14ac:dyDescent="0.25">
      <c r="A571" s="15"/>
      <c r="B571" s="13" t="s">
        <v>167</v>
      </c>
      <c r="C571" s="10">
        <f>SUM(H239:H240)</f>
        <v>6</v>
      </c>
      <c r="D571" s="15"/>
      <c r="E571" s="15"/>
      <c r="F571" s="15"/>
      <c r="G571" s="15"/>
      <c r="H571" s="15"/>
      <c r="I571" s="15"/>
      <c r="J571" s="15"/>
      <c r="K571" s="15"/>
      <c r="Q571" s="15"/>
    </row>
    <row r="572" spans="1:17" x14ac:dyDescent="0.25">
      <c r="A572" s="15"/>
      <c r="B572" s="13" t="s">
        <v>522</v>
      </c>
      <c r="C572" s="10">
        <v>0</v>
      </c>
      <c r="D572" s="15"/>
      <c r="E572" s="15"/>
      <c r="F572" s="15"/>
      <c r="G572" s="15"/>
      <c r="H572" s="15"/>
      <c r="I572" s="15"/>
      <c r="J572" s="15"/>
      <c r="K572" s="15"/>
      <c r="Q572" s="15"/>
    </row>
    <row r="573" spans="1:17" x14ac:dyDescent="0.25">
      <c r="A573" s="15"/>
      <c r="B573" s="13" t="s">
        <v>1594</v>
      </c>
      <c r="C573" s="10">
        <v>0</v>
      </c>
      <c r="D573" s="15"/>
      <c r="E573" s="15"/>
      <c r="F573" s="15"/>
      <c r="G573" s="15"/>
      <c r="H573" s="15"/>
      <c r="I573" s="15"/>
      <c r="J573" s="15"/>
      <c r="K573" s="15"/>
      <c r="Q573" s="15"/>
    </row>
    <row r="574" spans="1:17" x14ac:dyDescent="0.25">
      <c r="A574" s="15"/>
      <c r="B574" s="13" t="s">
        <v>1347</v>
      </c>
      <c r="C574" s="10">
        <v>0</v>
      </c>
      <c r="D574" s="15"/>
      <c r="E574" s="15"/>
      <c r="F574" s="15"/>
      <c r="G574" s="15"/>
      <c r="H574" s="15"/>
      <c r="I574" s="15"/>
      <c r="J574" s="15"/>
      <c r="K574" s="15"/>
      <c r="Q574" s="15"/>
    </row>
    <row r="575" spans="1:17" x14ac:dyDescent="0.25">
      <c r="A575" s="15"/>
      <c r="B575" s="12" t="s">
        <v>35</v>
      </c>
      <c r="C575" s="10">
        <f>SUM(H291:H292)+H404+SUM(H405/2)+SUM(H406:H409)+SUM(H428/2)+SUM(H458/2)+SUM(C576:C580)</f>
        <v>508.5</v>
      </c>
      <c r="D575" s="15"/>
      <c r="E575" s="15"/>
      <c r="F575" s="15"/>
      <c r="G575" s="15"/>
      <c r="H575" s="15"/>
      <c r="I575" s="15"/>
      <c r="J575" s="15"/>
      <c r="K575" s="15"/>
      <c r="Q575" s="15"/>
    </row>
    <row r="576" spans="1:17" x14ac:dyDescent="0.25">
      <c r="A576" s="15"/>
      <c r="B576" s="13" t="s">
        <v>667</v>
      </c>
      <c r="C576" s="10">
        <f>H410+H415+SUM(H416/2)+SUM(H419/2)+SUM(H430/2)+C545+C549+C556+C561+C562+C566</f>
        <v>153.5</v>
      </c>
      <c r="D576" s="15"/>
      <c r="E576" s="15"/>
      <c r="F576" s="15"/>
      <c r="G576" s="15"/>
      <c r="H576" s="15"/>
      <c r="I576" s="15"/>
      <c r="J576" s="15"/>
      <c r="K576" s="15"/>
      <c r="Q576" s="15"/>
    </row>
    <row r="577" spans="1:17" x14ac:dyDescent="0.25">
      <c r="A577" s="15"/>
      <c r="B577" s="13" t="s">
        <v>668</v>
      </c>
      <c r="C577" s="10">
        <f>SUM(H414/2)+H418+C548+C550+C567</f>
        <v>79</v>
      </c>
      <c r="D577" s="15"/>
      <c r="E577" s="15"/>
      <c r="F577" s="15"/>
      <c r="G577" s="15"/>
      <c r="H577" s="15"/>
      <c r="I577" s="15"/>
      <c r="J577" s="15"/>
      <c r="K577" s="15"/>
      <c r="Q577" s="15"/>
    </row>
    <row r="578" spans="1:17" x14ac:dyDescent="0.25">
      <c r="A578" s="15"/>
      <c r="B578" s="13" t="s">
        <v>669</v>
      </c>
      <c r="C578" s="10">
        <f>H413+SUM(H416/2)+H417+SUM(H430/2)+C546+C552+C553+C555+C558+C559+C571</f>
        <v>72</v>
      </c>
      <c r="D578" s="15"/>
      <c r="E578" s="15"/>
      <c r="F578" s="15"/>
      <c r="G578" s="15"/>
      <c r="H578" s="15"/>
      <c r="I578" s="15"/>
      <c r="J578" s="15"/>
      <c r="K578" s="15"/>
      <c r="Q578" s="15"/>
    </row>
    <row r="579" spans="1:17" x14ac:dyDescent="0.25">
      <c r="A579" s="15"/>
      <c r="B579" s="13" t="s">
        <v>670</v>
      </c>
      <c r="C579" s="10">
        <f>SUM(H411:H412)+SUM(H414/2)+SUM(H419/2)+C547+C554</f>
        <v>67.5</v>
      </c>
      <c r="D579" s="15"/>
      <c r="E579" s="15"/>
      <c r="F579" s="15"/>
      <c r="G579" s="15"/>
      <c r="H579" s="15"/>
      <c r="I579" s="15"/>
      <c r="J579" s="15"/>
      <c r="K579" s="15"/>
      <c r="Q579" s="15"/>
    </row>
    <row r="580" spans="1:17" x14ac:dyDescent="0.25">
      <c r="A580" s="15"/>
      <c r="B580" s="13" t="s">
        <v>666</v>
      </c>
      <c r="C580" s="10">
        <f>H420+C563+C568+C569</f>
        <v>50</v>
      </c>
      <c r="D580" s="15"/>
      <c r="E580" s="15"/>
      <c r="F580" s="15"/>
      <c r="G580" s="15"/>
      <c r="H580" s="15"/>
      <c r="I580" s="15"/>
      <c r="J580" s="15"/>
      <c r="K580" s="15"/>
      <c r="Q580" s="15"/>
    </row>
    <row r="581" spans="1:17" x14ac:dyDescent="0.25">
      <c r="A581" s="15"/>
      <c r="D581" s="15"/>
      <c r="E581" s="15"/>
      <c r="F581" s="15"/>
      <c r="G581" s="15"/>
      <c r="H581" s="15"/>
      <c r="I581" s="15"/>
      <c r="J581" s="15"/>
      <c r="K581" s="15"/>
      <c r="Q581" s="15"/>
    </row>
    <row r="582" spans="1:17" x14ac:dyDescent="0.25">
      <c r="A582" s="15"/>
      <c r="B582" s="13" t="s">
        <v>163</v>
      </c>
      <c r="C582" s="10">
        <f>H242</f>
        <v>1</v>
      </c>
      <c r="D582" s="15"/>
      <c r="E582" s="15"/>
      <c r="F582" s="15"/>
      <c r="G582" s="15"/>
      <c r="H582" s="15"/>
      <c r="I582" s="15"/>
      <c r="J582" s="15"/>
      <c r="K582" s="15"/>
      <c r="Q582" s="15"/>
    </row>
    <row r="583" spans="1:17" x14ac:dyDescent="0.25">
      <c r="A583" s="15"/>
      <c r="B583" s="13" t="s">
        <v>186</v>
      </c>
      <c r="C583" s="10">
        <v>0</v>
      </c>
      <c r="D583" s="15"/>
      <c r="E583" s="15"/>
      <c r="F583" s="15"/>
      <c r="G583" s="15"/>
      <c r="H583" s="15"/>
      <c r="I583" s="15"/>
      <c r="J583" s="15"/>
      <c r="K583" s="15"/>
      <c r="Q583" s="15"/>
    </row>
    <row r="584" spans="1:17" x14ac:dyDescent="0.25">
      <c r="A584" s="15"/>
      <c r="B584" s="13" t="s">
        <v>55</v>
      </c>
      <c r="C584" s="10">
        <f>SUM(H243:H249)</f>
        <v>12</v>
      </c>
      <c r="D584" s="15"/>
      <c r="E584" s="15"/>
      <c r="F584" s="15"/>
      <c r="G584" s="15"/>
      <c r="H584" s="15"/>
      <c r="I584" s="15"/>
      <c r="J584" s="15"/>
      <c r="K584" s="15"/>
      <c r="Q584" s="15"/>
    </row>
    <row r="585" spans="1:17" x14ac:dyDescent="0.25">
      <c r="A585" s="15"/>
      <c r="B585" s="13" t="s">
        <v>593</v>
      </c>
      <c r="C585" s="10">
        <f>SUM(H250:H252)</f>
        <v>4</v>
      </c>
      <c r="D585" s="15"/>
      <c r="E585" s="15"/>
      <c r="F585" s="15"/>
      <c r="G585" s="15"/>
      <c r="H585" s="15"/>
      <c r="I585" s="15"/>
      <c r="J585" s="15"/>
      <c r="K585" s="15"/>
      <c r="Q585" s="15"/>
    </row>
    <row r="586" spans="1:17" x14ac:dyDescent="0.25">
      <c r="A586" s="15"/>
      <c r="B586" s="13" t="s">
        <v>161</v>
      </c>
      <c r="C586" s="10">
        <f>SUM(H253:H259)</f>
        <v>43</v>
      </c>
      <c r="D586" s="15"/>
      <c r="E586" s="15"/>
      <c r="F586" s="15"/>
      <c r="G586" s="15"/>
      <c r="H586" s="15"/>
      <c r="I586" s="15"/>
      <c r="J586" s="15"/>
      <c r="K586" s="15"/>
      <c r="Q586" s="15"/>
    </row>
    <row r="587" spans="1:17" x14ac:dyDescent="0.25">
      <c r="A587" s="15"/>
      <c r="B587" s="13" t="s">
        <v>66</v>
      </c>
      <c r="C587" s="10">
        <f>SUM(H260:H264)</f>
        <v>28</v>
      </c>
      <c r="D587" s="15"/>
      <c r="E587" s="15"/>
      <c r="F587" s="15"/>
      <c r="G587" s="15"/>
      <c r="H587" s="15"/>
      <c r="I587" s="15"/>
      <c r="J587" s="15"/>
      <c r="K587" s="15"/>
      <c r="Q587" s="15"/>
    </row>
    <row r="588" spans="1:17" x14ac:dyDescent="0.25">
      <c r="A588" s="15"/>
      <c r="B588" s="13" t="s">
        <v>1347</v>
      </c>
      <c r="C588" s="10">
        <v>0</v>
      </c>
      <c r="D588" s="15"/>
      <c r="E588" s="15"/>
      <c r="F588" s="15"/>
      <c r="G588" s="15"/>
      <c r="H588" s="15"/>
      <c r="I588" s="15"/>
      <c r="J588" s="15"/>
      <c r="K588" s="15"/>
      <c r="Q588" s="15"/>
    </row>
    <row r="589" spans="1:17" x14ac:dyDescent="0.25">
      <c r="A589" s="15"/>
      <c r="B589" s="12" t="s">
        <v>56</v>
      </c>
      <c r="C589" s="10">
        <f>SUM(H380/2)+SUM(H385:H386)/2+H387+SUM(C590:C594)</f>
        <v>142</v>
      </c>
      <c r="D589" s="15"/>
      <c r="E589" s="15"/>
      <c r="F589" s="15"/>
      <c r="G589" s="15"/>
      <c r="H589" s="15"/>
      <c r="I589" s="15"/>
      <c r="J589" s="15"/>
      <c r="K589" s="15"/>
      <c r="Q589" s="15"/>
    </row>
    <row r="590" spans="1:17" x14ac:dyDescent="0.25">
      <c r="A590" s="15"/>
      <c r="B590" s="13" t="s">
        <v>663</v>
      </c>
      <c r="C590" s="10">
        <f>SUM(H392:H393)/2+SUM(C582/2)</f>
        <v>2.5</v>
      </c>
      <c r="D590" s="15"/>
      <c r="E590" s="15"/>
      <c r="F590" s="15"/>
      <c r="G590" s="15"/>
      <c r="H590" s="15"/>
      <c r="I590" s="15"/>
      <c r="J590" s="15"/>
      <c r="K590" s="15"/>
      <c r="Q590" s="15"/>
    </row>
    <row r="591" spans="1:17" x14ac:dyDescent="0.25">
      <c r="A591" s="15"/>
      <c r="B591" s="13" t="s">
        <v>664</v>
      </c>
      <c r="C591" s="10">
        <f>SUM(H392:H393)/2+SUM(H394/2)+SUM(H399:H402)+SUM(C582/2)+C586</f>
        <v>51.5</v>
      </c>
      <c r="D591" s="15"/>
      <c r="E591" s="15"/>
      <c r="F591" s="15"/>
      <c r="G591" s="15"/>
      <c r="H591" s="15"/>
      <c r="I591" s="15"/>
      <c r="J591" s="15"/>
      <c r="K591" s="15"/>
      <c r="Q591" s="15"/>
    </row>
    <row r="592" spans="1:17" x14ac:dyDescent="0.25">
      <c r="A592" s="15"/>
      <c r="B592" s="13" t="s">
        <v>271</v>
      </c>
      <c r="C592" s="10">
        <f>H388+SUM(H389:H391)/2+SUM(H396:H397)+C585</f>
        <v>12.5</v>
      </c>
      <c r="D592" s="15"/>
      <c r="E592" s="15"/>
      <c r="F592" s="15"/>
      <c r="G592" s="15"/>
      <c r="H592" s="15"/>
      <c r="I592" s="15"/>
      <c r="J592" s="15"/>
      <c r="K592" s="15"/>
      <c r="Q592" s="15"/>
    </row>
    <row r="593" spans="1:17" x14ac:dyDescent="0.25">
      <c r="A593" s="15"/>
      <c r="B593" s="13" t="s">
        <v>144</v>
      </c>
      <c r="C593" s="10">
        <f>SUM(H389:H391)/2+SUM(H394/2)+H395+H398+C584</f>
        <v>21.5</v>
      </c>
      <c r="D593" s="15"/>
      <c r="E593" s="15"/>
      <c r="F593" s="15"/>
      <c r="G593" s="15"/>
      <c r="H593" s="15"/>
      <c r="I593" s="15"/>
      <c r="J593" s="15"/>
      <c r="K593" s="15"/>
      <c r="Q593" s="15"/>
    </row>
    <row r="594" spans="1:17" x14ac:dyDescent="0.25">
      <c r="A594" s="15"/>
      <c r="B594" s="13" t="s">
        <v>666</v>
      </c>
      <c r="C594" s="10">
        <f>H403+C587</f>
        <v>29</v>
      </c>
      <c r="D594" s="15"/>
      <c r="E594" s="15"/>
      <c r="F594" s="15"/>
      <c r="G594" s="15"/>
      <c r="H594" s="15"/>
      <c r="I594" s="15"/>
      <c r="J594" s="15"/>
      <c r="K594" s="15"/>
      <c r="Q594" s="15"/>
    </row>
    <row r="595" spans="1:17" x14ac:dyDescent="0.25">
      <c r="A595" s="15"/>
      <c r="D595" s="15"/>
      <c r="E595" s="15"/>
      <c r="F595" s="15"/>
      <c r="G595" s="15"/>
      <c r="H595" s="15"/>
      <c r="I595" s="15"/>
      <c r="J595" s="15"/>
      <c r="K595" s="15"/>
      <c r="Q595" s="15"/>
    </row>
    <row r="596" spans="1:17" x14ac:dyDescent="0.25">
      <c r="B596" s="13" t="s">
        <v>778</v>
      </c>
      <c r="C596" s="10">
        <f>H265+SUM(H461:H462)</f>
        <v>5</v>
      </c>
      <c r="D596" s="15"/>
      <c r="E596" s="15"/>
      <c r="F596" s="15"/>
      <c r="G596" s="15"/>
      <c r="H596" s="15"/>
      <c r="I596" s="15"/>
      <c r="J596" s="15"/>
      <c r="K596" s="15"/>
      <c r="Q596" s="15"/>
    </row>
    <row r="597" spans="1:17" x14ac:dyDescent="0.25">
      <c r="B597" s="13" t="s">
        <v>1444</v>
      </c>
      <c r="C597" s="10">
        <v>0</v>
      </c>
      <c r="H597" s="15"/>
      <c r="Q597" s="15"/>
    </row>
    <row r="598" spans="1:17" x14ac:dyDescent="0.25">
      <c r="B598" s="13" t="s">
        <v>1631</v>
      </c>
      <c r="C598" s="10">
        <v>0</v>
      </c>
      <c r="H598" s="15"/>
      <c r="Q598" s="15"/>
    </row>
    <row r="599" spans="1:17" x14ac:dyDescent="0.25">
      <c r="B599" s="13" t="s">
        <v>1968</v>
      </c>
      <c r="C599" s="10">
        <v>0</v>
      </c>
      <c r="Q599" s="15"/>
    </row>
    <row r="600" spans="1:17" x14ac:dyDescent="0.25">
      <c r="B600" s="13" t="s">
        <v>1099</v>
      </c>
      <c r="C600" s="10">
        <f>H266+SUM(H463:H464)</f>
        <v>3</v>
      </c>
      <c r="Q600" s="15"/>
    </row>
    <row r="601" spans="1:17" x14ac:dyDescent="0.25">
      <c r="B601" s="13" t="s">
        <v>2114</v>
      </c>
      <c r="C601" s="10">
        <v>0</v>
      </c>
      <c r="Q601" s="15"/>
    </row>
    <row r="602" spans="1:17" x14ac:dyDescent="0.25">
      <c r="B602" s="13" t="s">
        <v>783</v>
      </c>
      <c r="C602" s="10">
        <f>H465</f>
        <v>1</v>
      </c>
      <c r="Q602" s="15"/>
    </row>
    <row r="603" spans="1:17" x14ac:dyDescent="0.25">
      <c r="B603" s="13" t="s">
        <v>1264</v>
      </c>
      <c r="C603" s="10">
        <f>H267</f>
        <v>4</v>
      </c>
      <c r="Q603" s="15"/>
    </row>
    <row r="604" spans="1:17" x14ac:dyDescent="0.25">
      <c r="B604" s="13" t="s">
        <v>980</v>
      </c>
      <c r="C604" s="10">
        <v>0</v>
      </c>
      <c r="Q604" s="15"/>
    </row>
    <row r="605" spans="1:17" x14ac:dyDescent="0.25">
      <c r="B605" s="13" t="s">
        <v>1157</v>
      </c>
      <c r="C605" s="10">
        <f>H268</f>
        <v>1</v>
      </c>
      <c r="Q605" s="15"/>
    </row>
    <row r="606" spans="1:17" x14ac:dyDescent="0.25">
      <c r="B606" s="13" t="s">
        <v>1248</v>
      </c>
      <c r="C606" s="10">
        <f>H269</f>
        <v>1</v>
      </c>
      <c r="Q606" s="15"/>
    </row>
    <row r="607" spans="1:17" x14ac:dyDescent="0.25">
      <c r="B607" s="13" t="s">
        <v>1688</v>
      </c>
      <c r="C607" s="10">
        <v>0</v>
      </c>
      <c r="Q607" s="15"/>
    </row>
    <row r="608" spans="1:17" x14ac:dyDescent="0.25">
      <c r="B608" s="13" t="s">
        <v>793</v>
      </c>
      <c r="C608" s="10">
        <f>SUM(H270:H271)+H467</f>
        <v>3</v>
      </c>
      <c r="Q608" s="15"/>
    </row>
    <row r="609" spans="1:17" x14ac:dyDescent="0.25">
      <c r="B609" s="13" t="s">
        <v>1666</v>
      </c>
      <c r="C609" s="10">
        <f>SUM(H468:H469)</f>
        <v>2</v>
      </c>
      <c r="Q609" s="15"/>
    </row>
    <row r="610" spans="1:17" x14ac:dyDescent="0.25">
      <c r="B610" s="13" t="s">
        <v>878</v>
      </c>
      <c r="C610" s="10">
        <f>SUM(H272:H273)+H470</f>
        <v>13</v>
      </c>
      <c r="Q610" s="15"/>
    </row>
    <row r="611" spans="1:17" x14ac:dyDescent="0.25">
      <c r="B611" s="13" t="s">
        <v>1977</v>
      </c>
      <c r="C611" s="10">
        <v>0</v>
      </c>
      <c r="Q611" s="15"/>
    </row>
    <row r="612" spans="1:17" x14ac:dyDescent="0.25">
      <c r="A612" s="15"/>
      <c r="B612" s="13" t="s">
        <v>2120</v>
      </c>
      <c r="C612" s="10">
        <v>0</v>
      </c>
      <c r="Q612" s="15"/>
    </row>
    <row r="613" spans="1:17" x14ac:dyDescent="0.25">
      <c r="A613" s="15"/>
      <c r="B613" s="13" t="s">
        <v>1691</v>
      </c>
      <c r="C613" s="10">
        <v>0</v>
      </c>
      <c r="D613" s="15"/>
      <c r="E613" s="15"/>
      <c r="F613" s="15"/>
      <c r="G613" s="15"/>
      <c r="H613" s="15"/>
      <c r="I613" s="15"/>
      <c r="J613" s="15"/>
      <c r="K613" s="15"/>
      <c r="Q613" s="15"/>
    </row>
    <row r="614" spans="1:17" x14ac:dyDescent="0.25">
      <c r="A614" s="15"/>
      <c r="B614" s="13" t="s">
        <v>804</v>
      </c>
      <c r="C614" s="10">
        <f>H274</f>
        <v>1</v>
      </c>
      <c r="D614" s="15"/>
      <c r="E614" s="15"/>
      <c r="F614" s="15"/>
      <c r="G614" s="15"/>
      <c r="H614" s="15"/>
      <c r="I614" s="15"/>
      <c r="J614" s="15"/>
      <c r="K614" s="15"/>
      <c r="Q614" s="15"/>
    </row>
    <row r="615" spans="1:17" x14ac:dyDescent="0.25">
      <c r="A615" s="15" t="s">
        <v>2457</v>
      </c>
      <c r="B615" s="13" t="s">
        <v>2456</v>
      </c>
      <c r="C615" s="10">
        <f>H275+H471</f>
        <v>2</v>
      </c>
      <c r="D615" s="15"/>
      <c r="E615" s="15"/>
      <c r="F615" s="15"/>
      <c r="G615" s="15"/>
      <c r="H615" s="15"/>
      <c r="I615" s="15"/>
      <c r="J615" s="15"/>
      <c r="K615" s="15"/>
      <c r="Q615" s="15"/>
    </row>
    <row r="616" spans="1:17" x14ac:dyDescent="0.25">
      <c r="A616" s="15"/>
      <c r="B616" s="13" t="s">
        <v>984</v>
      </c>
      <c r="C616" s="10">
        <v>0</v>
      </c>
      <c r="D616" s="15"/>
      <c r="E616" s="15"/>
      <c r="F616" s="15"/>
      <c r="G616" s="15"/>
      <c r="H616" s="15"/>
      <c r="I616" s="15"/>
      <c r="J616" s="15"/>
      <c r="K616" s="15"/>
      <c r="Q616" s="15"/>
    </row>
    <row r="617" spans="1:17" x14ac:dyDescent="0.25">
      <c r="A617" s="15"/>
      <c r="B617" s="13" t="s">
        <v>785</v>
      </c>
      <c r="C617" s="10">
        <f>H276+SUM(H472:H473)</f>
        <v>4</v>
      </c>
      <c r="D617" s="15"/>
      <c r="E617" s="15"/>
      <c r="F617" s="15"/>
      <c r="G617" s="15"/>
      <c r="H617" s="15"/>
      <c r="I617" s="15"/>
      <c r="J617" s="15"/>
      <c r="K617" s="15"/>
      <c r="Q617" s="15"/>
    </row>
    <row r="618" spans="1:17" x14ac:dyDescent="0.25">
      <c r="A618" s="15"/>
      <c r="B618" s="13" t="s">
        <v>795</v>
      </c>
      <c r="C618" s="10">
        <f>SUM(H277:H278)+H474</f>
        <v>3</v>
      </c>
      <c r="D618" s="15"/>
      <c r="E618" s="15"/>
      <c r="F618" s="15"/>
      <c r="G618" s="15"/>
      <c r="H618" s="15"/>
      <c r="I618" s="15"/>
      <c r="J618" s="15"/>
      <c r="K618" s="15"/>
      <c r="Q618" s="15"/>
    </row>
    <row r="619" spans="1:17" x14ac:dyDescent="0.25">
      <c r="A619" s="15"/>
      <c r="B619" s="13" t="s">
        <v>989</v>
      </c>
      <c r="C619" s="10">
        <v>0</v>
      </c>
      <c r="D619" s="15"/>
      <c r="E619" s="15"/>
      <c r="F619" s="15"/>
      <c r="G619" s="15"/>
      <c r="H619" s="15"/>
      <c r="I619" s="15"/>
      <c r="J619" s="15"/>
      <c r="K619" s="15"/>
      <c r="Q619" s="15"/>
    </row>
    <row r="620" spans="1:17" x14ac:dyDescent="0.25">
      <c r="A620" s="15"/>
      <c r="B620" s="13" t="s">
        <v>1677</v>
      </c>
      <c r="C620" s="10">
        <v>0</v>
      </c>
      <c r="D620" s="15"/>
      <c r="E620" s="15"/>
      <c r="F620" s="15"/>
      <c r="G620" s="15"/>
      <c r="H620" s="15"/>
      <c r="I620" s="15"/>
      <c r="J620" s="15"/>
      <c r="K620" s="15"/>
      <c r="Q620" s="15"/>
    </row>
    <row r="621" spans="1:17" x14ac:dyDescent="0.25">
      <c r="A621" s="15"/>
      <c r="B621" s="13" t="s">
        <v>772</v>
      </c>
      <c r="C621" s="10">
        <f>SUM(H279:H282)+H475</f>
        <v>14</v>
      </c>
      <c r="D621" s="15"/>
      <c r="E621" s="15"/>
      <c r="F621" s="15"/>
      <c r="G621" s="15"/>
      <c r="H621" s="15"/>
      <c r="I621" s="15"/>
      <c r="J621" s="15"/>
      <c r="K621" s="15"/>
      <c r="Q621" s="15"/>
    </row>
    <row r="622" spans="1:17" x14ac:dyDescent="0.25">
      <c r="A622" s="15"/>
      <c r="B622" s="13" t="s">
        <v>1245</v>
      </c>
      <c r="C622" s="10">
        <v>0</v>
      </c>
      <c r="D622" s="15"/>
      <c r="E622" s="15"/>
      <c r="F622" s="15"/>
      <c r="G622" s="15"/>
      <c r="H622" s="15"/>
      <c r="I622" s="15"/>
      <c r="J622" s="15"/>
      <c r="K622" s="15"/>
      <c r="Q622" s="15"/>
    </row>
    <row r="623" spans="1:17" x14ac:dyDescent="0.25">
      <c r="A623" s="15"/>
      <c r="B623" s="13" t="s">
        <v>789</v>
      </c>
      <c r="C623" s="10">
        <f>H283</f>
        <v>3</v>
      </c>
      <c r="D623" s="15"/>
      <c r="E623" s="15"/>
      <c r="F623" s="15"/>
      <c r="G623" s="15"/>
      <c r="H623" s="15"/>
      <c r="I623" s="15"/>
      <c r="J623" s="15"/>
      <c r="K623" s="15"/>
      <c r="Q623" s="15"/>
    </row>
    <row r="624" spans="1:17" x14ac:dyDescent="0.25">
      <c r="A624" s="15"/>
      <c r="B624" s="13" t="s">
        <v>875</v>
      </c>
      <c r="C624" s="10">
        <v>0</v>
      </c>
      <c r="D624" s="15"/>
      <c r="E624" s="15"/>
      <c r="F624" s="15"/>
      <c r="G624" s="15"/>
      <c r="H624" s="15"/>
      <c r="I624" s="15"/>
      <c r="J624" s="15"/>
      <c r="K624" s="15"/>
      <c r="Q624" s="15"/>
    </row>
    <row r="625" spans="1:17" x14ac:dyDescent="0.25">
      <c r="A625" s="15"/>
      <c r="B625" s="13" t="s">
        <v>1347</v>
      </c>
      <c r="C625" s="10">
        <v>0</v>
      </c>
      <c r="D625" s="15"/>
      <c r="E625" s="15"/>
      <c r="F625" s="15"/>
      <c r="G625" s="15"/>
      <c r="H625" s="15"/>
      <c r="I625" s="15"/>
      <c r="J625" s="15"/>
      <c r="K625" s="15"/>
      <c r="Q625" s="15"/>
    </row>
    <row r="626" spans="1:17" x14ac:dyDescent="0.25">
      <c r="A626" s="15"/>
      <c r="B626" s="12" t="s">
        <v>771</v>
      </c>
      <c r="C626" s="10">
        <f>SUM(H428/2)+SUM(H458/2)+H459+SUM(H479:H481)+SUM(C627+C633)</f>
        <v>219.5</v>
      </c>
      <c r="D626" s="15"/>
      <c r="E626" s="15"/>
      <c r="F626" s="15"/>
      <c r="G626" s="15"/>
      <c r="H626" s="15"/>
      <c r="I626" s="15"/>
      <c r="J626" s="15"/>
      <c r="K626" s="15"/>
      <c r="Q626" s="15"/>
    </row>
    <row r="627" spans="1:17" x14ac:dyDescent="0.25">
      <c r="A627" s="15"/>
      <c r="B627" s="13" t="s">
        <v>2251</v>
      </c>
      <c r="C627" s="10">
        <f>H460+H478+SUM(C596:C603)</f>
        <v>15</v>
      </c>
      <c r="D627" s="15"/>
      <c r="E627" s="15"/>
      <c r="F627" s="15"/>
      <c r="G627" s="15"/>
      <c r="H627" s="15"/>
      <c r="I627" s="15"/>
      <c r="J627" s="15"/>
      <c r="K627" s="15"/>
      <c r="Q627" s="15"/>
    </row>
    <row r="628" spans="1:17" x14ac:dyDescent="0.25">
      <c r="A628" s="15"/>
      <c r="B628" s="13" t="s">
        <v>1351</v>
      </c>
      <c r="C628" s="10">
        <f>SUM(H477/2)+C608+C618</f>
        <v>6.5</v>
      </c>
      <c r="D628" s="15"/>
      <c r="E628" s="15"/>
      <c r="F628" s="15"/>
      <c r="G628" s="15"/>
      <c r="H628" s="15"/>
      <c r="I628" s="15"/>
      <c r="J628" s="15"/>
      <c r="K628" s="15"/>
      <c r="Q628" s="15"/>
    </row>
    <row r="629" spans="1:17" x14ac:dyDescent="0.25">
      <c r="A629" s="15"/>
      <c r="B629" s="13" t="s">
        <v>1352</v>
      </c>
      <c r="C629" s="10">
        <f>SUM(H476/2)+SUM(H477/2)+C609+C617+C621</f>
        <v>21.5</v>
      </c>
      <c r="D629" s="15"/>
      <c r="E629" s="15"/>
      <c r="F629" s="15"/>
      <c r="G629" s="15"/>
      <c r="H629" s="15"/>
      <c r="I629" s="15"/>
      <c r="J629" s="15"/>
      <c r="K629" s="15"/>
      <c r="Q629" s="15"/>
    </row>
    <row r="630" spans="1:17" x14ac:dyDescent="0.25">
      <c r="A630" s="15"/>
      <c r="B630" s="13" t="s">
        <v>1353</v>
      </c>
      <c r="C630" s="10">
        <f>C623</f>
        <v>3</v>
      </c>
      <c r="D630" s="15"/>
      <c r="E630" s="15"/>
      <c r="F630" s="15"/>
      <c r="G630" s="15"/>
      <c r="H630" s="15"/>
      <c r="I630" s="15"/>
      <c r="J630" s="15"/>
      <c r="K630" s="15"/>
      <c r="Q630" s="15"/>
    </row>
    <row r="631" spans="1:17" x14ac:dyDescent="0.25">
      <c r="A631" s="15"/>
      <c r="B631" s="13" t="s">
        <v>1354</v>
      </c>
      <c r="C631" s="10">
        <f>SUM(H476/2)+C605+C606+C610+C614</f>
        <v>17</v>
      </c>
      <c r="D631" s="15"/>
      <c r="E631" s="15"/>
      <c r="F631" s="15"/>
      <c r="G631" s="15"/>
      <c r="H631" s="15"/>
      <c r="I631" s="15"/>
      <c r="J631" s="15"/>
      <c r="K631" s="15"/>
      <c r="Q631" s="15"/>
    </row>
    <row r="632" spans="1:17" x14ac:dyDescent="0.25">
      <c r="A632" s="15"/>
      <c r="B632" s="13" t="s">
        <v>1355</v>
      </c>
      <c r="C632" s="10">
        <f>C615</f>
        <v>2</v>
      </c>
      <c r="D632" s="15"/>
      <c r="E632" s="15"/>
      <c r="F632" s="15"/>
      <c r="G632" s="15"/>
      <c r="H632" s="15"/>
      <c r="I632" s="15"/>
      <c r="J632" s="15"/>
      <c r="K632" s="15"/>
      <c r="Q632" s="15"/>
    </row>
    <row r="633" spans="1:17" x14ac:dyDescent="0.25">
      <c r="A633" s="15"/>
      <c r="B633" s="13" t="s">
        <v>2250</v>
      </c>
      <c r="C633" s="10">
        <f>SUM(C628:C632)</f>
        <v>50</v>
      </c>
      <c r="D633" s="15"/>
      <c r="E633" s="15"/>
      <c r="F633" s="15"/>
      <c r="G633" s="15"/>
      <c r="H633" s="15"/>
      <c r="I633" s="15"/>
      <c r="J633" s="15"/>
      <c r="K633" s="15"/>
      <c r="Q633" s="15"/>
    </row>
    <row r="634" spans="1:17" x14ac:dyDescent="0.25">
      <c r="A634" s="15"/>
      <c r="D634" s="15"/>
      <c r="E634" s="15"/>
      <c r="F634" s="15"/>
      <c r="G634" s="15"/>
      <c r="H634" s="15"/>
      <c r="I634" s="15"/>
      <c r="J634" s="15"/>
      <c r="K634" s="15"/>
      <c r="Q634" s="15"/>
    </row>
    <row r="635" spans="1:17" x14ac:dyDescent="0.25">
      <c r="A635" s="15"/>
      <c r="B635" s="52" t="s">
        <v>2252</v>
      </c>
      <c r="C635" s="10">
        <f>SUM(H284:H285)+H288+SUM(H293:H294)+H364+H367+H466</f>
        <v>605</v>
      </c>
      <c r="D635" s="15"/>
      <c r="E635" s="15"/>
      <c r="F635" s="15"/>
      <c r="G635" s="15"/>
      <c r="H635" s="15"/>
      <c r="I635" s="15"/>
      <c r="J635" s="15"/>
      <c r="K635" s="15"/>
      <c r="Q635" s="15"/>
    </row>
    <row r="636" spans="1:17" x14ac:dyDescent="0.25">
      <c r="A636" s="15"/>
      <c r="B636" s="52"/>
      <c r="D636" s="15"/>
      <c r="E636" s="15"/>
      <c r="F636" s="15"/>
      <c r="G636" s="15"/>
      <c r="H636" s="15"/>
      <c r="I636" s="15"/>
      <c r="J636" s="15"/>
      <c r="K636" s="15"/>
      <c r="Q636" s="15"/>
    </row>
    <row r="637" spans="1:17" x14ac:dyDescent="0.25">
      <c r="A637" s="15"/>
      <c r="B637" s="12" t="s">
        <v>2253</v>
      </c>
      <c r="C637" s="10">
        <f>C635+C626+C589+C575+C538</f>
        <v>2560</v>
      </c>
      <c r="D637" s="15"/>
      <c r="E637" s="15"/>
      <c r="F637" s="15"/>
      <c r="G637" s="15"/>
      <c r="H637" s="15"/>
      <c r="I637" s="15"/>
      <c r="J637" s="15"/>
      <c r="K637" s="15"/>
      <c r="Q637" s="15"/>
    </row>
    <row r="638" spans="1:17" x14ac:dyDescent="0.25">
      <c r="A638" s="15"/>
      <c r="D638" s="15"/>
      <c r="E638" s="15"/>
      <c r="F638" s="15"/>
      <c r="G638" s="15"/>
      <c r="H638" s="15"/>
      <c r="I638" s="15"/>
      <c r="J638" s="15"/>
      <c r="K638" s="15"/>
      <c r="Q638" s="15"/>
    </row>
    <row r="639" spans="1:17" x14ac:dyDescent="0.25">
      <c r="A639" s="15"/>
      <c r="B639" s="13" t="s">
        <v>5756</v>
      </c>
      <c r="C639" s="10">
        <f>C490+C492+C496+C516+C530</f>
        <v>41</v>
      </c>
      <c r="D639" s="15"/>
      <c r="E639" s="15"/>
      <c r="F639" s="15"/>
      <c r="G639" s="15"/>
      <c r="H639" s="15"/>
      <c r="I639" s="15"/>
      <c r="J639" s="15"/>
      <c r="K639" s="15"/>
      <c r="Q639" s="15"/>
    </row>
    <row r="640" spans="1:17" x14ac:dyDescent="0.25">
      <c r="A640" s="15"/>
      <c r="B640" s="13" t="s">
        <v>1890</v>
      </c>
      <c r="C640" s="10">
        <f>C538-C639</f>
        <v>1044</v>
      </c>
      <c r="D640" s="15"/>
      <c r="E640" s="15"/>
      <c r="F640" s="15"/>
      <c r="G640" s="15"/>
      <c r="H640" s="15"/>
      <c r="I640" s="15"/>
      <c r="J640" s="15"/>
      <c r="K640" s="15"/>
      <c r="Q640" s="15"/>
    </row>
    <row r="641" spans="1:17" x14ac:dyDescent="0.25">
      <c r="A641" s="15"/>
      <c r="D641" s="15"/>
      <c r="E641" s="15"/>
      <c r="F641" s="15"/>
      <c r="G641" s="15"/>
      <c r="H641" s="15"/>
      <c r="I641" s="15"/>
      <c r="J641" s="15"/>
      <c r="K641" s="15"/>
      <c r="Q641" s="15"/>
    </row>
    <row r="642" spans="1:17" x14ac:dyDescent="0.25">
      <c r="A642" s="15"/>
      <c r="B642" s="13" t="s">
        <v>1359</v>
      </c>
      <c r="C642" s="10">
        <f>C639</f>
        <v>41</v>
      </c>
      <c r="D642" s="15"/>
      <c r="E642" s="15"/>
      <c r="F642" s="15"/>
      <c r="G642" s="15"/>
      <c r="H642" s="15"/>
      <c r="I642" s="15"/>
      <c r="J642" s="15"/>
      <c r="K642" s="15"/>
      <c r="Q642" s="15"/>
    </row>
    <row r="643" spans="1:17" x14ac:dyDescent="0.25">
      <c r="A643" s="15"/>
      <c r="B643" s="13" t="s">
        <v>1891</v>
      </c>
      <c r="C643" s="10">
        <f>C637-C642</f>
        <v>2519</v>
      </c>
      <c r="D643" s="15"/>
      <c r="E643" s="15"/>
      <c r="F643" s="15"/>
      <c r="G643" s="15"/>
      <c r="H643" s="15"/>
      <c r="I643" s="15"/>
      <c r="J643" s="15"/>
      <c r="K643" s="15"/>
      <c r="Q643" s="15"/>
    </row>
    <row r="644" spans="1:17" x14ac:dyDescent="0.25">
      <c r="A644" s="15"/>
      <c r="D644" s="15"/>
      <c r="E644" s="15"/>
      <c r="F644" s="15"/>
      <c r="G644" s="15"/>
      <c r="H644" s="15"/>
      <c r="I644" s="15"/>
      <c r="J644" s="15"/>
      <c r="K644" s="15"/>
      <c r="Q644" s="15"/>
    </row>
    <row r="645" spans="1:17" x14ac:dyDescent="0.25">
      <c r="A645" s="15"/>
      <c r="B645" s="13" t="s">
        <v>11</v>
      </c>
      <c r="C645" s="10">
        <f>C538</f>
        <v>1085</v>
      </c>
      <c r="D645" s="15"/>
      <c r="E645" s="15"/>
      <c r="F645" s="15"/>
      <c r="G645" s="15"/>
      <c r="H645" s="15"/>
      <c r="I645" s="15"/>
      <c r="J645" s="15"/>
      <c r="K645" s="15"/>
      <c r="Q645" s="15"/>
    </row>
    <row r="646" spans="1:17" x14ac:dyDescent="0.25">
      <c r="A646" s="15"/>
      <c r="B646" s="13" t="s">
        <v>35</v>
      </c>
      <c r="C646" s="10">
        <f>C575</f>
        <v>508.5</v>
      </c>
      <c r="D646" s="15"/>
      <c r="E646" s="15"/>
      <c r="F646" s="15"/>
      <c r="G646" s="15"/>
      <c r="H646" s="15"/>
      <c r="I646" s="15"/>
      <c r="J646" s="15"/>
      <c r="K646" s="15"/>
      <c r="Q646" s="15"/>
    </row>
    <row r="647" spans="1:17" x14ac:dyDescent="0.25">
      <c r="A647" s="15"/>
      <c r="B647" s="13" t="s">
        <v>56</v>
      </c>
      <c r="C647" s="10">
        <f>C589</f>
        <v>142</v>
      </c>
      <c r="D647" s="15"/>
      <c r="E647" s="15"/>
      <c r="F647" s="15"/>
      <c r="G647" s="15"/>
      <c r="H647" s="15"/>
      <c r="I647" s="15"/>
      <c r="J647" s="15"/>
      <c r="K647" s="15"/>
      <c r="Q647" s="15"/>
    </row>
    <row r="648" spans="1:17" x14ac:dyDescent="0.25">
      <c r="A648" s="15"/>
      <c r="B648" s="13" t="s">
        <v>771</v>
      </c>
      <c r="C648" s="10">
        <f>C626</f>
        <v>219.5</v>
      </c>
      <c r="D648" s="15"/>
      <c r="E648" s="15"/>
      <c r="F648" s="15"/>
      <c r="G648" s="15"/>
      <c r="H648" s="15"/>
      <c r="I648" s="15"/>
      <c r="J648" s="15"/>
      <c r="K648" s="15"/>
      <c r="Q648" s="15"/>
    </row>
    <row r="649" spans="1:17" x14ac:dyDescent="0.25">
      <c r="D649" s="15"/>
      <c r="E649" s="15"/>
      <c r="F649" s="15"/>
      <c r="G649" s="15"/>
      <c r="H649" s="15"/>
      <c r="I649" s="15"/>
      <c r="J649" s="15"/>
      <c r="K649" s="15"/>
    </row>
    <row r="650" spans="1:17" ht="13.5" thickBot="1" x14ac:dyDescent="0.3"/>
    <row r="651" spans="1:17" x14ac:dyDescent="0.25">
      <c r="B651" s="85" t="s">
        <v>5449</v>
      </c>
      <c r="C651" s="88">
        <v>78</v>
      </c>
    </row>
    <row r="652" spans="1:17" x14ac:dyDescent="0.25">
      <c r="B652" s="86" t="s">
        <v>5450</v>
      </c>
      <c r="C652" s="89">
        <v>12</v>
      </c>
    </row>
    <row r="653" spans="1:17" x14ac:dyDescent="0.25">
      <c r="B653" s="86" t="s">
        <v>5451</v>
      </c>
      <c r="C653" s="89">
        <v>283</v>
      </c>
    </row>
    <row r="654" spans="1:17" x14ac:dyDescent="0.25">
      <c r="B654" s="86" t="s">
        <v>5452</v>
      </c>
      <c r="C654" s="89">
        <v>475</v>
      </c>
    </row>
    <row r="655" spans="1:17" ht="13.5" thickBot="1" x14ac:dyDescent="0.3">
      <c r="B655" s="87" t="s">
        <v>5453</v>
      </c>
      <c r="C655" s="90">
        <v>179</v>
      </c>
    </row>
    <row r="656" spans="1:17" x14ac:dyDescent="0.25">
      <c r="B656" s="85" t="s">
        <v>5454</v>
      </c>
      <c r="C656" s="88">
        <v>153.5</v>
      </c>
    </row>
    <row r="657" spans="2:3" x14ac:dyDescent="0.25">
      <c r="B657" s="86" t="s">
        <v>5455</v>
      </c>
      <c r="C657" s="89">
        <v>79</v>
      </c>
    </row>
    <row r="658" spans="2:3" x14ac:dyDescent="0.25">
      <c r="B658" s="86" t="s">
        <v>5456</v>
      </c>
      <c r="C658" s="89">
        <v>72</v>
      </c>
    </row>
    <row r="659" spans="2:3" x14ac:dyDescent="0.25">
      <c r="B659" s="86" t="s">
        <v>5457</v>
      </c>
      <c r="C659" s="89">
        <v>67.5</v>
      </c>
    </row>
    <row r="660" spans="2:3" ht="13.5" thickBot="1" x14ac:dyDescent="0.3">
      <c r="B660" s="87" t="s">
        <v>5458</v>
      </c>
      <c r="C660" s="90">
        <v>50</v>
      </c>
    </row>
    <row r="661" spans="2:3" x14ac:dyDescent="0.25">
      <c r="B661" s="85" t="s">
        <v>923</v>
      </c>
      <c r="C661" s="88">
        <v>2.5</v>
      </c>
    </row>
    <row r="662" spans="2:3" x14ac:dyDescent="0.25">
      <c r="B662" s="86" t="s">
        <v>924</v>
      </c>
      <c r="C662" s="89">
        <v>51.5</v>
      </c>
    </row>
    <row r="663" spans="2:3" x14ac:dyDescent="0.25">
      <c r="B663" s="86" t="s">
        <v>925</v>
      </c>
      <c r="C663" s="89">
        <v>12.5</v>
      </c>
    </row>
    <row r="664" spans="2:3" x14ac:dyDescent="0.25">
      <c r="B664" s="86" t="s">
        <v>926</v>
      </c>
      <c r="C664" s="89">
        <v>21.5</v>
      </c>
    </row>
    <row r="665" spans="2:3" ht="13.5" thickBot="1" x14ac:dyDescent="0.3">
      <c r="B665" s="87" t="s">
        <v>629</v>
      </c>
      <c r="C665" s="90">
        <v>29</v>
      </c>
    </row>
    <row r="666" spans="2:3" x14ac:dyDescent="0.25">
      <c r="B666" s="85" t="s">
        <v>776</v>
      </c>
      <c r="C666" s="88">
        <v>15</v>
      </c>
    </row>
    <row r="667" spans="2:3" x14ac:dyDescent="0.25">
      <c r="B667" s="86" t="s">
        <v>1351</v>
      </c>
      <c r="C667" s="89">
        <v>6.5</v>
      </c>
    </row>
    <row r="668" spans="2:3" x14ac:dyDescent="0.25">
      <c r="B668" s="86" t="s">
        <v>1352</v>
      </c>
      <c r="C668" s="89">
        <v>21.5</v>
      </c>
    </row>
    <row r="669" spans="2:3" x14ac:dyDescent="0.25">
      <c r="B669" s="86" t="s">
        <v>1353</v>
      </c>
      <c r="C669" s="89">
        <v>3</v>
      </c>
    </row>
    <row r="670" spans="2:3" x14ac:dyDescent="0.25">
      <c r="B670" s="86" t="s">
        <v>1354</v>
      </c>
      <c r="C670" s="89">
        <v>17</v>
      </c>
    </row>
    <row r="671" spans="2:3" ht="13.5" thickBot="1" x14ac:dyDescent="0.3">
      <c r="B671" s="87" t="s">
        <v>1880</v>
      </c>
      <c r="C671" s="90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1 Prehist GB - Darvill</vt:lpstr>
      <vt:lpstr>2 GB Prehistory - Piggott</vt:lpstr>
      <vt:lpstr>3 Mega monumts GBIre - Scarre</vt:lpstr>
      <vt:lpstr>4 Renfrew's GB Prehistory</vt:lpstr>
      <vt:lpstr>5 Hawkes - Prehistoric Britain</vt:lpstr>
      <vt:lpstr>6 Bradley The Prehis of GB.Ire</vt:lpstr>
      <vt:lpstr>7 Parker Pearson - BA GB</vt:lpstr>
      <vt:lpstr>8 Forde-J's Prehist GBIre</vt:lpstr>
      <vt:lpstr>9 Thomas Birth of Neo GB</vt:lpstr>
      <vt:lpstr>10 Malone Neo GB &amp; Ireland</vt:lpstr>
      <vt:lpstr>11 Pryor Britain BC</vt:lpstr>
      <vt:lpstr>12 Megaw Simpson Intro GB Prehi</vt:lpstr>
      <vt:lpstr>13 HunterRalston Arch of GB</vt:lpstr>
      <vt:lpstr>14 Fox Personality of GB</vt:lpstr>
      <vt:lpstr>Sample- Pollard (1997) Analysis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2015-04-20T11:10:41Z</cp:lastPrinted>
  <dcterms:created xsi:type="dcterms:W3CDTF">2014-09-26T08:42:00Z</dcterms:created>
  <dcterms:modified xsi:type="dcterms:W3CDTF">2015-09-29T19:37:35Z</dcterms:modified>
</cp:coreProperties>
</file>